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6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5.xml" ContentType="application/vnd.openxmlformats-officedocument.spreadsheetml.worksheet+xml"/>
  <Override PartName="/xl/worksheets/sheet13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18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3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comments2.xml" ContentType="application/vnd.openxmlformats-officedocument.spreadsheetml.comments+xml"/>
  <Override PartName="/xl/externalLinks/externalLink7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8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comments3.xml" ContentType="application/vnd.openxmlformats-officedocument.spreadsheetml.comments+xml"/>
  <Override PartName="/xl/externalLinks/externalLink6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2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28710" yWindow="105" windowWidth="19020" windowHeight="11205" tabRatio="864"/>
  </bookViews>
  <sheets>
    <sheet name="REDACTED" sheetId="58" r:id="rId1"/>
    <sheet name="Exh. JAP-3 Page 1" sheetId="96" r:id="rId2"/>
    <sheet name="Exh. JAP-3 Page 2" sheetId="97" r:id="rId3"/>
    <sheet name="Exh. JAP-3 Page 3" sheetId="98" r:id="rId4"/>
    <sheet name="Work Papers --&gt;" sheetId="99" r:id="rId5"/>
    <sheet name="(R) Data" sheetId="33" r:id="rId6"/>
    <sheet name="Therms" sheetId="73" r:id="rId7"/>
    <sheet name="(R) Therms By Block" sheetId="89" r:id="rId8"/>
    <sheet name="(R) Restated Norm Revenue" sheetId="77" r:id="rId9"/>
    <sheet name="Restated Rental Revenue" sheetId="52" r:id="rId10"/>
    <sheet name="Rate Design Res" sheetId="91" r:id="rId11"/>
    <sheet name="Rate Design C&amp;I" sheetId="92" r:id="rId12"/>
    <sheet name="Rate Design Int &amp; Trans" sheetId="93" r:id="rId13"/>
    <sheet name="Rate Design Rental" sheetId="94" r:id="rId14"/>
    <sheet name="Weather Normalization--&gt;" sheetId="105" r:id="rId15"/>
    <sheet name="Weather Adj" sheetId="102" r:id="rId16"/>
    <sheet name="(R) Weather Adj Revenue" sheetId="103" r:id="rId17"/>
    <sheet name="SystemWeatherAdj" sheetId="104" r:id="rId18"/>
  </sheets>
  <externalReferences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</externalReferences>
  <definedNames>
    <definedName name="______Jun09">" BS!$AI$7:$AI$1643"</definedName>
    <definedName name="_____Apr04">[1]BS!$U$7:$U$3582</definedName>
    <definedName name="_____Aug04">[1]BS!$Y$7:$Y$3582</definedName>
    <definedName name="_____Aug09" xml:space="preserve"> [2]BS!$Y$7:$Y$1726</definedName>
    <definedName name="_____Dec03">[3]BS!$T$7:$T$3582</definedName>
    <definedName name="_____Dec04">[1]BS!$AC$7:$AC$3580</definedName>
    <definedName name="_____Feb04">[1]BS!$S$7:$S$3582</definedName>
    <definedName name="_____Jan04">[1]BS!$R$7:$R$3582</definedName>
    <definedName name="_____Jul04">[1]BS!$X$7:$X$3582</definedName>
    <definedName name="_____Jul09" xml:space="preserve"> [2]BS!$X$7:$X$1726</definedName>
    <definedName name="_____Jun04">[1]BS!$W$7:$W$3582</definedName>
    <definedName name="_____Jun09">" BS!$AI$7:$AI$1643"</definedName>
    <definedName name="_____Mar04">[1]BS!$T$7:$T$3582</definedName>
    <definedName name="_____May04">[1]BS!$V$7:$V$3582</definedName>
    <definedName name="_____Nov03">[3]BS!$S$7:$S$3582</definedName>
    <definedName name="_____Nov04">[1]BS!$AB$7:$AB$3582</definedName>
    <definedName name="_____Oct03">[3]BS!$R$7:$R$3582</definedName>
    <definedName name="_____Oct04">[1]BS!$AA$7:$AA$3582</definedName>
    <definedName name="_____Sep03">[3]BS!$Q$7:$Q$3582</definedName>
    <definedName name="_____Sep04">[1]BS!$Z$7:$Z$3582</definedName>
    <definedName name="____Apr04">[1]BS!$U$7:$U$3582</definedName>
    <definedName name="____Aug04">[1]BS!$Y$7:$Y$3582</definedName>
    <definedName name="____Aug09" xml:space="preserve"> [2]BS!$Y$7:$Y$1726</definedName>
    <definedName name="____Dec03">[3]BS!$T$7:$T$3582</definedName>
    <definedName name="____Dec04">[1]BS!$AC$7:$AC$3580</definedName>
    <definedName name="____Feb04">[1]BS!$S$7:$S$3582</definedName>
    <definedName name="____Jan04">[1]BS!$R$7:$R$3582</definedName>
    <definedName name="____Jul04">[1]BS!$X$7:$X$3582</definedName>
    <definedName name="____Jul09" xml:space="preserve"> [2]BS!$X$7:$X$1726</definedName>
    <definedName name="____Jun04">[1]BS!$W$7:$W$3582</definedName>
    <definedName name="____Jun09">" BS!$AI$7:$AI$1643"</definedName>
    <definedName name="____Mar04">[1]BS!$T$7:$T$3582</definedName>
    <definedName name="____May04">[1]BS!$V$7:$V$3582</definedName>
    <definedName name="____Nov03">[3]BS!$S$7:$S$3582</definedName>
    <definedName name="____Nov04">[1]BS!$AB$7:$AB$3582</definedName>
    <definedName name="____Oct03">[3]BS!$R$7:$R$3582</definedName>
    <definedName name="____Oct04">[1]BS!$AA$7:$AA$3582</definedName>
    <definedName name="____Sep03">[3]BS!$Q$7:$Q$3582</definedName>
    <definedName name="____Sep04">[1]BS!$Z$7:$Z$3582</definedName>
    <definedName name="___Apr04">[1]BS!$U$7:$U$3582</definedName>
    <definedName name="___Aug04">[1]BS!$Y$7:$Y$3582</definedName>
    <definedName name="___Aug09" xml:space="preserve"> [2]BS!$Y$7:$Y$1726</definedName>
    <definedName name="___Dec03">[3]BS!$T$7:$T$3582</definedName>
    <definedName name="___Dec04">[1]BS!$AC$7:$AC$3580</definedName>
    <definedName name="___Feb04">[1]BS!$S$7:$S$3582</definedName>
    <definedName name="___Jan04">[1]BS!$R$7:$R$3582</definedName>
    <definedName name="___Jul04">[1]BS!$X$7:$X$3582</definedName>
    <definedName name="___Jul09" xml:space="preserve"> [2]BS!$X$7:$X$1726</definedName>
    <definedName name="___Jun04">[1]BS!$W$7:$W$3582</definedName>
    <definedName name="___Jun09">" BS!$AI$7:$AI$1643"</definedName>
    <definedName name="___Mar04">[1]BS!$T$7:$T$3582</definedName>
    <definedName name="___May04">[1]BS!$V$7:$V$3582</definedName>
    <definedName name="___Nov03">[3]BS!$S$7:$S$3582</definedName>
    <definedName name="___Nov04">[1]BS!$AB$7:$AB$3582</definedName>
    <definedName name="___Oct03">[3]BS!$R$7:$R$3582</definedName>
    <definedName name="___Oct04">[1]BS!$AA$7:$AA$3582</definedName>
    <definedName name="___PC1">[4]CLASSIFIERS!$A$7:$IV$7</definedName>
    <definedName name="___PC2">[4]CLASSIFIERS!$A$10:$IV$10</definedName>
    <definedName name="___PC3">[4]CLASSIFIERS!$A$12:$IV$12</definedName>
    <definedName name="___PC4">[4]CLASSIFIERS!$A$13:$IV$13</definedName>
    <definedName name="___SEC24">[4]EXTERNAL!$A$112:$IV$114</definedName>
    <definedName name="___Sep03">[3]BS!$Q$7:$Q$3582</definedName>
    <definedName name="___Sep04">[1]BS!$Z$7:$Z$3582</definedName>
    <definedName name="__Apr04">[1]BS!$U$7:$U$3582</definedName>
    <definedName name="__Aug04">[1]BS!$Y$7:$Y$3582</definedName>
    <definedName name="__Aug09" xml:space="preserve"> [2]BS!$Y$7:$Y$1726</definedName>
    <definedName name="__Dec03">[3]BS!$T$7:$T$3582</definedName>
    <definedName name="__Dec04">[1]BS!$AC$7:$AC$3580</definedName>
    <definedName name="__Jul04">[1]BS!$X$7:$X$3582</definedName>
    <definedName name="__Jul09" xml:space="preserve"> [2]BS!$X$7:$X$1726</definedName>
    <definedName name="__Jun04">[1]BS!$W$7:$W$3582</definedName>
    <definedName name="__Jun09">" BS!$AI$7:$AI$1643"</definedName>
    <definedName name="__May04">[1]BS!$V$7:$V$3582</definedName>
    <definedName name="__Nov03">[3]BS!$S$7:$S$3582</definedName>
    <definedName name="__Nov04">[1]BS!$AB$7:$AB$3582</definedName>
    <definedName name="__Oct03">[3]BS!$R$7:$R$3582</definedName>
    <definedName name="__Oct04">[1]BS!$AA$7:$AA$3582</definedName>
    <definedName name="__PC1">[4]CLASSIFIERS!$A$7:$IV$7</definedName>
    <definedName name="__PC2">[4]CLASSIFIERS!$A$10:$IV$10</definedName>
    <definedName name="__PC3">[4]CLASSIFIERS!$A$12:$IV$12</definedName>
    <definedName name="__PC4">[4]CLASSIFIERS!$A$13:$IV$13</definedName>
    <definedName name="__SEC24">[4]EXTERNAL!$A$112:$IV$114</definedName>
    <definedName name="__Sep03">[3]BS!$Q$7:$Q$3582</definedName>
    <definedName name="__Sep04">[1]BS!$Z$7:$Z$3582</definedName>
    <definedName name="_Apr04">[1]BS!$U$7:$U$3582</definedName>
    <definedName name="_Apr09" xml:space="preserve"> [2]BS!$U$7:$U$1726</definedName>
    <definedName name="_Aug04">[1]BS!$Y$7:$Y$3582</definedName>
    <definedName name="_Aug09" xml:space="preserve"> [2]BS!$Y$7:$Y$1726</definedName>
    <definedName name="_Dec03">[3]BS!$T$7:$T$3582</definedName>
    <definedName name="_Dec04">[1]BS!$AC$7:$AC$3580</definedName>
    <definedName name="_Dec08" xml:space="preserve"> [2]BS!$Q$7:$Q$1726</definedName>
    <definedName name="_Feb04">[1]BS!$S$7:$S$3582</definedName>
    <definedName name="_FEB09" xml:space="preserve"> [2]BS!$S$7:$S$1726</definedName>
    <definedName name="_FEDERAL_INCOME_TAX" localSheetId="16">'[5]MJS-7'!$N$21</definedName>
    <definedName name="_FEDERAL_INCOME_TAX">'[6]MJS-7'!$N$21</definedName>
    <definedName name="_Jan04">[1]BS!$R$7:$R$3582</definedName>
    <definedName name="_Jul04">[1]BS!$X$7:$X$3582</definedName>
    <definedName name="_Jul09" xml:space="preserve"> [2]BS!$X$7:$X$1726</definedName>
    <definedName name="_Jun04">[1]BS!$W$7:$W$3582</definedName>
    <definedName name="_Jun09" xml:space="preserve"> [2]BS!$W$7:$W$1726</definedName>
    <definedName name="_Mar04">[1]BS!$T$7:$T$3582</definedName>
    <definedName name="_May04">[1]BS!$V$7:$V$3582</definedName>
    <definedName name="_May09" xml:space="preserve"> [2]BS!$V$7:$V$1726</definedName>
    <definedName name="_Nov03">[3]BS!$S$7:$S$3582</definedName>
    <definedName name="_Nov04">[1]BS!$AB$7:$AB$3582</definedName>
    <definedName name="_Oct03">[3]BS!$R$7:$R$3582</definedName>
    <definedName name="_Oct04">[1]BS!$AA$7:$AA$3582</definedName>
    <definedName name="_Oct09" xml:space="preserve"> [2]BS!$AA$7:$AA$1726</definedName>
    <definedName name="_Order1">255</definedName>
    <definedName name="_Order2">255</definedName>
    <definedName name="_PC1">[4]CLASSIFIERS!$A$7:$IV$7</definedName>
    <definedName name="_PC2">[4]CLASSIFIERS!$A$10:$IV$10</definedName>
    <definedName name="_PC3">[4]CLASSIFIERS!$A$12:$IV$12</definedName>
    <definedName name="_PC4">[4]CLASSIFIERS!$A$13:$IV$13</definedName>
    <definedName name="_Regression_Int">1</definedName>
    <definedName name="_SEC24">[4]EXTERNAL!$A$112:$IV$114</definedName>
    <definedName name="_Sep03">[3]BS!$Q$7:$Q$3582</definedName>
    <definedName name="_Sep04">[1]BS!$Z$7:$Z$3582</definedName>
    <definedName name="AccessDatabase">"I:\COMTREL\FINICLE\TradeSummary.mdb"</definedName>
    <definedName name="Acct2281SO">'[7]Func Study'!$H$2190</definedName>
    <definedName name="Acct2283SO">'[7]Func Study'!$H$2198</definedName>
    <definedName name="Acct228SO">'[7]Func Study'!$H$2194</definedName>
    <definedName name="Acct350">'[7]Func Study'!$H$1628</definedName>
    <definedName name="Acct352">'[7]Func Study'!$H$1635</definedName>
    <definedName name="Acct353">'[7]Func Study'!$H$1641</definedName>
    <definedName name="Acct354">'[7]Func Study'!$H$1647</definedName>
    <definedName name="Acct355">'[7]Func Study'!$H$1654</definedName>
    <definedName name="Acct356">'[7]Func Study'!$H$1660</definedName>
    <definedName name="Acct357">'[7]Func Study'!$H$1666</definedName>
    <definedName name="Acct358">'[7]Func Study'!$H$1672</definedName>
    <definedName name="Acct359">'[7]Func Study'!$H$1678</definedName>
    <definedName name="Acct360">'[7]Func Study'!$H$1698</definedName>
    <definedName name="Acct361">'[7]Func Study'!$H$1704</definedName>
    <definedName name="Acct362">'[7]Func Study'!$H$1710</definedName>
    <definedName name="Acct364">'[7]Func Study'!$H$1717</definedName>
    <definedName name="Acct365">'[7]Func Study'!$H$1724</definedName>
    <definedName name="Acct366">'[7]Func Study'!$H$1731</definedName>
    <definedName name="Acct367">'[7]Func Study'!$H$1738</definedName>
    <definedName name="Acct368">'[7]Func Study'!$H$1744</definedName>
    <definedName name="Acct369">'[7]Func Study'!$H$1751</definedName>
    <definedName name="Acct370">'[7]Func Study'!$H$1762</definedName>
    <definedName name="Acct371">'[7]Func Study'!$H$1769</definedName>
    <definedName name="Acct372">'[7]Func Study'!$H$1776</definedName>
    <definedName name="Acct372A">'[7]Func Study'!$H$1775</definedName>
    <definedName name="Acct372DP">'[7]Func Study'!$H$1773</definedName>
    <definedName name="Acct372DS">'[7]Func Study'!$H$1774</definedName>
    <definedName name="Acct373">'[7]Func Study'!$H$1782</definedName>
    <definedName name="Acct448S">'[7]Func Study'!$H$274</definedName>
    <definedName name="Acct450S">'[7]Func Study'!$H$302</definedName>
    <definedName name="Acct451S">'[7]Func Study'!$H$307</definedName>
    <definedName name="Acct454S">'[7]Func Study'!$H$318</definedName>
    <definedName name="Acct456S">'[7]Func Study'!$H$325</definedName>
    <definedName name="ACCT557CAGE">'[7]Func Study'!$H$683</definedName>
    <definedName name="Acct557CT">'[7]Func Study'!$H$681</definedName>
    <definedName name="Acct580">'[7]Func Study'!$H$791</definedName>
    <definedName name="Acct581">'[7]Func Study'!$H$796</definedName>
    <definedName name="Acct582">'[7]Func Study'!$H$801</definedName>
    <definedName name="Acct583">'[7]Func Study'!$H$806</definedName>
    <definedName name="Acct584">'[7]Func Study'!$H$811</definedName>
    <definedName name="Acct585">'[7]Func Study'!$H$816</definedName>
    <definedName name="Acct586">'[7]Func Study'!$H$821</definedName>
    <definedName name="Acct587">'[7]Func Study'!$H$826</definedName>
    <definedName name="Acct588">'[7]Func Study'!$H$831</definedName>
    <definedName name="Acct589">'[7]Func Study'!$H$836</definedName>
    <definedName name="Acct590">'[7]Func Study'!$H$841</definedName>
    <definedName name="Acct591">'[7]Func Study'!$H$846</definedName>
    <definedName name="Acct592">'[7]Func Study'!$H$851</definedName>
    <definedName name="Acct593">'[7]Func Study'!$H$856</definedName>
    <definedName name="Acct594">'[7]Func Study'!$H$861</definedName>
    <definedName name="Acct595">'[7]Func Study'!$H$866</definedName>
    <definedName name="Acct596">'[7]Func Study'!$H$876</definedName>
    <definedName name="Acct597">'[7]Func Study'!$H$881</definedName>
    <definedName name="Acct598">'[7]Func Study'!$H$886</definedName>
    <definedName name="AcctAGA">'[7]Func Study'!$H$296</definedName>
    <definedName name="AcctTable">[8]Variables!$AK$42:$AK$396</definedName>
    <definedName name="AcctTS0">'[7]Func Study'!$H$1686</definedName>
    <definedName name="Acq1Plant">'[9]Acquisition Inputs'!$C$8</definedName>
    <definedName name="Acq2Plant">'[9]Acquisition Inputs'!$C$70</definedName>
    <definedName name="ActualROR">'[10]G+T+D+R+M'!$H$61</definedName>
    <definedName name="ADJPTDCE.T">[4]INTERNAL!$A$31:$IV$33</definedName>
    <definedName name="Adjs2avg">[11]Inputs!$L$255:'[11]Inputs'!$T$505</definedName>
    <definedName name="ANCIL">[4]EXTERNAL!$A$163:$IV$165</definedName>
    <definedName name="Apr04AMA">[1]BS!$AG$7:$AG$3582</definedName>
    <definedName name="APR09AMA">[2]BS!$AN$7:$AN$1725</definedName>
    <definedName name="Apr10AMA">[2]BS!$AZ$7:$AZ$1726</definedName>
    <definedName name="aquila_lookup">'[12]Cabot Gas Replacement'!$B$8:$F$16</definedName>
    <definedName name="AS2DocOpenMode">"AS2DocumentEdit"</definedName>
    <definedName name="Asset_Class_Switch">[13]Assumptions!$D$5</definedName>
    <definedName name="Aug04AMA">[1]BS!$AK$7:$AK$3582</definedName>
    <definedName name="Aug09AMA">[2]BS!$AR$7:$AR$1726</definedName>
    <definedName name="Aurora_Prices">"Monthly Price Summary'!$C$4:$H$63"</definedName>
    <definedName name="AvgFactors">[8]Factors!$B$3:$P$99</definedName>
    <definedName name="Beg_Unb_KWHs" localSheetId="16">[14]LeadSht!$L$10</definedName>
    <definedName name="Beg_Unb_KWHs" localSheetId="17">[14]LeadSht!$L$10</definedName>
    <definedName name="Beg_Unb_KWHs" localSheetId="15">[14]LeadSht!$L$10</definedName>
    <definedName name="Beg_Unb_KWHs">[15]LeadSht!$L$10</definedName>
    <definedName name="BOOK_LIFE">'[16]Lvl FCR'!$G$10</definedName>
    <definedName name="BPAX">[4]EXTERNAL!$A$121:$IV$123</definedName>
    <definedName name="Button_1">"TradeSummary_Ken_Finicle_List"</definedName>
    <definedName name="CAE.T">[4]INTERNAL!$A$34:$IV$36</definedName>
    <definedName name="CAES1.T">[4]INTERNAL!$A$37:$IV$39</definedName>
    <definedName name="cap">[17]Readings!$B$2</definedName>
    <definedName name="CASE">[18]INPUTS!$C$11</definedName>
    <definedName name="CaseDescription">'[9]Dispatch Cases'!$C$11</definedName>
    <definedName name="CBWorkbookPriority">-2060790043</definedName>
    <definedName name="CCGT_HeatRate">[9]Assumptions!$H$23</definedName>
    <definedName name="CCGTPrice">[9]Assumptions!$H$22</definedName>
    <definedName name="CL_RT2">'[19]Transp Data'!$A$6:$C$81</definedName>
    <definedName name="Construction_OH">'[20]Virtual 49 Back-Up'!$E$54</definedName>
    <definedName name="ConversionFactor">[9]Assumptions!$I$65</definedName>
    <definedName name="COSFacVal">[7]Inputs!$R$5</definedName>
    <definedName name="CurrQtr">'[21]Inc Stmt'!$AJ$222</definedName>
    <definedName name="CUS">[4]CLASSIFIERS!$A$6:$IV$6</definedName>
    <definedName name="CUST_1">[4]EXTERNAL!$A$22:$IV$24</definedName>
    <definedName name="CUST_4">[4]EXTERNAL!$A$25:$IV$27</definedName>
    <definedName name="CUST_5">[4]EXTERNAL!$A$28:$IV$30</definedName>
    <definedName name="CUST_6">[4]EXTERNAL!$A$31:$IV$33</definedName>
    <definedName name="D108.05.T">[4]INTERNAL!$A$22:$IV$24</definedName>
    <definedName name="D108.10.T">[4]INTERNAL!$A$25:$IV$27</definedName>
    <definedName name="D361.T">[4]INTERNAL!$A$4:$IV$6</definedName>
    <definedName name="D362.T">[4]INTERNAL!$A$7:$IV$9</definedName>
    <definedName name="D364.T">[4]INTERNAL!$A$10:$IV$12</definedName>
    <definedName name="D366.T">[4]INTERNAL!$A$13:$IV$15</definedName>
    <definedName name="D368.T">[4]INTERNAL!$A$16:$IV$18</definedName>
    <definedName name="D370.T">[4]INTERNAL!$A$19:$IV$21</definedName>
    <definedName name="D372.T">[4]INTERNAL!$A$28:$IV$30</definedName>
    <definedName name="Data" localSheetId="16">'[22]Mix Variance'!$B$1:$N$31</definedName>
    <definedName name="Data" localSheetId="17">'[22]Mix Variance'!$B$1:$N$31</definedName>
    <definedName name="Data" localSheetId="15">'[22]Mix Variance'!$B$1:$N$31</definedName>
    <definedName name="Data">'[23]Mix Variance'!$B$1:$N$31</definedName>
    <definedName name="Data.Avg">'[21]Avg Amts'!$A$5:$BP$34</definedName>
    <definedName name="Data.Qtrs.Avg">'[21]Avg Amts'!$A$5:$IV$5</definedName>
    <definedName name="data1" localSheetId="16">'[24]Mix Variance'!$O$5:$T$25</definedName>
    <definedName name="data1" localSheetId="17">'[24]Mix Variance'!$O$5:$T$25</definedName>
    <definedName name="data1" localSheetId="15">'[24]Mix Variance'!$O$5:$T$25</definedName>
    <definedName name="data1">'[25]Mix Variance'!$O$5:$T$25</definedName>
    <definedName name="DebtPerc">[9]Assumptions!$I$58</definedName>
    <definedName name="Dec03AMA">[3]BS!$AJ$7:$AJ$3582</definedName>
    <definedName name="Dec04AMA">[1]BS!$AO$7:$AO$3582</definedName>
    <definedName name="Dec08AMA">[2]BS!$AJ$7:$AJ$1726</definedName>
    <definedName name="Dec09AMA">[2]BS!$AV$7:$AV$1726</definedName>
    <definedName name="DEM">[4]CLASSIFIERS!$A$4:$IV$4</definedName>
    <definedName name="DEM_1">[4]EXTERNAL!$A$7:$IV$9</definedName>
    <definedName name="DEM_12CP">[4]EXTERNAL!$A$118:$IV$120</definedName>
    <definedName name="DEM_12NCP_P">[4]EXTERNAL!$A$187:$IV$189</definedName>
    <definedName name="DEM_12NCP_S">[4]EXTERNAL!$A$190:$IV$192</definedName>
    <definedName name="DEM_12NCP1">[4]EXTERNAL!$A$139:$IV$141</definedName>
    <definedName name="DEM_12NCP2">[4]EXTERNAL!$A$130:$IV$132</definedName>
    <definedName name="DEM_1A">[4]EXTERNAL!$A$115:$IV$117</definedName>
    <definedName name="DEM_2A">[4]EXTERNAL!$A$148:$IV$150</definedName>
    <definedName name="DEM_3A">[4]EXTERNAL!$A$199:$IV$201</definedName>
    <definedName name="DEM_3B">[4]EXTERNAL!$A$196:$IV$198</definedName>
    <definedName name="Demand2">[26]Inputs!$D$11</definedName>
    <definedName name="DES1.T">[4]INTERNAL!$A$40:$IV$42</definedName>
    <definedName name="DES2.T">[4]INTERNAL!$A$43:$IV$45</definedName>
    <definedName name="DF_HeatRate">[9]Assumptions!$L$23</definedName>
    <definedName name="DIR_40">[4]EXTERNAL!$A$193:$IV$195</definedName>
    <definedName name="DIR_449">[4]EXTERNAL!$A$127:$IV$129</definedName>
    <definedName name="DIR_449_ENERGY">[4]EXTERNAL!$A$160:$IV$162</definedName>
    <definedName name="DIR_449_HV">[4]EXTERNAL!$A$157:$IV$159</definedName>
    <definedName name="DIR_449_OATT">[4]EXTERNAL!$A$166:$IV$168</definedName>
    <definedName name="DIR_RESALE">[4]EXTERNAL!$A$124:$IV$126</definedName>
    <definedName name="DIR_RESALE_LARGE">[4]EXTERNAL!$A$154:$IV$156</definedName>
    <definedName name="DIR_RESALE_SMALL">[4]EXTERNAL!$A$151:$IV$153</definedName>
    <definedName name="DIR108.09">[4]EXTERNAL!$A$106:$IV$108</definedName>
    <definedName name="DIR235.00">[4]EXTERNAL!$A$85:$IV$87</definedName>
    <definedName name="DIR360.01">[4]EXTERNAL!$A$37:$IV$39</definedName>
    <definedName name="DIR361.01">[4]EXTERNAL!$A$40:$IV$42</definedName>
    <definedName name="DIR362.01">[4]EXTERNAL!$A$43:$IV$45</definedName>
    <definedName name="DIR364.01">[4]EXTERNAL!$A$46:$IV$48</definedName>
    <definedName name="DIR366.01">[4]EXTERNAL!$A$49:$IV$51</definedName>
    <definedName name="DIR368.03">[4]EXTERNAL!$A$55:$IV$57</definedName>
    <definedName name="DIR368.03C">[4]EXTERNAL!$A$52:$IV$54</definedName>
    <definedName name="DIR372.00">[4]EXTERNAL!$A$58:$IV$60</definedName>
    <definedName name="DIR373.00">[4]EXTERNAL!$A$61:$IV$63</definedName>
    <definedName name="DIR450.01">[4]EXTERNAL!$A$10:$IV$12</definedName>
    <definedName name="DIR450.02">[4]EXTERNAL!$A$184:$IV$186</definedName>
    <definedName name="DIR451.02">[4]EXTERNAL!$A$70:$IV$72</definedName>
    <definedName name="DIR451.03">[4]EXTERNAL!$A$136:$IV$138</definedName>
    <definedName name="DIR451.05">[4]EXTERNAL!$A$76:$IV$78</definedName>
    <definedName name="DIR451.06">[4]EXTERNAL!$A$109:$IV$111</definedName>
    <definedName name="DIR451.07">[4]EXTERNAL!$A$133:$IV$135</definedName>
    <definedName name="DIR454.04">[4]EXTERNAL!$A$73:$IV$75</definedName>
    <definedName name="DIR556.01">[4]EXTERNAL!$A$175:$IV$177</definedName>
    <definedName name="DIR565.02">[4]EXTERNAL!$A$178:$IV$180</definedName>
    <definedName name="DIR908.01">[4]EXTERNAL!$A$172:$IV$174</definedName>
    <definedName name="DIR920.01">[4]EXTERNAL!$A$181:$IV$183</definedName>
    <definedName name="Dis">'[7]Func Study'!$AB$250</definedName>
    <definedName name="Discount_for_Revenue_Reqmt">'[27]Assumptions of Purchase'!$B$45</definedName>
    <definedName name="DisFac">'[7]Func Dist Factor Table'!$A$11:$G$25</definedName>
    <definedName name="DocketNumber">'[28]JHS-4'!$AP$2</definedName>
    <definedName name="DP.T">[4]INTERNAL!$A$46:$IV$48</definedName>
    <definedName name="EBFIT.T">[4]INTERNAL!$A$88:$IV$90</definedName>
    <definedName name="EffTax">[18]INPUTS!$F$36</definedName>
    <definedName name="Electric_Prices">'[29]Monthly Price Summary'!$B$4:$E$27</definedName>
    <definedName name="ElRBLine">[1]BS!$AQ$7:$AQ$3303</definedName>
    <definedName name="EndDate">[9]Assumptions!$C$11</definedName>
    <definedName name="ENERGY_1">[4]EXTERNAL!$A$4:$IV$6</definedName>
    <definedName name="ENERGY_2">[4]EXTERNAL!$A$145:$IV$147</definedName>
    <definedName name="Engy">[10]Inputs!$D$9</definedName>
    <definedName name="Engy2">[26]Inputs!$D$12</definedName>
    <definedName name="EPIS.T">[4]INTERNAL!$A$49:$IV$51</definedName>
    <definedName name="Exhibit_No.______MJS_4" localSheetId="16">'[5]MJS-4'!$O$3</definedName>
    <definedName name="Exhibit_No.______MJS_4">'[6]MJS-4'!$O$3</definedName>
    <definedName name="Exhibit_No.______MJS_5" localSheetId="16">'[5]MJS-5'!$E$3</definedName>
    <definedName name="Exhibit_No.______MJS_5">'[6]MJS-5'!$E$3</definedName>
    <definedName name="Exhibit_No.______MJS_6" localSheetId="16">'[5]MJS-6'!$F$3</definedName>
    <definedName name="Exhibit_No.______MJS_6">'[6]MJS-6'!$F$3</definedName>
    <definedName name="Factorck">'[7]COS Factor Table'!$O$15:$O$113</definedName>
    <definedName name="FactorType">[8]Variables!$AK$2:$AL$12</definedName>
    <definedName name="FactSum">'[7]COS Factor Table'!$A$14:$O$113</definedName>
    <definedName name="FCR">'[20]Virtual 49 Back-Up'!$B$20</definedName>
    <definedName name="Feb04AMA">[1]BS!$AE$7:$AE$3582</definedName>
    <definedName name="Feb09AMA">[2]BS!$AL$7:$AL$1725</definedName>
    <definedName name="Feb10AMA">[2]BS!$AX$7:$AX$1726</definedName>
    <definedName name="Fed_Cap_Tax">[30]Inputs!$E$112</definedName>
    <definedName name="FedTaxRate">[9]Assumptions!$C$33</definedName>
    <definedName name="FERC_Lookup">'[31]Map Table'!$E$2:$F$58</definedName>
    <definedName name="FIT">'[32]ROR &amp; CONV FACTOR'!$J$20</definedName>
    <definedName name="FranchiseTax">[11]Variables!$D$26</definedName>
    <definedName name="FTAX">[18]INPUTS!$F$35</definedName>
    <definedName name="Func">'[7]Func Factor Table'!$A$10:$H$77</definedName>
    <definedName name="Function">'[7]Func Study'!$AB$250</definedName>
    <definedName name="GasRBLine">[1]BS!$AS$7:$AS$3631</definedName>
    <definedName name="GasWC_LineItem">[1]BS!$AR$7:$AR$3631</definedName>
    <definedName name="GP.T">[4]INTERNAL!$A$52:$IV$54</definedName>
    <definedName name="HTML_CodePage">1252</definedName>
    <definedName name="HTML_Control" localSheetId="7">{"'Sheet1'!$A$1:$J$121"}</definedName>
    <definedName name="HTML_Control" localSheetId="16">{"'Sheet1'!$A$1:$J$121"}</definedName>
    <definedName name="HTML_Control" localSheetId="17">{"'Sheet1'!$A$1:$J$121"}</definedName>
    <definedName name="HTML_Control" localSheetId="15">{"'Sheet1'!$A$1:$J$121"}</definedName>
    <definedName name="HTML_Control">{"'Sheet1'!$A$1:$J$121"}</definedName>
    <definedName name="HTML_Description">""</definedName>
    <definedName name="HTML_Email">""</definedName>
    <definedName name="HTML_Header">"Sheet1"</definedName>
    <definedName name="HTML_LastUpdate">"10/21/99"</definedName>
    <definedName name="HTML_LineAfter">FALSE</definedName>
    <definedName name="HTML_LineBefore">FALSE</definedName>
    <definedName name="HTML_Name">"Paulette Peoples"</definedName>
    <definedName name="HTML_OBDlg2">TRUE</definedName>
    <definedName name="HTML_OBDlg4">TRUE</definedName>
    <definedName name="HTML_OS">0</definedName>
    <definedName name="HTML_PathFile">"\\Bhincres01\groups\Mkt_Dev\EXECMKTR\RIGS\RigBible\Web NA.htm"</definedName>
    <definedName name="HTML_Title">"Total North America"</definedName>
    <definedName name="IBFIT.T">[4]INTERNAL!$A$85:$IV$87</definedName>
    <definedName name="IQ_ACCOUNT_CHANGE">"c1449"</definedName>
    <definedName name="IQ_ACCOUNTS_PAY">"c1343"</definedName>
    <definedName name="IQ_ACCR_INT_PAY">"c1"</definedName>
    <definedName name="IQ_ACCR_INT_PAY_CF">"c2"</definedName>
    <definedName name="IQ_ACCR_INT_RECEIV">"c3"</definedName>
    <definedName name="IQ_ACCR_INT_RECEIV_CF">"c4"</definedName>
    <definedName name="IQ_ACCRUED_EXP">"c1341"</definedName>
    <definedName name="IQ_ACCT_RECV_10YR_ANN_GROWTH">"c1924"</definedName>
    <definedName name="IQ_ACCT_RECV_1YR_ANN_GROWTH">"c1919"</definedName>
    <definedName name="IQ_ACCT_RECV_2YR_ANN_GROWTH">"c1920"</definedName>
    <definedName name="IQ_ACCT_RECV_3YR_ANN_GROWTH">"c1921"</definedName>
    <definedName name="IQ_ACCT_RECV_5YR_ANN_GROWTH">"c1922"</definedName>
    <definedName name="IQ_ACCT_RECV_7YR_ANN_GROWTH">"c1923"</definedName>
    <definedName name="IQ_ACCUM_DEP">"c1340"</definedName>
    <definedName name="IQ_ACCUMULATED_PENSION_OBLIGATION">"c2244"</definedName>
    <definedName name="IQ_ACCUMULATED_PENSION_OBLIGATION_DOMESTIC">"c2657"</definedName>
    <definedName name="IQ_ACCUMULATED_PENSION_OBLIGATION_FOREIGN">"c2665"</definedName>
    <definedName name="IQ_ACQ_COST_SUB">"c2125"</definedName>
    <definedName name="IQ_ACQ_COSTS_CAPITALIZED">"c5"</definedName>
    <definedName name="IQ_ACQUIRE_REAL_ESTATE_CF">"c6"</definedName>
    <definedName name="IQ_ACQUISITION_RE_ASSETS">"c1628"</definedName>
    <definedName name="IQ_AD">"c7"</definedName>
    <definedName name="IQ_ADD_PAID_IN">"c1344"</definedName>
    <definedName name="IQ_ADJ_AVG_BANK_ASSETS">"c2671"</definedName>
    <definedName name="IQ_ADMIN_RATIO">"c2784"</definedName>
    <definedName name="IQ_ADVERTISING">"c2246"</definedName>
    <definedName name="IQ_ADVERTISING_MARKETING">"c1566"</definedName>
    <definedName name="IQ_AE">"c8"</definedName>
    <definedName name="IQ_AE_BNK">"c9"</definedName>
    <definedName name="IQ_AE_BR">"c10"</definedName>
    <definedName name="IQ_AE_FIN">"c11"</definedName>
    <definedName name="IQ_AE_INS">"c12"</definedName>
    <definedName name="IQ_AE_REIT">"c13"</definedName>
    <definedName name="IQ_AE_UTI">"c14"</definedName>
    <definedName name="IQ_AH_EARNED">"c2744"</definedName>
    <definedName name="IQ_AH_POLICY_BENEFITS_EXP">"c2789"</definedName>
    <definedName name="IQ_AIR_AIRPLANES_NOT_IN_SERVICE">"c2842"</definedName>
    <definedName name="IQ_AIR_AIRPLANES_SUBLEASED">"c2841"</definedName>
    <definedName name="IQ_AIR_ASK">"c2813"</definedName>
    <definedName name="IQ_AIR_ASK_INCREASE">"c2826"</definedName>
    <definedName name="IQ_AIR_ASM">"c2812"</definedName>
    <definedName name="IQ_AIR_ASM_INCREASE">"c2825"</definedName>
    <definedName name="IQ_AIR_AVG_AGE">"c2843"</definedName>
    <definedName name="IQ_AIR_BREAK_EVEN_FACTOR">"c2822"</definedName>
    <definedName name="IQ_AIR_CAPITAL_LEASE">"c2833"</definedName>
    <definedName name="IQ_AIR_COMPLETION_FACTOR">"c2824"</definedName>
    <definedName name="IQ_AIR_ENPLANED_PSGRS">"c2809"</definedName>
    <definedName name="IQ_AIR_FUEL_CONSUMED">"c2806"</definedName>
    <definedName name="IQ_AIR_FUEL_CONSUMED_L">"c2807"</definedName>
    <definedName name="IQ_AIR_FUEL_COST">"c2803"</definedName>
    <definedName name="IQ_AIR_FUEL_COST_L">"c2804"</definedName>
    <definedName name="IQ_AIR_FUEL_EXP">"c2802"</definedName>
    <definedName name="IQ_AIR_FUEL_EXP_PERCENT">"c2805"</definedName>
    <definedName name="IQ_AIR_LEASED">"c2835"</definedName>
    <definedName name="IQ_AIR_LOAD_FACTOR">"c2823"</definedName>
    <definedName name="IQ_AIR_NEW_AIRPLANES">"c2839"</definedName>
    <definedName name="IQ_AIR_OPER_EXP_ASK">"c2821"</definedName>
    <definedName name="IQ_AIR_OPER_EXP_ASM">"c2820"</definedName>
    <definedName name="IQ_AIR_OPER_LEASE">"c2834"</definedName>
    <definedName name="IQ_AIR_OPER_REV_YIELD_ASK">"c2819"</definedName>
    <definedName name="IQ_AIR_OPER_REV_YIELD_ASM">"c2818"</definedName>
    <definedName name="IQ_AIR_OPTIONS">"c2837"</definedName>
    <definedName name="IQ_AIR_ORDERS">"c2836"</definedName>
    <definedName name="IQ_AIR_OWNED">"c2832"</definedName>
    <definedName name="IQ_AIR_PSGR_REV_YIELD_ASK">"c2817"</definedName>
    <definedName name="IQ_AIR_PSGR_REV_YIELD_ASM">"c2816"</definedName>
    <definedName name="IQ_AIR_PSGR_REV_YIELD_RPK">"c2815"</definedName>
    <definedName name="IQ_AIR_PSGR_REV_YIELD_RPM">"c2814"</definedName>
    <definedName name="IQ_AIR_PURCHASE_RIGHTS">"c2838"</definedName>
    <definedName name="IQ_AIR_RETIRED_AIRPLANES">"c2840"</definedName>
    <definedName name="IQ_AIR_REV_PSGRS_CARRIED">"c2808"</definedName>
    <definedName name="IQ_AIR_REV_SCHEDULED_SERVICE">"c2830"</definedName>
    <definedName name="IQ_AIR_RPK">"c2811"</definedName>
    <definedName name="IQ_AIR_RPM">"c2810"</definedName>
    <definedName name="IQ_AIR_STAGE_LENGTH">"c2828"</definedName>
    <definedName name="IQ_AIR_STAGE_LENGTH_KM">"c2829"</definedName>
    <definedName name="IQ_AIR_TOTAL">"c2831"</definedName>
    <definedName name="IQ_AIR_UTILIZATION">"c2827"</definedName>
    <definedName name="IQ_ALLOW_BORROW_CONST">"c15"</definedName>
    <definedName name="IQ_ALLOW_CONST">"c1342"</definedName>
    <definedName name="IQ_ALLOW_DOUBT_ACCT">"c2092"</definedName>
    <definedName name="IQ_ALLOW_EQUITY_CONST">"c16"</definedName>
    <definedName name="IQ_ALLOW_LL">"c17"</definedName>
    <definedName name="IQ_ALLOWANCE_10YR_ANN_GROWTH">"c18"</definedName>
    <definedName name="IQ_ALLOWANCE_1YR_ANN_GROWTH">"c19"</definedName>
    <definedName name="IQ_ALLOWANCE_2YR_ANN_GROWTH">"c20"</definedName>
    <definedName name="IQ_ALLOWANCE_3YR_ANN_GROWTH">"c21"</definedName>
    <definedName name="IQ_ALLOWANCE_5YR_ANN_GROWTH">"c22"</definedName>
    <definedName name="IQ_ALLOWANCE_7YR_ANN_GROWTH">"c23"</definedName>
    <definedName name="IQ_ALLOWANCE_CHARGE_OFFS">"c24"</definedName>
    <definedName name="IQ_ALLOWANCE_NON_PERF_LOANS">"c25"</definedName>
    <definedName name="IQ_ALLOWANCE_TOTAL_LOANS">"c26"</definedName>
    <definedName name="IQ_AMORTIZATION">"c1591"</definedName>
    <definedName name="IQ_ANNU_DISTRIBUTION_UNIT">"c3004"</definedName>
    <definedName name="IQ_ANNUALIZED_DIVIDEND">"c1579"</definedName>
    <definedName name="IQ_ANNUITY_LIAB">"c27"</definedName>
    <definedName name="IQ_ANNUITY_PAY">"c28"</definedName>
    <definedName name="IQ_ANNUITY_POLICY_EXP">"c29"</definedName>
    <definedName name="IQ_ANNUITY_REC">"c30"</definedName>
    <definedName name="IQ_ANNUITY_REV">"c31"</definedName>
    <definedName name="IQ_AP">"c32"</definedName>
    <definedName name="IQ_AP_BNK">"c33"</definedName>
    <definedName name="IQ_AP_BR">"c34"</definedName>
    <definedName name="IQ_AP_FIN">"c35"</definedName>
    <definedName name="IQ_AP_INS">"c36"</definedName>
    <definedName name="IQ_AP_REIT">"c37"</definedName>
    <definedName name="IQ_AP_UTI">"c38"</definedName>
    <definedName name="IQ_APIC">"c39"</definedName>
    <definedName name="IQ_AR">"c40"</definedName>
    <definedName name="IQ_AR_BR">"c41"</definedName>
    <definedName name="IQ_AR_LT">"c42"</definedName>
    <definedName name="IQ_AR_REIT">"c43"</definedName>
    <definedName name="IQ_AR_TURNS">"c44"</definedName>
    <definedName name="IQ_AR_UTI">"c45"</definedName>
    <definedName name="IQ_ARPU">"c2126"</definedName>
    <definedName name="IQ_ASSET_MGMT_FEE">"c46"</definedName>
    <definedName name="IQ_ASSET_TURNS">"c47"</definedName>
    <definedName name="IQ_ASSET_WRITEDOWN">"c48"</definedName>
    <definedName name="IQ_ASSET_WRITEDOWN_BNK">"c49"</definedName>
    <definedName name="IQ_ASSET_WRITEDOWN_BR">"c50"</definedName>
    <definedName name="IQ_ASSET_WRITEDOWN_CF">"c51"</definedName>
    <definedName name="IQ_ASSET_WRITEDOWN_CF_BNK">"c52"</definedName>
    <definedName name="IQ_ASSET_WRITEDOWN_CF_BR">"c53"</definedName>
    <definedName name="IQ_ASSET_WRITEDOWN_CF_FIN">"c54"</definedName>
    <definedName name="IQ_ASSET_WRITEDOWN_CF_INS">"c55"</definedName>
    <definedName name="IQ_ASSET_WRITEDOWN_CF_REIT">"c56"</definedName>
    <definedName name="IQ_ASSET_WRITEDOWN_CF_UTI">"c57"</definedName>
    <definedName name="IQ_ASSET_WRITEDOWN_FIN">"c58"</definedName>
    <definedName name="IQ_ASSET_WRITEDOWN_INS">"c59"</definedName>
    <definedName name="IQ_ASSET_WRITEDOWN_REIT">"c60"</definedName>
    <definedName name="IQ_ASSET_WRITEDOWN_UTI">"c61"</definedName>
    <definedName name="IQ_ASSETS_CAP_LEASE_DEPR">"c2068"</definedName>
    <definedName name="IQ_ASSETS_CAP_LEASE_GROSS">"c2069"</definedName>
    <definedName name="IQ_ASSETS_OPER_LEASE_DEPR">"c2070"</definedName>
    <definedName name="IQ_ASSETS_OPER_LEASE_GROSS">"c2071"</definedName>
    <definedName name="IQ_ASSUMED_AH_EARNED">"c2741"</definedName>
    <definedName name="IQ_ASSUMED_EARNED">"c2731"</definedName>
    <definedName name="IQ_ASSUMED_LIFE_EARNED">"c2736"</definedName>
    <definedName name="IQ_ASSUMED_LIFE_IN_FORCE">"c2766"</definedName>
    <definedName name="IQ_ASSUMED_PC_EARNED">"c2746"</definedName>
    <definedName name="IQ_ASSUMED_WRITTEN">"c2725"</definedName>
    <definedName name="IQ_AUDITOR_NAME">"c1539"</definedName>
    <definedName name="IQ_AUDITOR_OPINION">"c1540"</definedName>
    <definedName name="IQ_AUTO_WRITTEN">"c62"</definedName>
    <definedName name="IQ_AVG_BANK_ASSETS">"c2072"</definedName>
    <definedName name="IQ_AVG_BANK_LOANS">"c2073"</definedName>
    <definedName name="IQ_AVG_BROKER_REC">"c63"</definedName>
    <definedName name="IQ_AVG_BROKER_REC_NO">"c64"</definedName>
    <definedName name="IQ_AVG_DAILY_VOL">"c65"</definedName>
    <definedName name="IQ_AVG_INT_BEAR_LIAB">"c66"</definedName>
    <definedName name="IQ_AVG_INT_BEAR_LIAB_10YR_ANN_GROWTH">"c67"</definedName>
    <definedName name="IQ_AVG_INT_BEAR_LIAB_1YR_ANN_GROWTH">"c68"</definedName>
    <definedName name="IQ_AVG_INT_BEAR_LIAB_2YR_ANN_GROWTH">"c69"</definedName>
    <definedName name="IQ_AVG_INT_BEAR_LIAB_3YR_ANN_GROWTH">"c70"</definedName>
    <definedName name="IQ_AVG_INT_BEAR_LIAB_5YR_ANN_GROWTH">"c71"</definedName>
    <definedName name="IQ_AVG_INT_BEAR_LIAB_7YR_ANN_GROWTH">"c72"</definedName>
    <definedName name="IQ_AVG_INT_EARN_ASSETS">"c73"</definedName>
    <definedName name="IQ_AVG_INT_EARN_ASSETS_10YR_ANN_GROWTH">"c74"</definedName>
    <definedName name="IQ_AVG_INT_EARN_ASSETS_1YR_ANN_GROWTH">"c75"</definedName>
    <definedName name="IQ_AVG_INT_EARN_ASSETS_2YR_ANN_GROWTH">"c76"</definedName>
    <definedName name="IQ_AVG_INT_EARN_ASSETS_3YR_ANN_GROWTH">"c77"</definedName>
    <definedName name="IQ_AVG_INT_EARN_ASSETS_5YR_ANN_GROWTH">"c78"</definedName>
    <definedName name="IQ_AVG_INT_EARN_ASSETS_7YR_ANN_GROWTH">"c79"</definedName>
    <definedName name="IQ_AVG_MKTCAP">"c80"</definedName>
    <definedName name="IQ_AVG_PRICE">"c81"</definedName>
    <definedName name="IQ_AVG_SHAREOUTSTANDING">"c83"</definedName>
    <definedName name="IQ_AVG_TEV">"c84"</definedName>
    <definedName name="IQ_AVG_VOLUME">"c1346"</definedName>
    <definedName name="IQ_BANK_DEBT">"c2544"</definedName>
    <definedName name="IQ_BANK_DEBT_PCT">"c2545"</definedName>
    <definedName name="IQ_BASIC_EPS_EXCL">"c85"</definedName>
    <definedName name="IQ_BASIC_EPS_INCL">"c86"</definedName>
    <definedName name="IQ_BASIC_NORMAL_EPS">"c1592"</definedName>
    <definedName name="IQ_BASIC_WEIGHT">"c87"</definedName>
    <definedName name="IQ_BETA">"c2133"</definedName>
    <definedName name="IQ_BETA_1YR">"c1966"</definedName>
    <definedName name="IQ_BETA_1YR_RSQ">"c2132"</definedName>
    <definedName name="IQ_BETA_2YR">"c1965"</definedName>
    <definedName name="IQ_BETA_2YR_RSQ">"c2131"</definedName>
    <definedName name="IQ_BETA_5YR">"c88"</definedName>
    <definedName name="IQ_BETA_5YR_RSQ">"c2130"</definedName>
    <definedName name="IQ_BIG_INT_BEAR_CD">"c89"</definedName>
    <definedName name="IQ_BOARD_MEMBER">"c96"</definedName>
    <definedName name="IQ_BOARD_MEMBER_BACKGROUND">"c2101"</definedName>
    <definedName name="IQ_BOARD_MEMBER_TITLE">"c97"</definedName>
    <definedName name="IQ_BROK_COMISSION">"c98"</definedName>
    <definedName name="IQ_BUILDINGS">"c99"</definedName>
    <definedName name="IQ_BUSINESS_DESCRIPTION">"c322"</definedName>
    <definedName name="IQ_BV_OVER_SHARES">"c1349"</definedName>
    <definedName name="IQ_BV_SHARE">"c100"</definedName>
    <definedName name="IQ_CABLE_ARPU">"c2869"</definedName>
    <definedName name="IQ_CABLE_ARPU_ANALOG">"c2864"</definedName>
    <definedName name="IQ_CABLE_ARPU_BASIC">"c2866"</definedName>
    <definedName name="IQ_CABLE_ARPU_BBAND">"c2867"</definedName>
    <definedName name="IQ_CABLE_ARPU_DIG">"c2865"</definedName>
    <definedName name="IQ_CABLE_ARPU_PHONE">"c2868"</definedName>
    <definedName name="IQ_CABLE_BASIC_PENETRATION">"c2850"</definedName>
    <definedName name="IQ_CABLE_BBAND_PENETRATION">"c2852"</definedName>
    <definedName name="IQ_CABLE_BBAND_PENETRATION_THP">"c2851"</definedName>
    <definedName name="IQ_CABLE_CHURN">"c2874"</definedName>
    <definedName name="IQ_CABLE_CHURN_BASIC">"c2871"</definedName>
    <definedName name="IQ_CABLE_CHURN_BBAND">"c2872"</definedName>
    <definedName name="IQ_CABLE_CHURN_DIG">"c2870"</definedName>
    <definedName name="IQ_CABLE_CHURN_PHONE">"c2873"</definedName>
    <definedName name="IQ_CABLE_HOMES_PER_MILE">"c2849"</definedName>
    <definedName name="IQ_CABLE_HP_BBAND">"c2845"</definedName>
    <definedName name="IQ_CABLE_HP_DIG">"c2844"</definedName>
    <definedName name="IQ_CABLE_HP_PHONE">"c2846"</definedName>
    <definedName name="IQ_CABLE_MILES_PASSED">"c2848"</definedName>
    <definedName name="IQ_CABLE_OTHER_REV">"c2882"</definedName>
    <definedName name="IQ_CABLE_PHONE_PENETRATION">"c2853"</definedName>
    <definedName name="IQ_CABLE_PROGRAMMING_COSTS">"c2884"</definedName>
    <definedName name="IQ_CABLE_REV_ADVERT">"c2880"</definedName>
    <definedName name="IQ_CABLE_REV_ANALOG">"c2875"</definedName>
    <definedName name="IQ_CABLE_REV_BASIC">"c2877"</definedName>
    <definedName name="IQ_CABLE_REV_BBAND">"c2878"</definedName>
    <definedName name="IQ_CABLE_REV_COMMERCIAL">"c2881"</definedName>
    <definedName name="IQ_CABLE_REV_DIG">"c2876"</definedName>
    <definedName name="IQ_CABLE_REV_PHONE">"c2879"</definedName>
    <definedName name="IQ_CABLE_RGU">"c2863"</definedName>
    <definedName name="IQ_CABLE_SUBS_ANALOG">"c2855"</definedName>
    <definedName name="IQ_CABLE_SUBS_BASIC">"c2857"</definedName>
    <definedName name="IQ_CABLE_SUBS_BBAND">"c2858"</definedName>
    <definedName name="IQ_CABLE_SUBS_BUNDLED">"c2861"</definedName>
    <definedName name="IQ_CABLE_SUBS_DIG">"c2856"</definedName>
    <definedName name="IQ_CABLE_SUBS_NON_VIDEO">"c2860"</definedName>
    <definedName name="IQ_CABLE_SUBS_PHONE">"c2859"</definedName>
    <definedName name="IQ_CABLE_SUBS_TOTAL">"c2862"</definedName>
    <definedName name="IQ_CABLE_THP">"c2847"</definedName>
    <definedName name="IQ_CABLE_TOTAL_PENETRATION">"c2854"</definedName>
    <definedName name="IQ_CABLE_TOTAL_REV">"c2883"</definedName>
    <definedName name="IQ_CAL_Q">"c101"</definedName>
    <definedName name="IQ_CAL_Y">"c102"</definedName>
    <definedName name="IQ_CAPEX">"c103"</definedName>
    <definedName name="IQ_CAPEX_10YR_ANN_GROWTH">"c104"</definedName>
    <definedName name="IQ_CAPEX_1YR_ANN_GROWTH">"c105"</definedName>
    <definedName name="IQ_CAPEX_2YR_ANN_GROWTH">"c106"</definedName>
    <definedName name="IQ_CAPEX_3YR_ANN_GROWTH">"c107"</definedName>
    <definedName name="IQ_CAPEX_5YR_ANN_GROWTH">"c108"</definedName>
    <definedName name="IQ_CAPEX_7YR_ANN_GROWTH">"c109"</definedName>
    <definedName name="IQ_CAPEX_BNK">"c110"</definedName>
    <definedName name="IQ_CAPEX_BR">"c111"</definedName>
    <definedName name="IQ_CAPEX_FIN">"c112"</definedName>
    <definedName name="IQ_CAPEX_INS">"c113"</definedName>
    <definedName name="IQ_CAPEX_UTI">"c114"</definedName>
    <definedName name="IQ_CAPITAL_LEASE">"c1350"</definedName>
    <definedName name="IQ_CAPITAL_LEASES">"c115"</definedName>
    <definedName name="IQ_CAPITAL_LEASES_TOTAL">"c3031"</definedName>
    <definedName name="IQ_CAPITAL_LEASES_TOTAL_PCT">"c2506"</definedName>
    <definedName name="IQ_CAPITALIZED_INTEREST">"c2076"</definedName>
    <definedName name="IQ_CASH">"c1458"</definedName>
    <definedName name="IQ_CASH_ACQUIRE_CF">"c116"</definedName>
    <definedName name="IQ_CASH_CONVERSION">"c117"</definedName>
    <definedName name="IQ_CASH_DUE_BANKS">"c1351"</definedName>
    <definedName name="IQ_CASH_EQUIV">"c118"</definedName>
    <definedName name="IQ_CASH_FINAN">"c119"</definedName>
    <definedName name="IQ_CASH_INTEREST">"c120"</definedName>
    <definedName name="IQ_CASH_INVEST">"c121"</definedName>
    <definedName name="IQ_CASH_OPER">"c122"</definedName>
    <definedName name="IQ_CASH_SEGREG">"c123"</definedName>
    <definedName name="IQ_CASH_SHARE">"c1911"</definedName>
    <definedName name="IQ_CASH_ST">"c1355"</definedName>
    <definedName name="IQ_CASH_ST_INVEST">"c124"</definedName>
    <definedName name="IQ_CASH_TAXES">"c125"</definedName>
    <definedName name="IQ_CEDED_AH_EARNED">"c2743"</definedName>
    <definedName name="IQ_CEDED_CLAIM_EXP_INCUR">"c2756"</definedName>
    <definedName name="IQ_CEDED_CLAIM_EXP_PAID">"c2759"</definedName>
    <definedName name="IQ_CEDED_CLAIM_EXP_RES">"c2753"</definedName>
    <definedName name="IQ_CEDED_EARNED">"c2733"</definedName>
    <definedName name="IQ_CEDED_LIFE_EARNED">"c2738"</definedName>
    <definedName name="IQ_CEDED_LIFE_IN_FORCE">"c2768"</definedName>
    <definedName name="IQ_CEDED_PC_EARNED">"c2748"</definedName>
    <definedName name="IQ_CEDED_WRITTEN">"c2727"</definedName>
    <definedName name="IQ_CFO_10YR_ANN_GROWTH">"c126"</definedName>
    <definedName name="IQ_CFO_1YR_ANN_GROWTH">"c127"</definedName>
    <definedName name="IQ_CFO_2YR_ANN_GROWTH">"c128"</definedName>
    <definedName name="IQ_CFO_3YR_ANN_GROWTH">"c129"</definedName>
    <definedName name="IQ_CFO_5YR_ANN_GROWTH">"c130"</definedName>
    <definedName name="IQ_CFO_7YR_ANN_GROWTH">"c131"</definedName>
    <definedName name="IQ_CFO_CURRENT_LIAB">"c132"</definedName>
    <definedName name="IQ_CFPS_ACT_OR_EST">"c2217"</definedName>
    <definedName name="IQ_CFPS_EST">"c1667"</definedName>
    <definedName name="IQ_CFPS_HIGH_EST">"c1669"</definedName>
    <definedName name="IQ_CFPS_LOW_EST">"c1670"</definedName>
    <definedName name="IQ_CFPS_MEDIAN_EST">"c1668"</definedName>
    <definedName name="IQ_CFPS_NUM_EST">"c1671"</definedName>
    <definedName name="IQ_CFPS_STDDEV_EST">"c1672"</definedName>
    <definedName name="IQ_CHANGE_AP">"c133"</definedName>
    <definedName name="IQ_CHANGE_AP_BNK">"c134"</definedName>
    <definedName name="IQ_CHANGE_AP_BR">"c135"</definedName>
    <definedName name="IQ_CHANGE_AP_FIN">"c136"</definedName>
    <definedName name="IQ_CHANGE_AP_INS">"c137"</definedName>
    <definedName name="IQ_CHANGE_AP_REIT">"c138"</definedName>
    <definedName name="IQ_CHANGE_AP_UTI">"c139"</definedName>
    <definedName name="IQ_CHANGE_AR">"c140"</definedName>
    <definedName name="IQ_CHANGE_AR_BNK">"c141"</definedName>
    <definedName name="IQ_CHANGE_AR_BR">"c142"</definedName>
    <definedName name="IQ_CHANGE_AR_FIN">"c143"</definedName>
    <definedName name="IQ_CHANGE_AR_INS">"c144"</definedName>
    <definedName name="IQ_CHANGE_AR_REIT">"c145"</definedName>
    <definedName name="IQ_CHANGE_AR_UTI">"c146"</definedName>
    <definedName name="IQ_CHANGE_DEF_TAX">"c147"</definedName>
    <definedName name="IQ_CHANGE_DEPOSIT_ACCT">"c148"</definedName>
    <definedName name="IQ_CHANGE_INC_TAX">"c149"</definedName>
    <definedName name="IQ_CHANGE_INS_RES_LIAB">"c150"</definedName>
    <definedName name="IQ_CHANGE_INVENTORY">"c151"</definedName>
    <definedName name="IQ_CHANGE_NET_WORKING_CAPITAL">"c1909"</definedName>
    <definedName name="IQ_CHANGE_OTHER_WORK_CAP">"c152"</definedName>
    <definedName name="IQ_CHANGE_OTHER_WORK_CAP_BNK">"c153"</definedName>
    <definedName name="IQ_CHANGE_OTHER_WORK_CAP_BR">"c154"</definedName>
    <definedName name="IQ_CHANGE_OTHER_WORK_CAP_FIN">"c155"</definedName>
    <definedName name="IQ_CHANGE_OTHER_WORK_CAP_INS">"c156"</definedName>
    <definedName name="IQ_CHANGE_OTHER_WORK_CAP_REIT">"c157"</definedName>
    <definedName name="IQ_CHANGE_OTHER_WORK_CAP_UTI">"c158"</definedName>
    <definedName name="IQ_CHANGE_TRADING_ASSETS">"c159"</definedName>
    <definedName name="IQ_CHANGE_UNEARN_REV">"c160"</definedName>
    <definedName name="IQ_CHANGE_WORK_CAP">"c161"</definedName>
    <definedName name="IQ_CHANGES_WORK_CAP">"c1357"</definedName>
    <definedName name="IQ_CHARGE_OFFS_GROSS">"c162"</definedName>
    <definedName name="IQ_CHARGE_OFFS_NET">"c163"</definedName>
    <definedName name="IQ_CHARGE_OFFS_RECOVERED">"c164"</definedName>
    <definedName name="IQ_CHARGE_OFFS_TOTAL_AVG_LOANS">"c165"</definedName>
    <definedName name="IQ_CITY">"c166"</definedName>
    <definedName name="IQ_CL_DUE_AFTER_FIVE">"c167"</definedName>
    <definedName name="IQ_CL_DUE_CY">"c168"</definedName>
    <definedName name="IQ_CL_DUE_CY1">"c169"</definedName>
    <definedName name="IQ_CL_DUE_CY2">"c170"</definedName>
    <definedName name="IQ_CL_DUE_CY3">"c171"</definedName>
    <definedName name="IQ_CL_DUE_CY4">"c172"</definedName>
    <definedName name="IQ_CL_DUE_NEXT_FIVE">"c173"</definedName>
    <definedName name="IQ_CL_OBLIGATION_IMMEDIATE">"c2253"</definedName>
    <definedName name="IQ_CLASSA_OPTIONS_BEG_OS">"c2679"</definedName>
    <definedName name="IQ_CLASSA_OPTIONS_CANCELLED">"c2682"</definedName>
    <definedName name="IQ_CLASSA_OPTIONS_END_OS">"c2683"</definedName>
    <definedName name="IQ_CLASSA_OPTIONS_EXERCISED">"c2681"</definedName>
    <definedName name="IQ_CLASSA_OPTIONS_GRANTED">"c2680"</definedName>
    <definedName name="IQ_CLASSA_OPTIONS_STRIKE_PRICE_OS">"c2684"</definedName>
    <definedName name="IQ_CLASSA_OUTSTANDING_BS_DATE">"c1971"</definedName>
    <definedName name="IQ_CLASSA_OUTSTANDING_FILING_DATE">"c1973"</definedName>
    <definedName name="IQ_CLASSA_STRIKE_PRICE_GRANTED">"c2685"</definedName>
    <definedName name="IQ_CLASSA_WARRANTS_BEG_OS">"c2705"</definedName>
    <definedName name="IQ_CLASSA_WARRANTS_CANCELLED">"c2708"</definedName>
    <definedName name="IQ_CLASSA_WARRANTS_END_OS">"c2709"</definedName>
    <definedName name="IQ_CLASSA_WARRANTS_EXERCISED">"c2707"</definedName>
    <definedName name="IQ_CLASSA_WARRANTS_ISSUED">"c2706"</definedName>
    <definedName name="IQ_CLASSA_WARRANTS_STRIKE_PRICE_ISSUED">"c2711"</definedName>
    <definedName name="IQ_CLASSA_WARRANTS_STRIKE_PRICE_OS">"c2710"</definedName>
    <definedName name="IQ_CLOSEPRICE">"c174"</definedName>
    <definedName name="IQ_CLOSEPRICE_ADJ">"c2115"</definedName>
    <definedName name="IQ_COGS">"c175"</definedName>
    <definedName name="IQ_COMBINED_RATIO">"c176"</definedName>
    <definedName name="IQ_COMMERCIAL_DOM">"c177"</definedName>
    <definedName name="IQ_COMMERCIAL_FIRE_WRITTEN">"c178"</definedName>
    <definedName name="IQ_COMMERCIAL_MORT">"c179"</definedName>
    <definedName name="IQ_COMMISS_FEES">"c180"</definedName>
    <definedName name="IQ_COMMISSION_DEF">"c181"</definedName>
    <definedName name="IQ_COMMON">"c182"</definedName>
    <definedName name="IQ_COMMON_APIC">"c183"</definedName>
    <definedName name="IQ_COMMON_APIC_BNK">"c184"</definedName>
    <definedName name="IQ_COMMON_APIC_BR">"c185"</definedName>
    <definedName name="IQ_COMMON_APIC_FIN">"c186"</definedName>
    <definedName name="IQ_COMMON_APIC_INS">"c187"</definedName>
    <definedName name="IQ_COMMON_APIC_REIT">"c188"</definedName>
    <definedName name="IQ_COMMON_APIC_UTI">"c189"</definedName>
    <definedName name="IQ_COMMON_DIV">"c3006"</definedName>
    <definedName name="IQ_COMMON_DIV_CF">"c190"</definedName>
    <definedName name="IQ_COMMON_EQUITY_10YR_ANN_GROWTH">"c191"</definedName>
    <definedName name="IQ_COMMON_EQUITY_1YR_ANN_GROWTH">"c192"</definedName>
    <definedName name="IQ_COMMON_EQUITY_2YR_ANN_GROWTH">"c193"</definedName>
    <definedName name="IQ_COMMON_EQUITY_3YR_ANN_GROWTH">"c194"</definedName>
    <definedName name="IQ_COMMON_EQUITY_5YR_ANN_GROWTH">"c195"</definedName>
    <definedName name="IQ_COMMON_EQUITY_7YR_ANN_GROWTH">"c196"</definedName>
    <definedName name="IQ_COMMON_ISSUED">"c197"</definedName>
    <definedName name="IQ_COMMON_ISSUED_BNK">"c198"</definedName>
    <definedName name="IQ_COMMON_ISSUED_BR">"c199"</definedName>
    <definedName name="IQ_COMMON_ISSUED_FIN">"c200"</definedName>
    <definedName name="IQ_COMMON_ISSUED_INS">"c201"</definedName>
    <definedName name="IQ_COMMON_ISSUED_REIT">"c202"</definedName>
    <definedName name="IQ_COMMON_ISSUED_UTI">"c203"</definedName>
    <definedName name="IQ_COMMON_PER_ADR">"c204"</definedName>
    <definedName name="IQ_COMMON_PREF_DIV_CF">"c205"</definedName>
    <definedName name="IQ_COMMON_REP">"c206"</definedName>
    <definedName name="IQ_COMMON_REP_BNK">"c207"</definedName>
    <definedName name="IQ_COMMON_REP_BR">"c208"</definedName>
    <definedName name="IQ_COMMON_REP_FIN">"c209"</definedName>
    <definedName name="IQ_COMMON_REP_INS">"c210"</definedName>
    <definedName name="IQ_COMMON_REP_REIT">"c211"</definedName>
    <definedName name="IQ_COMMON_REP_UTI">"c212"</definedName>
    <definedName name="IQ_COMMON_STOCK">"c1358"</definedName>
    <definedName name="IQ_COMP_BENEFITS">"c213"</definedName>
    <definedName name="IQ_COMPANY_ADDRESS">"c214"</definedName>
    <definedName name="IQ_COMPANY_NAME">"c215"</definedName>
    <definedName name="IQ_COMPANY_NAME_LONG">"c1585"</definedName>
    <definedName name="IQ_COMPANY_PHONE">"c216"</definedName>
    <definedName name="IQ_COMPANY_STATUS">"c2097"</definedName>
    <definedName name="IQ_COMPANY_STREET1">"c217"</definedName>
    <definedName name="IQ_COMPANY_STREET2">"c218"</definedName>
    <definedName name="IQ_COMPANY_TICKER">"c219"</definedName>
    <definedName name="IQ_COMPANY_TYPE">"c2096"</definedName>
    <definedName name="IQ_COMPANY_WEBSITE">"c220"</definedName>
    <definedName name="IQ_COMPANY_ZIP">"c221"</definedName>
    <definedName name="IQ_CONSTRUCTION_LOANS">"c222"</definedName>
    <definedName name="IQ_CONSUMER_LOANS">"c223"</definedName>
    <definedName name="IQ_CONVERT">"c2536"</definedName>
    <definedName name="IQ_CONVERT_PCT">"c2537"</definedName>
    <definedName name="IQ_COST_BORROWING">"c2936"</definedName>
    <definedName name="IQ_COST_BORROWINGS">"c225"</definedName>
    <definedName name="IQ_COST_REV">"c226"</definedName>
    <definedName name="IQ_COST_REVENUE">"c1359"</definedName>
    <definedName name="IQ_COST_SAVINGS">"c227"</definedName>
    <definedName name="IQ_COST_SERVICE">"c228"</definedName>
    <definedName name="IQ_COST_TOTAL_BORROWINGS">"c229"</definedName>
    <definedName name="IQ_COUNTRY_NAME">"c230"</definedName>
    <definedName name="IQ_COVERED_POPS">"c2124"</definedName>
    <definedName name="IQ_CP">"c2495"</definedName>
    <definedName name="IQ_CP_PCT">"c2496"</definedName>
    <definedName name="IQ_CQ">5000</definedName>
    <definedName name="IQ_CREDIT_CARD_FEE_BNK">"c231"</definedName>
    <definedName name="IQ_CREDIT_CARD_FEE_FIN">"c1583"</definedName>
    <definedName name="IQ_CREDIT_LOSS_CF">"c232"</definedName>
    <definedName name="IQ_CUMULATIVE_SPLIT_FACTOR">"c2094"</definedName>
    <definedName name="IQ_CURR_DOMESTIC_TAXES">"c2074"</definedName>
    <definedName name="IQ_CURR_FOREIGN_TAXES">"c2075"</definedName>
    <definedName name="IQ_CURRENCY_FACTOR_BS">"c233"</definedName>
    <definedName name="IQ_CURRENCY_FACTOR_IS">"c234"</definedName>
    <definedName name="IQ_CURRENCY_GAIN">"c235"</definedName>
    <definedName name="IQ_CURRENCY_GAIN_BR">"c236"</definedName>
    <definedName name="IQ_CURRENCY_GAIN_FIN">"c237"</definedName>
    <definedName name="IQ_CURRENCY_GAIN_INS">"c238"</definedName>
    <definedName name="IQ_CURRENCY_GAIN_REIT">"c239"</definedName>
    <definedName name="IQ_CURRENCY_GAIN_UTI">"c240"</definedName>
    <definedName name="IQ_CURRENT_PORT">"c241"</definedName>
    <definedName name="IQ_CURRENT_PORT_BNK">"c242"</definedName>
    <definedName name="IQ_CURRENT_PORT_DEBT">"c243"</definedName>
    <definedName name="IQ_CURRENT_PORT_DEBT_BNK">"c244"</definedName>
    <definedName name="IQ_CURRENT_PORT_DEBT_BR">"c1567"</definedName>
    <definedName name="IQ_CURRENT_PORT_DEBT_FIN">"c1568"</definedName>
    <definedName name="IQ_CURRENT_PORT_DEBT_INS">"c1569"</definedName>
    <definedName name="IQ_CURRENT_PORT_DEBT_REIT">"c1570"</definedName>
    <definedName name="IQ_CURRENT_PORT_DEBT_UTI">"c1571"</definedName>
    <definedName name="IQ_CURRENT_PORT_LEASES">"c245"</definedName>
    <definedName name="IQ_CURRENT_PORT_PCT">"c2541"</definedName>
    <definedName name="IQ_CURRENT_RATIO">"c246"</definedName>
    <definedName name="IQ_CY">10000</definedName>
    <definedName name="IQ_DA">"c247"</definedName>
    <definedName name="IQ_DA_BR">"c248"</definedName>
    <definedName name="IQ_DA_CF">"c249"</definedName>
    <definedName name="IQ_DA_CF_BNK">"c250"</definedName>
    <definedName name="IQ_DA_CF_BR">"c251"</definedName>
    <definedName name="IQ_DA_CF_FIN">"c252"</definedName>
    <definedName name="IQ_DA_CF_INS">"c253"</definedName>
    <definedName name="IQ_DA_CF_REIT">"c254"</definedName>
    <definedName name="IQ_DA_CF_UTI">"c255"</definedName>
    <definedName name="IQ_DA_FIN">"c256"</definedName>
    <definedName name="IQ_DA_INS">"c257"</definedName>
    <definedName name="IQ_DA_REIT">"c258"</definedName>
    <definedName name="IQ_DA_SUPPL">"c259"</definedName>
    <definedName name="IQ_DA_SUPPL_BR">"c260"</definedName>
    <definedName name="IQ_DA_SUPPL_CF">"c261"</definedName>
    <definedName name="IQ_DA_SUPPL_CF_BNK">"c262"</definedName>
    <definedName name="IQ_DA_SUPPL_CF_BR">"c263"</definedName>
    <definedName name="IQ_DA_SUPPL_CF_FIN">"c264"</definedName>
    <definedName name="IQ_DA_SUPPL_CF_INS">"c265"</definedName>
    <definedName name="IQ_DA_SUPPL_CF_REIT">"c266"</definedName>
    <definedName name="IQ_DA_SUPPL_CF_UTI">"c267"</definedName>
    <definedName name="IQ_DA_SUPPL_FIN">"c268"</definedName>
    <definedName name="IQ_DA_SUPPL_INS">"c269"</definedName>
    <definedName name="IQ_DA_SUPPL_REIT">"c270"</definedName>
    <definedName name="IQ_DA_SUPPL_UTI">"c271"</definedName>
    <definedName name="IQ_DA_UTI">"c272"</definedName>
    <definedName name="IQ_DAYS_COVER_SHORT">"c1578"</definedName>
    <definedName name="IQ_DAYS_INVENTORY_OUT">"c273"</definedName>
    <definedName name="IQ_DAYS_PAY_OUTST">"c1362"</definedName>
    <definedName name="IQ_DAYS_PAYABLE_OUT">"c274"</definedName>
    <definedName name="IQ_DAYS_SALES_OUT">"c275"</definedName>
    <definedName name="IQ_DAYS_SALES_OUTST">"c1363"</definedName>
    <definedName name="IQ_DEBT_ADJ">"c2515"</definedName>
    <definedName name="IQ_DEBT_ADJ_PCT">"c2516"</definedName>
    <definedName name="IQ_DEBT_EQUIV_NET_PBO">"c2938"</definedName>
    <definedName name="IQ_DEBT_EQUIV_OPER_LEASE">"c2935"</definedName>
    <definedName name="IQ_DEF_ACQ_CST">"c1364"</definedName>
    <definedName name="IQ_DEF_AMORT">"c276"</definedName>
    <definedName name="IQ_DEF_AMORT_BNK">"c277"</definedName>
    <definedName name="IQ_DEF_AMORT_BR">"c278"</definedName>
    <definedName name="IQ_DEF_AMORT_FIN">"c279"</definedName>
    <definedName name="IQ_DEF_AMORT_INS">"c280"</definedName>
    <definedName name="IQ_DEF_AMORT_REIT">"c281"</definedName>
    <definedName name="IQ_DEF_AMORT_UTI">"c282"</definedName>
    <definedName name="IQ_DEF_BENEFIT_INTEREST_COST">"c283"</definedName>
    <definedName name="IQ_DEF_BENEFIT_INTEREST_COST_DOMESTIC">"c2652"</definedName>
    <definedName name="IQ_DEF_BENEFIT_INTEREST_COST_FOREIGN">"c2660"</definedName>
    <definedName name="IQ_DEF_BENEFIT_OTHER_COST">"c284"</definedName>
    <definedName name="IQ_DEF_BENEFIT_OTHER_COST_DOMESTIC">"c2654"</definedName>
    <definedName name="IQ_DEF_BENEFIT_OTHER_COST_FOREIGN">"c2662"</definedName>
    <definedName name="IQ_DEF_BENEFIT_ROA">"c285"</definedName>
    <definedName name="IQ_DEF_BENEFIT_ROA_DOMESTIC">"c2653"</definedName>
    <definedName name="IQ_DEF_BENEFIT_ROA_FOREIGN">"c2661"</definedName>
    <definedName name="IQ_DEF_BENEFIT_SERVICE_COST">"c286"</definedName>
    <definedName name="IQ_DEF_BENEFIT_SERVICE_COST_DOMESTIC">"c2651"</definedName>
    <definedName name="IQ_DEF_BENEFIT_SERVICE_COST_FOREIGN">"c2659"</definedName>
    <definedName name="IQ_DEF_BENEFIT_TOTAL_COST">"c287"</definedName>
    <definedName name="IQ_DEF_BENEFIT_TOTAL_COST_DOMESTIC">"c2655"</definedName>
    <definedName name="IQ_DEF_BENEFIT_TOTAL_COST_FOREIGN">"c2663"</definedName>
    <definedName name="IQ_DEF_CHARGES_BR">"c288"</definedName>
    <definedName name="IQ_DEF_CHARGES_CF">"c289"</definedName>
    <definedName name="IQ_DEF_CHARGES_FIN">"c290"</definedName>
    <definedName name="IQ_DEF_CHARGES_INS">"c291"</definedName>
    <definedName name="IQ_DEF_CHARGES_LT">"c292"</definedName>
    <definedName name="IQ_DEF_CHARGES_LT_BNK">"c293"</definedName>
    <definedName name="IQ_DEF_CHARGES_LT_BR">"c294"</definedName>
    <definedName name="IQ_DEF_CHARGES_LT_FIN">"c295"</definedName>
    <definedName name="IQ_DEF_CHARGES_LT_INS">"c296"</definedName>
    <definedName name="IQ_DEF_CHARGES_LT_REIT">"c297"</definedName>
    <definedName name="IQ_DEF_CHARGES_LT_UTI">"c298"</definedName>
    <definedName name="IQ_DEF_CHARGES_REIT">"c299"</definedName>
    <definedName name="IQ_DEF_CONTRIBUTION_TOTAL_COST">"c300"</definedName>
    <definedName name="IQ_DEF_INC_TAX">"c1365"</definedName>
    <definedName name="IQ_DEF_POLICY_ACQ_COSTS">"c301"</definedName>
    <definedName name="IQ_DEF_POLICY_ACQ_COSTS_CF">"c302"</definedName>
    <definedName name="IQ_DEF_POLICY_AMORT">"c303"</definedName>
    <definedName name="IQ_DEF_TAX_ASSET_LT_BR">"c304"</definedName>
    <definedName name="IQ_DEF_TAX_ASSET_LT_FIN">"c305"</definedName>
    <definedName name="IQ_DEF_TAX_ASSET_LT_INS">"c306"</definedName>
    <definedName name="IQ_DEF_TAX_ASSET_LT_REIT">"c307"</definedName>
    <definedName name="IQ_DEF_TAX_ASSET_LT_UTI">"c308"</definedName>
    <definedName name="IQ_DEF_TAX_ASSETS_CURRENT">"c309"</definedName>
    <definedName name="IQ_DEF_TAX_ASSETS_LT">"c310"</definedName>
    <definedName name="IQ_DEF_TAX_ASSETS_LT_BNK">"c311"</definedName>
    <definedName name="IQ_DEF_TAX_LIAB_CURRENT">"c312"</definedName>
    <definedName name="IQ_DEF_TAX_LIAB_LT">"c313"</definedName>
    <definedName name="IQ_DEF_TAX_LIAB_LT_BNK">"c314"</definedName>
    <definedName name="IQ_DEF_TAX_LIAB_LT_BR">"c315"</definedName>
    <definedName name="IQ_DEF_TAX_LIAB_LT_FIN">"c316"</definedName>
    <definedName name="IQ_DEF_TAX_LIAB_LT_INS">"c317"</definedName>
    <definedName name="IQ_DEF_TAX_LIAB_LT_REIT">"c318"</definedName>
    <definedName name="IQ_DEF_TAX_LIAB_LT_UTI">"c319"</definedName>
    <definedName name="IQ_DEFERRED_DOMESTIC_TAXES">"c2077"</definedName>
    <definedName name="IQ_DEFERRED_FOREIGN_TAXES">"c2078"</definedName>
    <definedName name="IQ_DEFERRED_INC_TAX">"c1447"</definedName>
    <definedName name="IQ_DEFERRED_TAXES">"c1356"</definedName>
    <definedName name="IQ_DEMAND_DEP">"c320"</definedName>
    <definedName name="IQ_DEPOSITS_FIN">"c321"</definedName>
    <definedName name="IQ_DEPRE_AMORT">"c1360"</definedName>
    <definedName name="IQ_DEPRE_AMORT_SUPPL">"c1593"</definedName>
    <definedName name="IQ_DEPRE_DEPLE">"c1361"</definedName>
    <definedName name="IQ_DEPRE_SUPP">"c1443"</definedName>
    <definedName name="IQ_DESCRIPTION_LONG">"c1520"</definedName>
    <definedName name="IQ_DEVELOP_LAND">"c323"</definedName>
    <definedName name="IQ_DIFF_LASTCLOSE_TARGET_PRICE">"c1854"</definedName>
    <definedName name="IQ_DILUT_ADJUST">"c1621"</definedName>
    <definedName name="IQ_DILUT_EPS_EXCL">"c324"</definedName>
    <definedName name="IQ_DILUT_EPS_INCL">"c325"</definedName>
    <definedName name="IQ_DILUT_EPS_NORM">"c1903"</definedName>
    <definedName name="IQ_DILUT_NI">"c2079"</definedName>
    <definedName name="IQ_DILUT_NORMAL_EPS">"c1594"</definedName>
    <definedName name="IQ_DILUT_WEIGHT">"c326"</definedName>
    <definedName name="IQ_DIRECT_AH_EARNED">"c2740"</definedName>
    <definedName name="IQ_DIRECT_EARNED">"c2730"</definedName>
    <definedName name="IQ_DIRECT_LIFE_EARNED">"c2735"</definedName>
    <definedName name="IQ_DIRECT_LIFE_IN_FORCE">"c2765"</definedName>
    <definedName name="IQ_DIRECT_PC_EARNED">"c2745"</definedName>
    <definedName name="IQ_DIRECT_WRITTEN">"c2724"</definedName>
    <definedName name="IQ_DISCONT_OPER">"c1367"</definedName>
    <definedName name="IQ_DISCOUNT_RATE_PENSION_DOMESTIC">"c327"</definedName>
    <definedName name="IQ_DISCOUNT_RATE_PENSION_FOREIGN">"c328"</definedName>
    <definedName name="IQ_DISTR_EXCESS_EARN">"c329"</definedName>
    <definedName name="IQ_DISTRIBUTABLE_CASH">"c3002"</definedName>
    <definedName name="IQ_DISTRIBUTABLE_CASH_PAYOUT">"c3005"</definedName>
    <definedName name="IQ_DISTRIBUTABLE_CASH_SHARE">"c3003"</definedName>
    <definedName name="IQ_DIV_AMOUNT">"c3041"</definedName>
    <definedName name="IQ_DIV_PAYMENT_DATE">"c2205"</definedName>
    <definedName name="IQ_DIV_RECORD_DATE">"c2204"</definedName>
    <definedName name="IQ_DIV_SHARE">"c330"</definedName>
    <definedName name="IQ_DIVEST_CF">"c331"</definedName>
    <definedName name="IQ_DIVID_SHARE">"c1366"</definedName>
    <definedName name="IQ_DIVIDEND_YIELD">"c332"</definedName>
    <definedName name="IQ_DO">"c333"</definedName>
    <definedName name="IQ_DO_ASSETS_CURRENT">"c334"</definedName>
    <definedName name="IQ_DO_ASSETS_LT">"c335"</definedName>
    <definedName name="IQ_DO_CF">"c336"</definedName>
    <definedName name="IQ_DPAC_ACC">"c2799"</definedName>
    <definedName name="IQ_DPAC_AMORT">"c2795"</definedName>
    <definedName name="IQ_DPAC_BEG">"c2791"</definedName>
    <definedName name="IQ_DPAC_COMMISSIONS">"c2792"</definedName>
    <definedName name="IQ_DPAC_END">"c2801"</definedName>
    <definedName name="IQ_DPAC_FX">"c2798"</definedName>
    <definedName name="IQ_DPAC_OTHER_ADJ">"c2800"</definedName>
    <definedName name="IQ_DPAC_OTHERS">"c2793"</definedName>
    <definedName name="IQ_DPAC_PERIOD">"c2794"</definedName>
    <definedName name="IQ_DPAC_REAL_GAIN">"c2797"</definedName>
    <definedName name="IQ_DPAC_UNREAL_GAIN">"c2796"</definedName>
    <definedName name="IQ_DPS_10YR_ANN_GROWTH">"c337"</definedName>
    <definedName name="IQ_DPS_1YR_ANN_GROWTH">"c338"</definedName>
    <definedName name="IQ_DPS_2YR_ANN_GROWTH">"c339"</definedName>
    <definedName name="IQ_DPS_3YR_ANN_GROWTH">"c340"</definedName>
    <definedName name="IQ_DPS_5YR_ANN_GROWTH">"c341"</definedName>
    <definedName name="IQ_DPS_7YR_ANN_GROWTH">"c342"</definedName>
    <definedName name="IQ_DPS_ACT_OR_EST">"c2218"</definedName>
    <definedName name="IQ_DPS_EST">"c1674"</definedName>
    <definedName name="IQ_DPS_HIGH_EST">"c1676"</definedName>
    <definedName name="IQ_DPS_LOW_EST">"c1677"</definedName>
    <definedName name="IQ_DPS_MEDIAN_EST">"c1675"</definedName>
    <definedName name="IQ_DPS_NUM_EST">"c1678"</definedName>
    <definedName name="IQ_DPS_STDDEV_EST">"c1679"</definedName>
    <definedName name="IQ_EARNING_ASSET_YIELD">"c343"</definedName>
    <definedName name="IQ_EARNING_CO">"c344"</definedName>
    <definedName name="IQ_EARNING_CO_10YR_ANN_GROWTH">"c345"</definedName>
    <definedName name="IQ_EARNING_CO_1YR_ANN_GROWTH">"c346"</definedName>
    <definedName name="IQ_EARNING_CO_2YR_ANN_GROWTH">"c347"</definedName>
    <definedName name="IQ_EARNING_CO_3YR_ANN_GROWTH">"c348"</definedName>
    <definedName name="IQ_EARNING_CO_5YR_ANN_GROWTH">"c349"</definedName>
    <definedName name="IQ_EARNING_CO_7YR_ANN_GROWTH">"c350"</definedName>
    <definedName name="IQ_EARNING_CO_MARGIN">"c351"</definedName>
    <definedName name="IQ_EARNINGS_ANNOUNCE_DATE">"c1649"</definedName>
    <definedName name="IQ_EBIT">"c352"</definedName>
    <definedName name="IQ_EBIT_10YR_ANN_GROWTH">"c353"</definedName>
    <definedName name="IQ_EBIT_1YR_ANN_GROWTH">"c354"</definedName>
    <definedName name="IQ_EBIT_2YR_ANN_GROWTH">"c355"</definedName>
    <definedName name="IQ_EBIT_3YR_ANN_GROWTH">"c356"</definedName>
    <definedName name="IQ_EBIT_5YR_ANN_GROWTH">"c357"</definedName>
    <definedName name="IQ_EBIT_7YR_ANN_GROWTH">"c358"</definedName>
    <definedName name="IQ_EBIT_ACT_OR_EST">"c2219"</definedName>
    <definedName name="IQ_EBIT_EST">"c1681"</definedName>
    <definedName name="IQ_EBIT_HIGH_EST">"c1683"</definedName>
    <definedName name="IQ_EBIT_INT">"c360"</definedName>
    <definedName name="IQ_EBIT_LOW_EST">"c1684"</definedName>
    <definedName name="IQ_EBIT_MARGIN">"c359"</definedName>
    <definedName name="IQ_EBIT_MEDIAN_EST">"c1682"</definedName>
    <definedName name="IQ_EBIT_NUM_EST">"c1685"</definedName>
    <definedName name="IQ_EBIT_OVER_IE">"c1369"</definedName>
    <definedName name="IQ_EBIT_STDDEV_EST">"c1686"</definedName>
    <definedName name="IQ_EBITA">"c1910"</definedName>
    <definedName name="IQ_EBITA_10YR_ANN_GROWTH">"c1954"</definedName>
    <definedName name="IQ_EBITA_1YR_ANN_GROWTH">"c1949"</definedName>
    <definedName name="IQ_EBITA_2YR_ANN_GROWTH">"c1950"</definedName>
    <definedName name="IQ_EBITA_3YR_ANN_GROWTH">"c1951"</definedName>
    <definedName name="IQ_EBITA_5YR_ANN_GROWTH">"c1952"</definedName>
    <definedName name="IQ_EBITA_7YR_ANN_GROWTH">"c1953"</definedName>
    <definedName name="IQ_EBITA_MARGIN">"c1963"</definedName>
    <definedName name="IQ_EBITDA">"c361"</definedName>
    <definedName name="IQ_EBITDA_10YR_ANN_GROWTH">"c362"</definedName>
    <definedName name="IQ_EBITDA_1YR_ANN_GROWTH">"c363"</definedName>
    <definedName name="IQ_EBITDA_2YR_ANN_GROWTH">"c364"</definedName>
    <definedName name="IQ_EBITDA_3YR_ANN_GROWTH">"c365"</definedName>
    <definedName name="IQ_EBITDA_5YR_ANN_GROWTH">"c366"</definedName>
    <definedName name="IQ_EBITDA_7YR_ANN_GROWTH">"c367"</definedName>
    <definedName name="IQ_EBITDA_ACT_OR_EST">"c2215"</definedName>
    <definedName name="IQ_EBITDA_CAPEX_INT">"c368"</definedName>
    <definedName name="IQ_EBITDA_CAPEX_OVER_TOTAL_IE">"c1370"</definedName>
    <definedName name="IQ_EBITDA_EST">"c369"</definedName>
    <definedName name="IQ_EBITDA_HIGH_EST">"c370"</definedName>
    <definedName name="IQ_EBITDA_INT">"c373"</definedName>
    <definedName name="IQ_EBITDA_LOW_EST">"c371"</definedName>
    <definedName name="IQ_EBITDA_MARGIN">"c372"</definedName>
    <definedName name="IQ_EBITDA_MEDIAN_EST">"c1663"</definedName>
    <definedName name="IQ_EBITDA_NUM_EST">"c374"</definedName>
    <definedName name="IQ_EBITDA_OVER_TOTAL_IE">"c1371"</definedName>
    <definedName name="IQ_EBITDA_STDDEV_EST">"c375"</definedName>
    <definedName name="IQ_EBITDAR">"c2989"</definedName>
    <definedName name="IQ_EBT">"c376"</definedName>
    <definedName name="IQ_EBT_BNK">"c377"</definedName>
    <definedName name="IQ_EBT_BR">"c378"</definedName>
    <definedName name="IQ_EBT_EXCL">"c379"</definedName>
    <definedName name="IQ_EBT_EXCL_BNK">"c380"</definedName>
    <definedName name="IQ_EBT_EXCL_BR">"c381"</definedName>
    <definedName name="IQ_EBT_EXCL_FIN">"c382"</definedName>
    <definedName name="IQ_EBT_EXCL_INS">"c383"</definedName>
    <definedName name="IQ_EBT_EXCL_MARGIN">"c1462"</definedName>
    <definedName name="IQ_EBT_EXCL_REIT">"c384"</definedName>
    <definedName name="IQ_EBT_EXCL_UTI">"c385"</definedName>
    <definedName name="IQ_EBT_FIN">"c386"</definedName>
    <definedName name="IQ_EBT_INCL_MARGIN">"c387"</definedName>
    <definedName name="IQ_EBT_INS">"c388"</definedName>
    <definedName name="IQ_EBT_REIT">"c389"</definedName>
    <definedName name="IQ_EBT_UTI">"c390"</definedName>
    <definedName name="IQ_EFFECT_SPECIAL_CHARGE">"c1595"</definedName>
    <definedName name="IQ_EFFECT_TAX_RATE">"c1899"</definedName>
    <definedName name="IQ_EFFICIENCY_RATIO">"c391"</definedName>
    <definedName name="IQ_EMPLOYEES">"c392"</definedName>
    <definedName name="IQ_ENTERPRISE_VALUE">"c1348"</definedName>
    <definedName name="IQ_EPS_10YR_ANN_GROWTH">"c393"</definedName>
    <definedName name="IQ_EPS_1YR_ANN_GROWTH">"c394"</definedName>
    <definedName name="IQ_EPS_2YR_ANN_GROWTH">"c395"</definedName>
    <definedName name="IQ_EPS_3YR_ANN_GROWTH">"c396"</definedName>
    <definedName name="IQ_EPS_5YR_ANN_GROWTH">"c397"</definedName>
    <definedName name="IQ_EPS_7YR_ANN_GROWTH">"c398"</definedName>
    <definedName name="IQ_EPS_ACT_OR_EST">"c2213"</definedName>
    <definedName name="IQ_EPS_EST">"c399"</definedName>
    <definedName name="IQ_EPS_GW_ACT_OR_EST">"c2223"</definedName>
    <definedName name="IQ_EPS_GW_EST">"c1737"</definedName>
    <definedName name="IQ_EPS_GW_HIGH_EST">"c1739"</definedName>
    <definedName name="IQ_EPS_GW_LOW_EST">"c1740"</definedName>
    <definedName name="IQ_EPS_GW_MEDIAN_EST">"c1738"</definedName>
    <definedName name="IQ_EPS_GW_NUM_EST">"c1741"</definedName>
    <definedName name="IQ_EPS_GW_STDDEV_EST">"c1742"</definedName>
    <definedName name="IQ_EPS_HIGH_EST">"c400"</definedName>
    <definedName name="IQ_EPS_LOW_EST">"c401"</definedName>
    <definedName name="IQ_EPS_MEDIAN_EST">"c1661"</definedName>
    <definedName name="IQ_EPS_NORM">"c1902"</definedName>
    <definedName name="IQ_EPS_NORM_EST">"c2226"</definedName>
    <definedName name="IQ_EPS_NORM_HIGH_EST">"c2228"</definedName>
    <definedName name="IQ_EPS_NORM_LOW_EST">"c2229"</definedName>
    <definedName name="IQ_EPS_NORM_MEDIAN_EST">"c2227"</definedName>
    <definedName name="IQ_EPS_NORM_NUM_EST">"c2230"</definedName>
    <definedName name="IQ_EPS_NORM_STDDEV_EST">"c2231"</definedName>
    <definedName name="IQ_EPS_NUM_EST">"c402"</definedName>
    <definedName name="IQ_EPS_REPORT_ACT_OR_EST">"c2224"</definedName>
    <definedName name="IQ_EPS_REPORTED_EST">"c1744"</definedName>
    <definedName name="IQ_EPS_REPORTED_HIGH_EST">"c1746"</definedName>
    <definedName name="IQ_EPS_REPORTED_LOW_EST">"c1747"</definedName>
    <definedName name="IQ_EPS_REPORTED_MEDIAN_EST">"c1745"</definedName>
    <definedName name="IQ_EPS_REPORTED_NUM_EST">"c1748"</definedName>
    <definedName name="IQ_EPS_REPORTED_STDDEV_EST">"c1749"</definedName>
    <definedName name="IQ_EPS_STDDEV_EST">"c403"</definedName>
    <definedName name="IQ_EQUITY_AFFIL">"c1451"</definedName>
    <definedName name="IQ_EQUITY_METHOD">"c404"</definedName>
    <definedName name="IQ_EQV_OVER_BV">"c1596"</definedName>
    <definedName name="IQ_EQV_OVER_LTM_PRETAX_INC">"c1390"</definedName>
    <definedName name="IQ_ESOP_DEBT">"c1597"</definedName>
    <definedName name="IQ_EST_ACT_CFPS">"c1673"</definedName>
    <definedName name="IQ_EST_ACT_DPS">"c1680"</definedName>
    <definedName name="IQ_EST_ACT_EBIT">"c1687"</definedName>
    <definedName name="IQ_EST_ACT_EBITDA">"c1664"</definedName>
    <definedName name="IQ_EST_ACT_EPS">"c1648"</definedName>
    <definedName name="IQ_EST_ACT_EPS_GW">"c1743"</definedName>
    <definedName name="IQ_EST_ACT_EPS_NORM">"c2232"</definedName>
    <definedName name="IQ_EST_ACT_EPS_REPORTED">"c1750"</definedName>
    <definedName name="IQ_EST_ACT_FFO">"c1666"</definedName>
    <definedName name="IQ_EST_ACT_NAV">"c1757"</definedName>
    <definedName name="IQ_EST_ACT_NI">"c1722"</definedName>
    <definedName name="IQ_EST_ACT_NI_GW">"c1729"</definedName>
    <definedName name="IQ_EST_ACT_NI_REPORTED">"c1736"</definedName>
    <definedName name="IQ_EST_ACT_OPER_INC">"c1694"</definedName>
    <definedName name="IQ_EST_ACT_PRETAX_GW_INC">"c1708"</definedName>
    <definedName name="IQ_EST_ACT_PRETAX_INC">"c1701"</definedName>
    <definedName name="IQ_EST_ACT_PRETAX_REPORT_INC">"c1715"</definedName>
    <definedName name="IQ_EST_ACT_REV">"c2113"</definedName>
    <definedName name="IQ_EST_CFPS_DIFF">"c1871"</definedName>
    <definedName name="IQ_EST_CFPS_GROWTH_1YR">"c1774"</definedName>
    <definedName name="IQ_EST_CFPS_GROWTH_2YR">"c1775"</definedName>
    <definedName name="IQ_EST_CFPS_GROWTH_Q_1YR">"c1776"</definedName>
    <definedName name="IQ_EST_CFPS_SEQ_GROWTH_Q">"c1777"</definedName>
    <definedName name="IQ_EST_CFPS_SURPRISE_PERCENT">"c1872"</definedName>
    <definedName name="IQ_EST_CURRENCY">"c2140"</definedName>
    <definedName name="IQ_EST_DATE">"c1634"</definedName>
    <definedName name="IQ_EST_DPS_DIFF">"c1873"</definedName>
    <definedName name="IQ_EST_DPS_GROWTH_1YR">"c1778"</definedName>
    <definedName name="IQ_EST_DPS_GROWTH_2YR">"c1779"</definedName>
    <definedName name="IQ_EST_DPS_GROWTH_Q_1YR">"c1780"</definedName>
    <definedName name="IQ_EST_DPS_SEQ_GROWTH_Q">"c1781"</definedName>
    <definedName name="IQ_EST_DPS_SURPRISE_PERCENT">"c1874"</definedName>
    <definedName name="IQ_EST_EBIT_DIFF">"c1875"</definedName>
    <definedName name="IQ_EST_EBIT_SURPRISE_PERCENT">"c1876"</definedName>
    <definedName name="IQ_EST_EBITDA_DIFF">"c1867"</definedName>
    <definedName name="IQ_EST_EBITDA_GROWTH_1YR">"c1766"</definedName>
    <definedName name="IQ_EST_EBITDA_GROWTH_2YR">"c1767"</definedName>
    <definedName name="IQ_EST_EBITDA_GROWTH_Q_1YR">"c1768"</definedName>
    <definedName name="IQ_EST_EBITDA_SEQ_GROWTH_Q">"c1769"</definedName>
    <definedName name="IQ_EST_EBITDA_SURPRISE_PERCENT">"c1868"</definedName>
    <definedName name="IQ_EST_EPS_DIFF">"c1864"</definedName>
    <definedName name="IQ_EST_EPS_GROWTH_1YR">"c1636"</definedName>
    <definedName name="IQ_EST_EPS_GROWTH_2YR">"c1637"</definedName>
    <definedName name="IQ_EST_EPS_GROWTH_5YR">"c1655"</definedName>
    <definedName name="IQ_EST_EPS_GROWTH_5YR_HIGH">"c1657"</definedName>
    <definedName name="IQ_EST_EPS_GROWTH_5YR_LOW">"c1658"</definedName>
    <definedName name="IQ_EST_EPS_GROWTH_5YR_MEDIAN">"c1656"</definedName>
    <definedName name="IQ_EST_EPS_GROWTH_5YR_NUM">"c1659"</definedName>
    <definedName name="IQ_EST_EPS_GROWTH_5YR_STDDEV">"c1660"</definedName>
    <definedName name="IQ_EST_EPS_GROWTH_Q_1YR">"c1641"</definedName>
    <definedName name="IQ_EST_EPS_GW_DIFF">"c1891"</definedName>
    <definedName name="IQ_EST_EPS_GW_SURPRISE_PERCENT">"c1892"</definedName>
    <definedName name="IQ_EST_EPS_NORM_DIFF">"c2247"</definedName>
    <definedName name="IQ_EST_EPS_NORM_SURPRISE_PERCENT">"c2248"</definedName>
    <definedName name="IQ_EST_EPS_REPORT_DIFF">"c1893"</definedName>
    <definedName name="IQ_EST_EPS_REPORT_SURPRISE_PERCENT">"c1894"</definedName>
    <definedName name="IQ_EST_EPS_SEQ_GROWTH_Q">"c1764"</definedName>
    <definedName name="IQ_EST_EPS_SURPRISE_PERCENT">"c1635"</definedName>
    <definedName name="IQ_EST_FFO_DIFF">"c1869"</definedName>
    <definedName name="IQ_EST_FFO_GROWTH_1YR">"c1770"</definedName>
    <definedName name="IQ_EST_FFO_GROWTH_2YR">"c1771"</definedName>
    <definedName name="IQ_EST_FFO_GROWTH_Q_1YR">"c1772"</definedName>
    <definedName name="IQ_EST_FFO_SEQ_GROWTH_Q">"c1773"</definedName>
    <definedName name="IQ_EST_FFO_SURPRISE_PERCENT">"c1870"</definedName>
    <definedName name="IQ_EST_NAV_DIFF">"c1895"</definedName>
    <definedName name="IQ_EST_NAV_SURPRISE_PERCENT">"c1896"</definedName>
    <definedName name="IQ_EST_NI_DIFF">"c1885"</definedName>
    <definedName name="IQ_EST_NI_GW_DIFF">"c1887"</definedName>
    <definedName name="IQ_EST_NI_GW_SURPRISE_PERCENT">"c1888"</definedName>
    <definedName name="IQ_EST_NI_REPORT_DIFF">"c1889"</definedName>
    <definedName name="IQ_EST_NI_REPORT_SURPRISE_PERCENT">"c1890"</definedName>
    <definedName name="IQ_EST_NI_SURPRISE_PERCENT">"c1886"</definedName>
    <definedName name="IQ_EST_NUM_BUY">"c1759"</definedName>
    <definedName name="IQ_EST_NUM_HOLD">"c1761"</definedName>
    <definedName name="IQ_EST_NUM_NO_OPINION">"c1758"</definedName>
    <definedName name="IQ_EST_NUM_OUTPERFORM">"c1760"</definedName>
    <definedName name="IQ_EST_NUM_SELL">"c1763"</definedName>
    <definedName name="IQ_EST_NUM_UNDERPERFORM">"c1762"</definedName>
    <definedName name="IQ_EST_OPER_INC_DIFF">"c1877"</definedName>
    <definedName name="IQ_EST_OPER_INC_SURPRISE_PERCENT">"c1878"</definedName>
    <definedName name="IQ_EST_PRE_TAX_DIFF">"c1879"</definedName>
    <definedName name="IQ_EST_PRE_TAX_GW_DIFF">"c1881"</definedName>
    <definedName name="IQ_EST_PRE_TAX_GW_SURPRISE_PERCENT">"c1882"</definedName>
    <definedName name="IQ_EST_PRE_TAX_REPORT_DIFF">"c1883"</definedName>
    <definedName name="IQ_EST_PRE_TAX_REPORT_SURPRISE_PERCENT">"c1884"</definedName>
    <definedName name="IQ_EST_PRE_TAX_SURPRISE_PERCENT">"c1880"</definedName>
    <definedName name="IQ_EST_REV_DIFF">"c1865"</definedName>
    <definedName name="IQ_EST_REV_GROWTH_1YR">"c1638"</definedName>
    <definedName name="IQ_EST_REV_GROWTH_2YR">"c1639"</definedName>
    <definedName name="IQ_EST_REV_GROWTH_Q_1YR">"c1640"</definedName>
    <definedName name="IQ_EST_REV_SEQ_GROWTH_Q">"c1765"</definedName>
    <definedName name="IQ_EST_REV_SURPRISE_PERCENT">"c1866"</definedName>
    <definedName name="IQ_EV_OVER_EMPLOYEE">"c1428"</definedName>
    <definedName name="IQ_EV_OVER_LTM_EBIT">"c1426"</definedName>
    <definedName name="IQ_EV_OVER_LTM_EBITDA">"c1427"</definedName>
    <definedName name="IQ_EV_OVER_LTM_REVENUE">"c1429"</definedName>
    <definedName name="IQ_EXCHANGE">"c405"</definedName>
    <definedName name="IQ_EXERCISE_PRICE">"c1897"</definedName>
    <definedName name="IQ_EXERCISED">"c406"</definedName>
    <definedName name="IQ_EXP_RETURN_PENSION_DOMESTIC">"c407"</definedName>
    <definedName name="IQ_EXP_RETURN_PENSION_FOREIGN">"c408"</definedName>
    <definedName name="IQ_EXPLORE_DRILL">"c409"</definedName>
    <definedName name="IQ_EXTRA_ACC_ITEMS">"c410"</definedName>
    <definedName name="IQ_EXTRA_ACC_ITEMS_BNK">"c411"</definedName>
    <definedName name="IQ_EXTRA_ACC_ITEMS_BR">"c412"</definedName>
    <definedName name="IQ_EXTRA_ACC_ITEMS_FIN">"c413"</definedName>
    <definedName name="IQ_EXTRA_ACC_ITEMS_INS">"c414"</definedName>
    <definedName name="IQ_EXTRA_ACC_ITEMS_REIT">"c415"</definedName>
    <definedName name="IQ_EXTRA_ACC_ITEMS_UTI">"c416"</definedName>
    <definedName name="IQ_EXTRA_ITEMS">"c1459"</definedName>
    <definedName name="IQ_FDIC">"c417"</definedName>
    <definedName name="IQ_FEDFUNDS_SOLD">"c2256"</definedName>
    <definedName name="IQ_FFO">"c1574"</definedName>
    <definedName name="IQ_FFO_ACT_OR_EST">"c2216"</definedName>
    <definedName name="IQ_FFO_EST">"c418"</definedName>
    <definedName name="IQ_FFO_HIGH_EST">"c419"</definedName>
    <definedName name="IQ_FFO_LOW_EST">"c420"</definedName>
    <definedName name="IQ_FFO_MEDIAN_EST">"c1665"</definedName>
    <definedName name="IQ_FFO_NUM_EST">"c421"</definedName>
    <definedName name="IQ_FFO_STDDEV_EST">"c422"</definedName>
    <definedName name="IQ_FHLB_DEBT">"c423"</definedName>
    <definedName name="IQ_FHLB_DUE_CY">"c2080"</definedName>
    <definedName name="IQ_FHLB_DUE_CY1">"c2081"</definedName>
    <definedName name="IQ_FHLB_DUE_CY2">"c2082"</definedName>
    <definedName name="IQ_FHLB_DUE_CY3">"c2083"</definedName>
    <definedName name="IQ_FHLB_DUE_CY4">"c2084"</definedName>
    <definedName name="IQ_FHLB_DUE_NEXT_FIVE">"c2085"</definedName>
    <definedName name="IQ_FILING_CURRENCY">"c2129"</definedName>
    <definedName name="IQ_FILINGDATE_BS">"c424"</definedName>
    <definedName name="IQ_FILINGDATE_CF">"c425"</definedName>
    <definedName name="IQ_FILINGDATE_IS">"c426"</definedName>
    <definedName name="IQ_FILM_RIGHTS">"c2254"</definedName>
    <definedName name="IQ_FIN_DIV_ASSETS_CURRENT">"c427"</definedName>
    <definedName name="IQ_FIN_DIV_ASSETS_LT">"c428"</definedName>
    <definedName name="IQ_FIN_DIV_DEBT_CURRENT">"c429"</definedName>
    <definedName name="IQ_FIN_DIV_DEBT_LT">"c430"</definedName>
    <definedName name="IQ_FIN_DIV_EXP">"c431"</definedName>
    <definedName name="IQ_FIN_DIV_INT_EXP">"c432"</definedName>
    <definedName name="IQ_FIN_DIV_LIAB_CURRENT">"c433"</definedName>
    <definedName name="IQ_FIN_DIV_LIAB_LT">"c434"</definedName>
    <definedName name="IQ_FIN_DIV_LOANS_CURRENT">"c435"</definedName>
    <definedName name="IQ_FIN_DIV_LOANS_LT">"c436"</definedName>
    <definedName name="IQ_FIN_DIV_REV">"c437"</definedName>
    <definedName name="IQ_FINANCING_CASH">"c1405"</definedName>
    <definedName name="IQ_FINANCING_CASH_SUPPL">"c1406"</definedName>
    <definedName name="IQ_FINISHED_INV">"c438"</definedName>
    <definedName name="IQ_FIRST_YEAR_LIFE">"c439"</definedName>
    <definedName name="IQ_FIRST_YEAR_LIFE_PREM">"c2787"</definedName>
    <definedName name="IQ_FIRST_YEAR_PREM">"c2786"</definedName>
    <definedName name="IQ_FIRSTPRICINGDATE">"c3050"</definedName>
    <definedName name="IQ_FISCAL_Q">"c440"</definedName>
    <definedName name="IQ_FISCAL_Y">"c441"</definedName>
    <definedName name="IQ_FIVE_PERCENT_OWNER">"c442"</definedName>
    <definedName name="IQ_FIVEPERCENT_PERCENT">"c443"</definedName>
    <definedName name="IQ_FIVEPERCENT_SHARES">"c444"</definedName>
    <definedName name="IQ_FIXED_ASSET_TURNS">"c445"</definedName>
    <definedName name="IQ_FLOAT_PERCENT">"c1575"</definedName>
    <definedName name="IQ_FOREIGN_DEP_IB">"c446"</definedName>
    <definedName name="IQ_FOREIGN_DEP_NON_IB">"c447"</definedName>
    <definedName name="IQ_FOREIGN_EXCHANGE">"c1376"</definedName>
    <definedName name="IQ_FOREIGN_LOANS">"c448"</definedName>
    <definedName name="IQ_FQ">500</definedName>
    <definedName name="IQ_FUEL">"c449"</definedName>
    <definedName name="IQ_FULL_TIME">"c450"</definedName>
    <definedName name="IQ_FWD_CY">10001</definedName>
    <definedName name="IQ_FWD_CY1">10002</definedName>
    <definedName name="IQ_FWD_CY2">10003</definedName>
    <definedName name="IQ_FWD_FY">1001</definedName>
    <definedName name="IQ_FWD_FY1">1002</definedName>
    <definedName name="IQ_FWD_FY2">1003</definedName>
    <definedName name="IQ_FWD_Q">501</definedName>
    <definedName name="IQ_FWD_Q1">502</definedName>
    <definedName name="IQ_FWD_Q2">503</definedName>
    <definedName name="IQ_FX">"c451"</definedName>
    <definedName name="IQ_FY">1000</definedName>
    <definedName name="IQ_GA_EXP">"c2241"</definedName>
    <definedName name="IQ_GAIN_ASSETS">"c452"</definedName>
    <definedName name="IQ_GAIN_ASSETS_BNK">"c453"</definedName>
    <definedName name="IQ_GAIN_ASSETS_BR">"c454"</definedName>
    <definedName name="IQ_GAIN_ASSETS_CF">"c455"</definedName>
    <definedName name="IQ_GAIN_ASSETS_CF_BNK">"c456"</definedName>
    <definedName name="IQ_GAIN_ASSETS_CF_BR">"c457"</definedName>
    <definedName name="IQ_GAIN_ASSETS_CF_FIN">"c458"</definedName>
    <definedName name="IQ_GAIN_ASSETS_CF_INS">"c459"</definedName>
    <definedName name="IQ_GAIN_ASSETS_CF_REIT">"c460"</definedName>
    <definedName name="IQ_GAIN_ASSETS_CF_UTI">"c461"</definedName>
    <definedName name="IQ_GAIN_ASSETS_FIN">"c462"</definedName>
    <definedName name="IQ_GAIN_ASSETS_INS">"c463"</definedName>
    <definedName name="IQ_GAIN_ASSETS_REIT">"c471"</definedName>
    <definedName name="IQ_GAIN_ASSETS_REV">"c472"</definedName>
    <definedName name="IQ_GAIN_ASSETS_REV_BNK">"c473"</definedName>
    <definedName name="IQ_GAIN_ASSETS_REV_BR">"c474"</definedName>
    <definedName name="IQ_GAIN_ASSETS_REV_FIN">"c475"</definedName>
    <definedName name="IQ_GAIN_ASSETS_REV_INS">"c476"</definedName>
    <definedName name="IQ_GAIN_ASSETS_REV_REIT">"c477"</definedName>
    <definedName name="IQ_GAIN_ASSETS_REV_UTI">"c478"</definedName>
    <definedName name="IQ_GAIN_ASSETS_UTI">"c479"</definedName>
    <definedName name="IQ_GAIN_INVEST">"c1463"</definedName>
    <definedName name="IQ_GAIN_INVEST_BNK">"c1582"</definedName>
    <definedName name="IQ_GAIN_INVEST_BR">"c1464"</definedName>
    <definedName name="IQ_GAIN_INVEST_CF">"c480"</definedName>
    <definedName name="IQ_GAIN_INVEST_CF_BNK">"c481"</definedName>
    <definedName name="IQ_GAIN_INVEST_CF_BR">"c482"</definedName>
    <definedName name="IQ_GAIN_INVEST_CF_FIN">"c483"</definedName>
    <definedName name="IQ_GAIN_INVEST_CF_INS">"c484"</definedName>
    <definedName name="IQ_GAIN_INVEST_CF_REIT">"c485"</definedName>
    <definedName name="IQ_GAIN_INVEST_CF_UTI">"c486"</definedName>
    <definedName name="IQ_GAIN_INVEST_FIN">"c1465"</definedName>
    <definedName name="IQ_GAIN_INVEST_INS">"c1466"</definedName>
    <definedName name="IQ_GAIN_INVEST_REIT">"c1467"</definedName>
    <definedName name="IQ_GAIN_INVEST_REV">"c494"</definedName>
    <definedName name="IQ_GAIN_INVEST_REV_BNK">"c495"</definedName>
    <definedName name="IQ_GAIN_INVEST_REV_BR">"c496"</definedName>
    <definedName name="IQ_GAIN_INVEST_REV_FIN">"c497"</definedName>
    <definedName name="IQ_GAIN_INVEST_REV_INS">"c498"</definedName>
    <definedName name="IQ_GAIN_INVEST_REV_REIT">"c499"</definedName>
    <definedName name="IQ_GAIN_INVEST_REV_UTI">"c500"</definedName>
    <definedName name="IQ_GAIN_INVEST_UTI">"c1468"</definedName>
    <definedName name="IQ_GAIN_LOANS_REC">"c501"</definedName>
    <definedName name="IQ_GAIN_LOANS_RECEIV">"c502"</definedName>
    <definedName name="IQ_GAIN_LOANS_RECEIV_REV_FIN">"c503"</definedName>
    <definedName name="IQ_GAIN_LOANS_REV">"c504"</definedName>
    <definedName name="IQ_GAIN_SALE_ASSETS">"c1377"</definedName>
    <definedName name="IQ_GOODWILL_NET">"c1380"</definedName>
    <definedName name="IQ_GP">"c511"</definedName>
    <definedName name="IQ_GP_10YR_ANN_GROWTH">"c512"</definedName>
    <definedName name="IQ_GP_1YR_ANN_GROWTH">"c513"</definedName>
    <definedName name="IQ_GP_2YR_ANN_GROWTH">"c514"</definedName>
    <definedName name="IQ_GP_3YR_ANN_GROWTH">"c515"</definedName>
    <definedName name="IQ_GP_5YR_ANN_GROWTH">"c516"</definedName>
    <definedName name="IQ_GP_7YR_ANN_GROWTH">"c517"</definedName>
    <definedName name="IQ_GPPE">"c518"</definedName>
    <definedName name="IQ_GROSS_AH_EARNED">"c2742"</definedName>
    <definedName name="IQ_GROSS_CLAIM_EXP_INCUR">"c2755"</definedName>
    <definedName name="IQ_GROSS_CLAIM_EXP_PAID">"c2758"</definedName>
    <definedName name="IQ_GROSS_CLAIM_EXP_RES">"c2752"</definedName>
    <definedName name="IQ_GROSS_DIVID">"c1446"</definedName>
    <definedName name="IQ_GROSS_EARNED">"c2732"</definedName>
    <definedName name="IQ_GROSS_LIFE_EARNED">"c2737"</definedName>
    <definedName name="IQ_GROSS_LIFE_IN_FORCE">"c2767"</definedName>
    <definedName name="IQ_GROSS_LOANS">"c521"</definedName>
    <definedName name="IQ_GROSS_LOANS_10YR_ANN_GROWTH">"c522"</definedName>
    <definedName name="IQ_GROSS_LOANS_1YR_ANN_GROWTH">"c523"</definedName>
    <definedName name="IQ_GROSS_LOANS_2YR_ANN_GROWTH">"c524"</definedName>
    <definedName name="IQ_GROSS_LOANS_3YR_ANN_GROWTH">"c525"</definedName>
    <definedName name="IQ_GROSS_LOANS_5YR_ANN_GROWTH">"c526"</definedName>
    <definedName name="IQ_GROSS_LOANS_7YR_ANN_GROWTH">"c527"</definedName>
    <definedName name="IQ_GROSS_LOANS_TOTAL_DEPOSITS">"c528"</definedName>
    <definedName name="IQ_GROSS_MARGIN">"c529"</definedName>
    <definedName name="IQ_GROSS_PC_EARNED">"c2747"</definedName>
    <definedName name="IQ_GROSS_PROFIT">"c1378"</definedName>
    <definedName name="IQ_GROSS_WRITTEN">"c2726"</definedName>
    <definedName name="IQ_GW">"c530"</definedName>
    <definedName name="IQ_GW_AMORT_BR">"c532"</definedName>
    <definedName name="IQ_GW_AMORT_FIN">"c540"</definedName>
    <definedName name="IQ_GW_AMORT_INS">"c541"</definedName>
    <definedName name="IQ_GW_AMORT_REIT">"c542"</definedName>
    <definedName name="IQ_GW_AMORT_UTI">"c543"</definedName>
    <definedName name="IQ_GW_INTAN_AMORT">"c1469"</definedName>
    <definedName name="IQ_GW_INTAN_AMORT_BNK">"c544"</definedName>
    <definedName name="IQ_GW_INTAN_AMORT_BR">"c1470"</definedName>
    <definedName name="IQ_GW_INTAN_AMORT_CF">"c1471"</definedName>
    <definedName name="IQ_GW_INTAN_AMORT_CF_BNK">"c1472"</definedName>
    <definedName name="IQ_GW_INTAN_AMORT_CF_BR">"c1473"</definedName>
    <definedName name="IQ_GW_INTAN_AMORT_CF_FIN">"c1474"</definedName>
    <definedName name="IQ_GW_INTAN_AMORT_CF_INS">"c1475"</definedName>
    <definedName name="IQ_GW_INTAN_AMORT_CF_REIT">"c1476"</definedName>
    <definedName name="IQ_GW_INTAN_AMORT_CF_UTI">"c1477"</definedName>
    <definedName name="IQ_GW_INTAN_AMORT_FIN">"c1478"</definedName>
    <definedName name="IQ_GW_INTAN_AMORT_INS">"c1479"</definedName>
    <definedName name="IQ_GW_INTAN_AMORT_REIT">"c1480"</definedName>
    <definedName name="IQ_GW_INTAN_AMORT_UTI">"c1481"</definedName>
    <definedName name="IQ_HIGH_TARGET_PRICE">"c1651"</definedName>
    <definedName name="IQ_HIGHPRICE">"c545"</definedName>
    <definedName name="IQ_HOMEOWNERS_WRITTEN">"c546"</definedName>
    <definedName name="IQ_IMPAIR_OIL">"c547"</definedName>
    <definedName name="IQ_IMPAIRMENT_GW">"c548"</definedName>
    <definedName name="IQ_IMPUT_OPER_LEASE_DEPR">"c2987"</definedName>
    <definedName name="IQ_IMPUT_OPER_LEASE_INT_EXP">"c2986"</definedName>
    <definedName name="IQ_INC_AFTER_TAX">"c1598"</definedName>
    <definedName name="IQ_INC_AVAIL_EXCL">"c1395"</definedName>
    <definedName name="IQ_INC_AVAIL_INCL">"c1396"</definedName>
    <definedName name="IQ_INC_BEFORE_TAX">"c1375"</definedName>
    <definedName name="IQ_INC_EQUITY">"c549"</definedName>
    <definedName name="IQ_INC_EQUITY_BR">"c550"</definedName>
    <definedName name="IQ_INC_EQUITY_CF">"c551"</definedName>
    <definedName name="IQ_INC_EQUITY_FIN">"c552"</definedName>
    <definedName name="IQ_INC_EQUITY_INS">"c553"</definedName>
    <definedName name="IQ_INC_EQUITY_REC_BNK">"c554"</definedName>
    <definedName name="IQ_INC_EQUITY_REIT">"c555"</definedName>
    <definedName name="IQ_INC_EQUITY_REV_BNK">"c556"</definedName>
    <definedName name="IQ_INC_EQUITY_UTI">"c557"</definedName>
    <definedName name="IQ_INC_REAL_ESTATE_REC">"c558"</definedName>
    <definedName name="IQ_INC_REAL_ESTATE_REV">"c559"</definedName>
    <definedName name="IQ_INC_TAX">"c560"</definedName>
    <definedName name="IQ_INC_TAX_EXCL">"c1599"</definedName>
    <definedName name="IQ_INC_TAX_PAY_CURRENT">"c561"</definedName>
    <definedName name="IQ_INC_TRADE_ACT">"c562"</definedName>
    <definedName name="IQ_INS_ANNUITY_LIAB">"c563"</definedName>
    <definedName name="IQ_INS_ANNUITY_REV">"c2788"</definedName>
    <definedName name="IQ_INS_DIV_EXP">"c564"</definedName>
    <definedName name="IQ_INS_DIV_REV">"c565"</definedName>
    <definedName name="IQ_INS_IN_FORCE">"c566"</definedName>
    <definedName name="IQ_INS_LIAB">"c567"</definedName>
    <definedName name="IQ_INS_POLICY_EXP">"c568"</definedName>
    <definedName name="IQ_INS_REV">"c569"</definedName>
    <definedName name="IQ_INS_SETTLE">"c570"</definedName>
    <definedName name="IQ_INS_SETTLE_BNK">"c571"</definedName>
    <definedName name="IQ_INS_SETTLE_BR">"c572"</definedName>
    <definedName name="IQ_INS_SETTLE_FIN">"c573"</definedName>
    <definedName name="IQ_INS_SETTLE_INS">"c574"</definedName>
    <definedName name="IQ_INS_SETTLE_REIT">"c575"</definedName>
    <definedName name="IQ_INS_SETTLE_UTI">"c576"</definedName>
    <definedName name="IQ_INSIDER_3MTH_BOUGHT_PCT">"c1534"</definedName>
    <definedName name="IQ_INSIDER_3MTH_NET_PCT">"c1535"</definedName>
    <definedName name="IQ_INSIDER_3MTH_SOLD_PCT">"c1533"</definedName>
    <definedName name="IQ_INSIDER_6MTH_BOUGHT_PCT">"c1537"</definedName>
    <definedName name="IQ_INSIDER_6MTH_NET_PCT">"c1538"</definedName>
    <definedName name="IQ_INSIDER_6MTH_SOLD_PCT">"c1536"</definedName>
    <definedName name="IQ_INSIDER_OVER_TOTAL">"c1581"</definedName>
    <definedName name="IQ_INSIDER_OWNER">"c577"</definedName>
    <definedName name="IQ_INSIDER_PERCENT">"c578"</definedName>
    <definedName name="IQ_INSIDER_SHARES">"c579"</definedName>
    <definedName name="IQ_INSTITUTIONAL_OVER_TOTAL">"c1580"</definedName>
    <definedName name="IQ_INSTITUTIONAL_OWNER">"c580"</definedName>
    <definedName name="IQ_INSTITUTIONAL_PERCENT">"c581"</definedName>
    <definedName name="IQ_INSTITUTIONAL_SHARES">"c582"</definedName>
    <definedName name="IQ_INSUR_RECEIV">"c1600"</definedName>
    <definedName name="IQ_INT_BORROW">"c583"</definedName>
    <definedName name="IQ_INT_DEPOSITS">"c584"</definedName>
    <definedName name="IQ_INT_DIV_INC">"c585"</definedName>
    <definedName name="IQ_INT_EXP_BR">"c586"</definedName>
    <definedName name="IQ_INT_EXP_COVERAGE">"c587"</definedName>
    <definedName name="IQ_INT_EXP_FIN">"c588"</definedName>
    <definedName name="IQ_INT_EXP_INCL_CAP">"c2988"</definedName>
    <definedName name="IQ_INT_EXP_INS">"c589"</definedName>
    <definedName name="IQ_INT_EXP_LTD">"c2086"</definedName>
    <definedName name="IQ_INT_EXP_REIT">"c590"</definedName>
    <definedName name="IQ_INT_EXP_TOTAL">"c591"</definedName>
    <definedName name="IQ_INT_EXP_UTI">"c592"</definedName>
    <definedName name="IQ_INT_INC_BR">"c593"</definedName>
    <definedName name="IQ_INT_INC_FIN">"c594"</definedName>
    <definedName name="IQ_INT_INC_INVEST">"c595"</definedName>
    <definedName name="IQ_INT_INC_LOANS">"c596"</definedName>
    <definedName name="IQ_INT_INC_REIT">"c597"</definedName>
    <definedName name="IQ_INT_INC_TOTAL">"c598"</definedName>
    <definedName name="IQ_INT_INC_UTI">"c599"</definedName>
    <definedName name="IQ_INT_INV_INC">"c600"</definedName>
    <definedName name="IQ_INT_INV_INC_REIT">"c601"</definedName>
    <definedName name="IQ_INT_INV_INC_UTI">"c602"</definedName>
    <definedName name="IQ_INT_ON_BORROWING_COVERAGE">"c603"</definedName>
    <definedName name="IQ_INT_RATE_SPREAD">"c604"</definedName>
    <definedName name="IQ_INTANGIBLES_NET">"c1407"</definedName>
    <definedName name="IQ_INTEREST_CASH_DEPOSITS">"c2255"</definedName>
    <definedName name="IQ_INTEREST_EXP">"c618"</definedName>
    <definedName name="IQ_INTEREST_EXP_NET">"c1450"</definedName>
    <definedName name="IQ_INTEREST_EXP_NON">"c1383"</definedName>
    <definedName name="IQ_INTEREST_EXP_SUPPL">"c1460"</definedName>
    <definedName name="IQ_INTEREST_INC">"c1393"</definedName>
    <definedName name="IQ_INTEREST_INC_NON">"c1384"</definedName>
    <definedName name="IQ_INTEREST_INVEST_INC">"c619"</definedName>
    <definedName name="IQ_INV_10YR_ANN_GROWTH">"c1930"</definedName>
    <definedName name="IQ_INV_1YR_ANN_GROWTH">"c1925"</definedName>
    <definedName name="IQ_INV_2YR_ANN_GROWTH">"c1926"</definedName>
    <definedName name="IQ_INV_3YR_ANN_GROWTH">"c1927"</definedName>
    <definedName name="IQ_INV_5YR_ANN_GROWTH">"c1928"</definedName>
    <definedName name="IQ_INV_7YR_ANN_GROWTH">"c1929"</definedName>
    <definedName name="IQ_INV_BANKING_FEE">"c620"</definedName>
    <definedName name="IQ_INV_METHOD">"c621"</definedName>
    <definedName name="IQ_INVENTORY">"c622"</definedName>
    <definedName name="IQ_INVENTORY_TURNS">"c623"</definedName>
    <definedName name="IQ_INVENTORY_UTI">"c624"</definedName>
    <definedName name="IQ_INVEST_DEBT">"c625"</definedName>
    <definedName name="IQ_INVEST_EQUITY_PREF">"c626"</definedName>
    <definedName name="IQ_INVEST_FHLB">"c627"</definedName>
    <definedName name="IQ_INVEST_LOANS_CF">"c628"</definedName>
    <definedName name="IQ_INVEST_LOANS_CF_BNK">"c629"</definedName>
    <definedName name="IQ_INVEST_LOANS_CF_BR">"c630"</definedName>
    <definedName name="IQ_INVEST_LOANS_CF_FIN">"c631"</definedName>
    <definedName name="IQ_INVEST_LOANS_CF_INS">"c632"</definedName>
    <definedName name="IQ_INVEST_LOANS_CF_REIT">"c633"</definedName>
    <definedName name="IQ_INVEST_LOANS_CF_UTI">"c634"</definedName>
    <definedName name="IQ_INVEST_REAL_ESTATE">"c635"</definedName>
    <definedName name="IQ_INVEST_SECURITY">"c636"</definedName>
    <definedName name="IQ_INVEST_SECURITY_CF">"c637"</definedName>
    <definedName name="IQ_INVEST_SECURITY_CF_BNK">"c638"</definedName>
    <definedName name="IQ_INVEST_SECURITY_CF_BR">"c639"</definedName>
    <definedName name="IQ_INVEST_SECURITY_CF_FIN">"c640"</definedName>
    <definedName name="IQ_INVEST_SECURITY_CF_INS">"c641"</definedName>
    <definedName name="IQ_INVEST_SECURITY_CF_REIT">"c642"</definedName>
    <definedName name="IQ_INVEST_SECURITY_CF_UTI">"c643"</definedName>
    <definedName name="IQ_IPRD">"c644"</definedName>
    <definedName name="IQ_ISS_DEBT_NET">"c1391"</definedName>
    <definedName name="IQ_ISS_STOCK_NET">"c1601"</definedName>
    <definedName name="IQ_JR_SUB_DEBT">"c2534"</definedName>
    <definedName name="IQ_JR_SUB_DEBT_EBITDA">"c2560"</definedName>
    <definedName name="IQ_JR_SUB_DEBT_EBITDA_CAPEX">"c2561"</definedName>
    <definedName name="IQ_JR_SUB_DEBT_PCT">"c2535"</definedName>
    <definedName name="IQ_LAND">"c645"</definedName>
    <definedName name="IQ_LAST_SPLIT_DATE">"c2095"</definedName>
    <definedName name="IQ_LAST_SPLIT_FACTOR">"c2093"</definedName>
    <definedName name="IQ_LASTPRICINGDATE">"c3051"</definedName>
    <definedName name="IQ_LASTSALEPRICE">"c646"</definedName>
    <definedName name="IQ_LASTSALEPRICE_DATE">"c2109"</definedName>
    <definedName name="IQ_LATESTK">1000</definedName>
    <definedName name="IQ_LATESTQ">500</definedName>
    <definedName name="IQ_LEGAL_SETTLE">"c647"</definedName>
    <definedName name="IQ_LEGAL_SETTLE_BNK">"c648"</definedName>
    <definedName name="IQ_LEGAL_SETTLE_BR">"c649"</definedName>
    <definedName name="IQ_LEGAL_SETTLE_FIN">"c650"</definedName>
    <definedName name="IQ_LEGAL_SETTLE_INS">"c651"</definedName>
    <definedName name="IQ_LEGAL_SETTLE_REIT">"c652"</definedName>
    <definedName name="IQ_LEGAL_SETTLE_UTI">"c653"</definedName>
    <definedName name="IQ_LEVERAGE_RATIO">"c654"</definedName>
    <definedName name="IQ_LEVERED_FCF">"c1907"</definedName>
    <definedName name="IQ_LFCF_10YR_ANN_GROWTH">"c1942"</definedName>
    <definedName name="IQ_LFCF_1YR_ANN_GROWTH">"c1937"</definedName>
    <definedName name="IQ_LFCF_2YR_ANN_GROWTH">"c1938"</definedName>
    <definedName name="IQ_LFCF_3YR_ANN_GROWTH">"c1939"</definedName>
    <definedName name="IQ_LFCF_5YR_ANN_GROWTH">"c1940"</definedName>
    <definedName name="IQ_LFCF_7YR_ANN_GROWTH">"c1941"</definedName>
    <definedName name="IQ_LFCF_MARGIN">"c1961"</definedName>
    <definedName name="IQ_LH_STATUTORY_SURPLUS">"c2771"</definedName>
    <definedName name="IQ_LICENSED_POPS">"c2123"</definedName>
    <definedName name="IQ_LIFE_EARNED">"c2739"</definedName>
    <definedName name="IQ_LIFOR">"c655"</definedName>
    <definedName name="IQ_LL">"c656"</definedName>
    <definedName name="IQ_LOAN_LEASE_RECEIV">"c657"</definedName>
    <definedName name="IQ_LOAN_LOSS">"c1386"</definedName>
    <definedName name="IQ_LOAN_SERVICE_REV">"c658"</definedName>
    <definedName name="IQ_LOANS_CF">"c659"</definedName>
    <definedName name="IQ_LOANS_CF_BNK">"c660"</definedName>
    <definedName name="IQ_LOANS_CF_BR">"c661"</definedName>
    <definedName name="IQ_LOANS_CF_FIN">"c662"</definedName>
    <definedName name="IQ_LOANS_CF_INS">"c663"</definedName>
    <definedName name="IQ_LOANS_CF_REIT">"c664"</definedName>
    <definedName name="IQ_LOANS_CF_UTI">"c665"</definedName>
    <definedName name="IQ_LOANS_FOR_SALE">"c666"</definedName>
    <definedName name="IQ_LOANS_PAST_DUE">"c667"</definedName>
    <definedName name="IQ_LOANS_RECEIV_CURRENT">"c668"</definedName>
    <definedName name="IQ_LOANS_RECEIV_LT">"c669"</definedName>
    <definedName name="IQ_LOANS_RECEIV_LT_UTI">"c670"</definedName>
    <definedName name="IQ_LONG_TERM_DEBT">"c1387"</definedName>
    <definedName name="IQ_LONG_TERM_DEBT_OVER_TOTAL_CAP">"c1388"</definedName>
    <definedName name="IQ_LONG_TERM_GROWTH">"c671"</definedName>
    <definedName name="IQ_LONG_TERM_INV">"c1389"</definedName>
    <definedName name="IQ_LOSS_LOSS_EXP">"c672"</definedName>
    <definedName name="IQ_LOSS_TO_NET_EARNED">"c2751"</definedName>
    <definedName name="IQ_LOW_TARGET_PRICE">"c1652"</definedName>
    <definedName name="IQ_LOWPRICE">"c673"</definedName>
    <definedName name="IQ_LT_DEBT">"c674"</definedName>
    <definedName name="IQ_LT_DEBT_BNK">"c675"</definedName>
    <definedName name="IQ_LT_DEBT_BR">"c676"</definedName>
    <definedName name="IQ_LT_DEBT_CAPITAL">"c677"</definedName>
    <definedName name="IQ_LT_DEBT_CAPITAL_LEASES">"c2542"</definedName>
    <definedName name="IQ_LT_DEBT_CAPITAL_LEASES_PCT">"c2543"</definedName>
    <definedName name="IQ_LT_DEBT_EQUITY">"c678"</definedName>
    <definedName name="IQ_LT_DEBT_FIN">"c679"</definedName>
    <definedName name="IQ_LT_DEBT_INS">"c680"</definedName>
    <definedName name="IQ_LT_DEBT_ISSUED">"c681"</definedName>
    <definedName name="IQ_LT_DEBT_ISSUED_BNK">"c682"</definedName>
    <definedName name="IQ_LT_DEBT_ISSUED_BR">"c683"</definedName>
    <definedName name="IQ_LT_DEBT_ISSUED_FIN">"c684"</definedName>
    <definedName name="IQ_LT_DEBT_ISSUED_INS">"c685"</definedName>
    <definedName name="IQ_LT_DEBT_ISSUED_REIT">"c686"</definedName>
    <definedName name="IQ_LT_DEBT_ISSUED_UTI">"c687"</definedName>
    <definedName name="IQ_LT_DEBT_REIT">"c688"</definedName>
    <definedName name="IQ_LT_DEBT_REPAID">"c689"</definedName>
    <definedName name="IQ_LT_DEBT_REPAID_BNK">"c690"</definedName>
    <definedName name="IQ_LT_DEBT_REPAID_BR">"c691"</definedName>
    <definedName name="IQ_LT_DEBT_REPAID_FIN">"c692"</definedName>
    <definedName name="IQ_LT_DEBT_REPAID_INS">"c693"</definedName>
    <definedName name="IQ_LT_DEBT_REPAID_REIT">"c694"</definedName>
    <definedName name="IQ_LT_DEBT_REPAID_UTI">"c695"</definedName>
    <definedName name="IQ_LT_DEBT_UTI">"c696"</definedName>
    <definedName name="IQ_LT_INVEST">"c697"</definedName>
    <definedName name="IQ_LT_INVEST_BR">"c698"</definedName>
    <definedName name="IQ_LT_INVEST_FIN">"c699"</definedName>
    <definedName name="IQ_LT_INVEST_REIT">"c700"</definedName>
    <definedName name="IQ_LT_INVEST_UTI">"c701"</definedName>
    <definedName name="IQ_LT_NOTE_RECEIV">"c1602"</definedName>
    <definedName name="IQ_LTD_DUE_AFTER_FIVE">"c704"</definedName>
    <definedName name="IQ_LTD_DUE_CY">"c705"</definedName>
    <definedName name="IQ_LTD_DUE_CY1">"c706"</definedName>
    <definedName name="IQ_LTD_DUE_CY2">"c707"</definedName>
    <definedName name="IQ_LTD_DUE_CY3">"c708"</definedName>
    <definedName name="IQ_LTD_DUE_CY4">"c709"</definedName>
    <definedName name="IQ_LTD_DUE_NEXT_FIVE">"c710"</definedName>
    <definedName name="IQ_LTM">2000</definedName>
    <definedName name="IQ_LTM_REVENUE_OVER_EMPLOYEES">"c1437"</definedName>
    <definedName name="IQ_MACHINERY">"c711"</definedName>
    <definedName name="IQ_MAINT_CAPEX">"c2947"</definedName>
    <definedName name="IQ_MAINT_REPAIR">"c2087"</definedName>
    <definedName name="IQ_MARKET_CAP_LFCF">"c2209"</definedName>
    <definedName name="IQ_MARKETCAP">"c712"</definedName>
    <definedName name="IQ_MARKETING">"c2239"</definedName>
    <definedName name="IQ_MC_RATIO">"c2783"</definedName>
    <definedName name="IQ_MC_STATUTORY_SURPLUS">"c2772"</definedName>
    <definedName name="IQ_MEDIAN_TARGET_PRICE">"c1650"</definedName>
    <definedName name="IQ_MERGER">"c713"</definedName>
    <definedName name="IQ_MERGER_BNK">"c714"</definedName>
    <definedName name="IQ_MERGER_BR">"c715"</definedName>
    <definedName name="IQ_MERGER_FIN">"c716"</definedName>
    <definedName name="IQ_MERGER_INS">"c717"</definedName>
    <definedName name="IQ_MERGER_REIT">"c718"</definedName>
    <definedName name="IQ_MERGER_RESTRUCTURE">"c719"</definedName>
    <definedName name="IQ_MERGER_RESTRUCTURE_BNK">"c720"</definedName>
    <definedName name="IQ_MERGER_RESTRUCTURE_BR">"c721"</definedName>
    <definedName name="IQ_MERGER_RESTRUCTURE_FIN">"c722"</definedName>
    <definedName name="IQ_MERGER_RESTRUCTURE_INS">"c723"</definedName>
    <definedName name="IQ_MERGER_RESTRUCTURE_REIT">"c724"</definedName>
    <definedName name="IQ_MERGER_RESTRUCTURE_UTI">"c725"</definedName>
    <definedName name="IQ_MERGER_UTI">"c726"</definedName>
    <definedName name="IQ_MINORITY_INTEREST">"c727"</definedName>
    <definedName name="IQ_MINORITY_INTEREST_BNK">"c728"</definedName>
    <definedName name="IQ_MINORITY_INTEREST_BR">"c729"</definedName>
    <definedName name="IQ_MINORITY_INTEREST_CF">"c730"</definedName>
    <definedName name="IQ_MINORITY_INTEREST_FIN">"c731"</definedName>
    <definedName name="IQ_MINORITY_INTEREST_INS">"c732"</definedName>
    <definedName name="IQ_MINORITY_INTEREST_IS">"c733"</definedName>
    <definedName name="IQ_MINORITY_INTEREST_REIT">"c734"</definedName>
    <definedName name="IQ_MINORITY_INTEREST_TOTAL">"c1905"</definedName>
    <definedName name="IQ_MINORITY_INTEREST_UTI">"c735"</definedName>
    <definedName name="IQ_MISC_ADJUST_CF">"c736"</definedName>
    <definedName name="IQ_MISC_EARN_ADJ">"c1603"</definedName>
    <definedName name="IQ_MKTCAP_EBT_EXCL">"c737"</definedName>
    <definedName name="IQ_MKTCAP_EBT_EXCL_AVG">"c738"</definedName>
    <definedName name="IQ_MKTCAP_EBT_INCL_AVG">"c739"</definedName>
    <definedName name="IQ_MKTCAP_TOTAL_REV">"c740"</definedName>
    <definedName name="IQ_MKTCAP_TOTAL_REV_AVG">"c741"</definedName>
    <definedName name="IQ_MKTCAP_TOTAL_REV_FWD">"c742"</definedName>
    <definedName name="IQ_MM_ACCOUNT">"c743"</definedName>
    <definedName name="IQ_MORT_BANK_ACT">"c744"</definedName>
    <definedName name="IQ_MORT_BANKING_FEE">"c745"</definedName>
    <definedName name="IQ_MORT_INT_INC">"c746"</definedName>
    <definedName name="IQ_MORT_LOANS">"c747"</definedName>
    <definedName name="IQ_MORT_SECURITY">"c748"</definedName>
    <definedName name="IQ_MORTGAGE_SERV_RIGHTS">"c2242"</definedName>
    <definedName name="IQ_NAV_ACT_OR_EST">"c2225"</definedName>
    <definedName name="IQ_NAV_EST">"c1751"</definedName>
    <definedName name="IQ_NAV_HIGH_EST">"c1753"</definedName>
    <definedName name="IQ_NAV_LOW_EST">"c1754"</definedName>
    <definedName name="IQ_NAV_MEDIAN_EST">"c1752"</definedName>
    <definedName name="IQ_NAV_NUM_EST">"c1755"</definedName>
    <definedName name="IQ_NAV_STDDEV_EST">"c1756"</definedName>
    <definedName name="IQ_NET_CHANGE">"c749"</definedName>
    <definedName name="IQ_NET_CLAIM_EXP_INCUR">"c2757"</definedName>
    <definedName name="IQ_NET_CLAIM_EXP_INCUR_CY">"c2761"</definedName>
    <definedName name="IQ_NET_CLAIM_EXP_INCUR_PY">"c2762"</definedName>
    <definedName name="IQ_NET_CLAIM_EXP_PAID">"c2760"</definedName>
    <definedName name="IQ_NET_CLAIM_EXP_PAID_CY">"c2763"</definedName>
    <definedName name="IQ_NET_CLAIM_EXP_PAID_PY">"c2764"</definedName>
    <definedName name="IQ_NET_CLAIM_EXP_RES">"c2754"</definedName>
    <definedName name="IQ_NET_DEBT">"c1584"</definedName>
    <definedName name="IQ_NET_DEBT_EBITDA">"c750"</definedName>
    <definedName name="IQ_NET_DEBT_EBITDA_CAPEX">"c2949"</definedName>
    <definedName name="IQ_NET_DEBT_ISSUED">"c751"</definedName>
    <definedName name="IQ_NET_DEBT_ISSUED_BNK">"c752"</definedName>
    <definedName name="IQ_NET_DEBT_ISSUED_BR">"c753"</definedName>
    <definedName name="IQ_NET_DEBT_ISSUED_FIN">"c754"</definedName>
    <definedName name="IQ_NET_DEBT_ISSUED_INS">"c755"</definedName>
    <definedName name="IQ_NET_DEBT_ISSUED_REIT">"c756"</definedName>
    <definedName name="IQ_NET_DEBT_ISSUED_UTI">"c757"</definedName>
    <definedName name="IQ_NET_EARNED">"c2734"</definedName>
    <definedName name="IQ_NET_INC">"c1394"</definedName>
    <definedName name="IQ_NET_INC_BEFORE">"c1368"</definedName>
    <definedName name="IQ_NET_INC_CF">"c1397"</definedName>
    <definedName name="IQ_NET_INC_MARGIN">"c1398"</definedName>
    <definedName name="IQ_NET_INT_INC_10YR_ANN_GROWTH">"c758"</definedName>
    <definedName name="IQ_NET_INT_INC_1YR_ANN_GROWTH">"c759"</definedName>
    <definedName name="IQ_NET_INT_INC_2YR_ANN_GROWTH">"c760"</definedName>
    <definedName name="IQ_NET_INT_INC_3YR_ANN_GROWTH">"c761"</definedName>
    <definedName name="IQ_NET_INT_INC_5YR_ANN_GROWTH">"c762"</definedName>
    <definedName name="IQ_NET_INT_INC_7YR_ANN_GROWTH">"c763"</definedName>
    <definedName name="IQ_NET_INT_INC_BNK">"c764"</definedName>
    <definedName name="IQ_NET_INT_INC_BR">"c765"</definedName>
    <definedName name="IQ_NET_INT_INC_FIN">"c766"</definedName>
    <definedName name="IQ_NET_INT_INC_TOTAL_REV">"c767"</definedName>
    <definedName name="IQ_NET_INT_MARGIN">"c768"</definedName>
    <definedName name="IQ_NET_INTEREST_EXP">"c769"</definedName>
    <definedName name="IQ_NET_INTEREST_EXP_REIT">"c770"</definedName>
    <definedName name="IQ_NET_INTEREST_EXP_UTI">"c771"</definedName>
    <definedName name="IQ_NET_INTEREST_INC">"c1392"</definedName>
    <definedName name="IQ_NET_INTEREST_INC_AFTER_LL">"c1604"</definedName>
    <definedName name="IQ_NET_LIFE_INS_IN_FORCE">"c2769"</definedName>
    <definedName name="IQ_NET_LOANS">"c772"</definedName>
    <definedName name="IQ_NET_LOANS_10YR_ANN_GROWTH">"c773"</definedName>
    <definedName name="IQ_NET_LOANS_1YR_ANN_GROWTH">"c774"</definedName>
    <definedName name="IQ_NET_LOANS_2YR_ANN_GROWTH">"c775"</definedName>
    <definedName name="IQ_NET_LOANS_3YR_ANN_GROWTH">"c776"</definedName>
    <definedName name="IQ_NET_LOANS_5YR_ANN_GROWTH">"c777"</definedName>
    <definedName name="IQ_NET_LOANS_7YR_ANN_GROWTH">"c778"</definedName>
    <definedName name="IQ_NET_LOANS_TOTAL_DEPOSITS">"c779"</definedName>
    <definedName name="IQ_NET_RENTAL_EXP_FN">"c780"</definedName>
    <definedName name="IQ_NET_TO_GROSS_EARNED">"c2750"</definedName>
    <definedName name="IQ_NET_TO_GROSS_WRITTEN">"c2729"</definedName>
    <definedName name="IQ_NET_WRITTEN">"c2728"</definedName>
    <definedName name="IQ_NEW_PREM">"c2785"</definedName>
    <definedName name="IQ_NI">"c781"</definedName>
    <definedName name="IQ_NI_10YR_ANN_GROWTH">"c782"</definedName>
    <definedName name="IQ_NI_1YR_ANN_GROWTH">"c783"</definedName>
    <definedName name="IQ_NI_2YR_ANN_GROWTH">"c784"</definedName>
    <definedName name="IQ_NI_3YR_ANN_GROWTH">"c785"</definedName>
    <definedName name="IQ_NI_5YR_ANN_GROWTH">"c786"</definedName>
    <definedName name="IQ_NI_7YR_ANN_GROWTH">"c787"</definedName>
    <definedName name="IQ_NI_ACT_OR_EST">"c2222"</definedName>
    <definedName name="IQ_NI_AFTER_CAPITALIZED">"c788"</definedName>
    <definedName name="IQ_NI_AVAIL_EXCL">"c789"</definedName>
    <definedName name="IQ_NI_AVAIL_EXCL_MARGIN">"c790"</definedName>
    <definedName name="IQ_NI_AVAIL_INCL">"c791"</definedName>
    <definedName name="IQ_NI_BEFORE_CAPITALIZED">"c792"</definedName>
    <definedName name="IQ_NI_CF">"c793"</definedName>
    <definedName name="IQ_NI_EST">"c1716"</definedName>
    <definedName name="IQ_NI_GW_EST">"c1723"</definedName>
    <definedName name="IQ_NI_GW_HIGH_EST">"c1725"</definedName>
    <definedName name="IQ_NI_GW_LOW_EST">"c1726"</definedName>
    <definedName name="IQ_NI_GW_MEDIAN_EST">"c1724"</definedName>
    <definedName name="IQ_NI_GW_NUM_EST">"c1727"</definedName>
    <definedName name="IQ_NI_GW_STDDEV_EST">"c1728"</definedName>
    <definedName name="IQ_NI_HIGH_EST">"c1718"</definedName>
    <definedName name="IQ_NI_LOW_EST">"c1719"</definedName>
    <definedName name="IQ_NI_MARGIN">"c794"</definedName>
    <definedName name="IQ_NI_MEDIAN_EST">"c1717"</definedName>
    <definedName name="IQ_NI_NORM">"c1901"</definedName>
    <definedName name="IQ_NI_NORM_10YR_ANN_GROWTH">"c1960"</definedName>
    <definedName name="IQ_NI_NORM_1YR_ANN_GROWTH">"c1955"</definedName>
    <definedName name="IQ_NI_NORM_2YR_ANN_GROWTH">"c1956"</definedName>
    <definedName name="IQ_NI_NORM_3YR_ANN_GROWTH">"c1957"</definedName>
    <definedName name="IQ_NI_NORM_5YR_ANN_GROWTH">"c1958"</definedName>
    <definedName name="IQ_NI_NORM_7YR_ANN_GROWTH">"c1959"</definedName>
    <definedName name="IQ_NI_NORM_MARGIN">"c1964"</definedName>
    <definedName name="IQ_NI_NUM_EST">"c1720"</definedName>
    <definedName name="IQ_NI_REPORTED_EST">"c1730"</definedName>
    <definedName name="IQ_NI_REPORTED_HIGH_EST">"c1732"</definedName>
    <definedName name="IQ_NI_REPORTED_LOW_EST">"c1733"</definedName>
    <definedName name="IQ_NI_REPORTED_MEDIAN_EST">"c1731"</definedName>
    <definedName name="IQ_NI_REPORTED_NUM_EST">"c1734"</definedName>
    <definedName name="IQ_NI_REPORTED_STDDEV_EST">"c1735"</definedName>
    <definedName name="IQ_NI_SFAS">"c795"</definedName>
    <definedName name="IQ_NI_STDDEV_EST">"c1721"</definedName>
    <definedName name="IQ_NON_ACCRUAL_LOANS">"c796"</definedName>
    <definedName name="IQ_NON_CASH">"c1399"</definedName>
    <definedName name="IQ_NON_CASH_ITEMS">"c797"</definedName>
    <definedName name="IQ_NON_INS_EXP">"c798"</definedName>
    <definedName name="IQ_NON_INS_REV">"c799"</definedName>
    <definedName name="IQ_NON_INT_BEAR_CD">"c800"</definedName>
    <definedName name="IQ_NON_INT_EXP">"c801"</definedName>
    <definedName name="IQ_NON_INT_INC">"c802"</definedName>
    <definedName name="IQ_NON_INT_INC_10YR_ANN_GROWTH">"c803"</definedName>
    <definedName name="IQ_NON_INT_INC_1YR_ANN_GROWTH">"c804"</definedName>
    <definedName name="IQ_NON_INT_INC_2YR_ANN_GROWTH">"c805"</definedName>
    <definedName name="IQ_NON_INT_INC_3YR_ANN_GROWTH">"c806"</definedName>
    <definedName name="IQ_NON_INT_INC_5YR_ANN_GROWTH">"c807"</definedName>
    <definedName name="IQ_NON_INT_INC_7YR_ANN_GROWTH">"c808"</definedName>
    <definedName name="IQ_NON_INTEREST_EXP">"c1400"</definedName>
    <definedName name="IQ_NON_INTEREST_INC">"c1401"</definedName>
    <definedName name="IQ_NON_OPER_EXP">"c809"</definedName>
    <definedName name="IQ_NON_OPER_INC">"c810"</definedName>
    <definedName name="IQ_NON_PERF_ASSETS_10YR_ANN_GROWTH">"c811"</definedName>
    <definedName name="IQ_NON_PERF_ASSETS_1YR_ANN_GROWTH">"c812"</definedName>
    <definedName name="IQ_NON_PERF_ASSETS_2YR_ANN_GROWTH">"c813"</definedName>
    <definedName name="IQ_NON_PERF_ASSETS_3YR_ANN_GROWTH">"c814"</definedName>
    <definedName name="IQ_NON_PERF_ASSETS_5YR_ANN_GROWTH">"c815"</definedName>
    <definedName name="IQ_NON_PERF_ASSETS_7YR_ANN_GROWTH">"c816"</definedName>
    <definedName name="IQ_NON_PERF_ASSETS_TOTAL_ASSETS">"c817"</definedName>
    <definedName name="IQ_NON_PERF_LOANS_10YR_ANN_GROWTH">"c818"</definedName>
    <definedName name="IQ_NON_PERF_LOANS_1YR_ANN_GROWTH">"c819"</definedName>
    <definedName name="IQ_NON_PERF_LOANS_2YR_ANN_GROWTH">"c820"</definedName>
    <definedName name="IQ_NON_PERF_LOANS_3YR_ANN_GROWTH">"c821"</definedName>
    <definedName name="IQ_NON_PERF_LOANS_5YR_ANN_GROWTH">"c822"</definedName>
    <definedName name="IQ_NON_PERF_LOANS_7YR_ANN_GROWTH">"c823"</definedName>
    <definedName name="IQ_NON_PERF_LOANS_TOTAL_ASSETS">"c824"</definedName>
    <definedName name="IQ_NON_PERF_LOANS_TOTAL_LOANS">"c825"</definedName>
    <definedName name="IQ_NON_PERFORMING_ASSETS">"c826"</definedName>
    <definedName name="IQ_NON_PERFORMING_LOANS">"c827"</definedName>
    <definedName name="IQ_NONCASH_PENSION_EXP">"c3000"</definedName>
    <definedName name="IQ_NONRECOURSE_DEBT">"c2550"</definedName>
    <definedName name="IQ_NONRECOURSE_DEBT_PCT">"c2551"</definedName>
    <definedName name="IQ_NONUTIL_REV">"c2089"</definedName>
    <definedName name="IQ_NORM_EPS_ACT_OR_EST">"c2249"</definedName>
    <definedName name="IQ_NORMAL_INC_AFTER">"c1605"</definedName>
    <definedName name="IQ_NORMAL_INC_AVAIL">"c1606"</definedName>
    <definedName name="IQ_NORMAL_INC_BEFORE">"c1607"</definedName>
    <definedName name="IQ_NOTES_PAY">"c1423"</definedName>
    <definedName name="IQ_NOW_ACCOUNT">"c828"</definedName>
    <definedName name="IQ_NPPE">"c829"</definedName>
    <definedName name="IQ_NPPE_10YR_ANN_GROWTH">"c830"</definedName>
    <definedName name="IQ_NPPE_1YR_ANN_GROWTH">"c831"</definedName>
    <definedName name="IQ_NPPE_2YR_ANN_GROWTH">"c832"</definedName>
    <definedName name="IQ_NPPE_3YR_ANN_GROWTH">"c833"</definedName>
    <definedName name="IQ_NPPE_5YR_ANN_GROWTH">"c834"</definedName>
    <definedName name="IQ_NPPE_7YR_ANN_GROWTH">"c835"</definedName>
    <definedName name="IQ_NTM">6000</definedName>
    <definedName name="IQ_NUKE">"c836"</definedName>
    <definedName name="IQ_NUKE_CF">"c837"</definedName>
    <definedName name="IQ_NUKE_CONTR">"c838"</definedName>
    <definedName name="IQ_NUM_BRANCHES">"c2088"</definedName>
    <definedName name="IQ_NUMBER_ADRHOLDERS">"c1970"</definedName>
    <definedName name="IQ_NUMBER_DAYS">"c1904"</definedName>
    <definedName name="IQ_NUMBER_SHAREHOLDERS">"c1967"</definedName>
    <definedName name="IQ_NUMBER_SHAREHOLDERS_CLASSA">"c1968"</definedName>
    <definedName name="IQ_NUMBER_SHAREHOLDERS_OTHER">"c1969"</definedName>
    <definedName name="IQ_OCCUPY_EXP">"c839"</definedName>
    <definedName name="IQ_OG_10DISC">"c1998"</definedName>
    <definedName name="IQ_OG_10DISC_GAS">"c2018"</definedName>
    <definedName name="IQ_OG_10DISC_OIL">"c2008"</definedName>
    <definedName name="IQ_OG_ACQ_COST_PROVED">"c1975"</definedName>
    <definedName name="IQ_OG_ACQ_COST_PROVED_GAS">"c1987"</definedName>
    <definedName name="IQ_OG_ACQ_COST_PROVED_OIL">"c1981"</definedName>
    <definedName name="IQ_OG_ACQ_COST_UNPROVED">"c1976"</definedName>
    <definedName name="IQ_OG_ACQ_COST_UNPROVED_GAS">"c1988"</definedName>
    <definedName name="IQ_OG_ACQ_COST_UNPROVED_OIL">"c1982"</definedName>
    <definedName name="IQ_OG_AVG_DAILY_PROD_GAS">"c2910"</definedName>
    <definedName name="IQ_OG_AVG_DAILY_PROD_NGL">"c2911"</definedName>
    <definedName name="IQ_OG_AVG_DAILY_PROD_OIL">"c2909"</definedName>
    <definedName name="IQ_OG_CLOSE_BALANCE_GAS">"c2049"</definedName>
    <definedName name="IQ_OG_CLOSE_BALANCE_NGL">"c2920"</definedName>
    <definedName name="IQ_OG_CLOSE_BALANCE_OIL">"c2037"</definedName>
    <definedName name="IQ_OG_DCF_BEFORE_TAXES">"c2023"</definedName>
    <definedName name="IQ_OG_DCF_BEFORE_TAXES_GAS">"c2025"</definedName>
    <definedName name="IQ_OG_DCF_BEFORE_TAXES_OIL">"c2024"</definedName>
    <definedName name="IQ_OG_DEVELOPED_RESERVES_GAS">"c2053"</definedName>
    <definedName name="IQ_OG_DEVELOPED_RESERVES_NGL">"c2922"</definedName>
    <definedName name="IQ_OG_DEVELOPED_RESERVES_OIL">"c2054"</definedName>
    <definedName name="IQ_OG_DEVELOPMENT_COSTS">"c1978"</definedName>
    <definedName name="IQ_OG_DEVELOPMENT_COSTS_GAS">"c1990"</definedName>
    <definedName name="IQ_OG_DEVELOPMENT_COSTS_OIL">"c1984"</definedName>
    <definedName name="IQ_OG_EQUITY_DCF">"c2002"</definedName>
    <definedName name="IQ_OG_EQUITY_DCF_GAS">"c2022"</definedName>
    <definedName name="IQ_OG_EQUITY_DCF_OIL">"c2012"</definedName>
    <definedName name="IQ_OG_EQUTY_RESERVES_GAS">"c2050"</definedName>
    <definedName name="IQ_OG_EQUTY_RESERVES_NGL">"c2921"</definedName>
    <definedName name="IQ_OG_EQUTY_RESERVES_OIL">"c2038"</definedName>
    <definedName name="IQ_OG_EXPLORATION_COSTS">"c1977"</definedName>
    <definedName name="IQ_OG_EXPLORATION_COSTS_GAS">"c1989"</definedName>
    <definedName name="IQ_OG_EXPLORATION_COSTS_OIL">"c1983"</definedName>
    <definedName name="IQ_OG_EXT_DISC_GAS">"c2043"</definedName>
    <definedName name="IQ_OG_EXT_DISC_NGL">"c2914"</definedName>
    <definedName name="IQ_OG_EXT_DISC_OIL">"c2031"</definedName>
    <definedName name="IQ_OG_FUTURE_CASH_INFLOWS">"c1993"</definedName>
    <definedName name="IQ_OG_FUTURE_CASH_INFLOWS_GAS">"c2013"</definedName>
    <definedName name="IQ_OG_FUTURE_CASH_INFLOWS_OIL">"c2003"</definedName>
    <definedName name="IQ_OG_FUTURE_DEVELOPMENT_COSTS">"c1995"</definedName>
    <definedName name="IQ_OG_FUTURE_DEVELOPMENT_COSTS_GAS">"c2015"</definedName>
    <definedName name="IQ_OG_FUTURE_DEVELOPMENT_COSTS_OIL">"c2005"</definedName>
    <definedName name="IQ_OG_FUTURE_INC_TAXES">"c1997"</definedName>
    <definedName name="IQ_OG_FUTURE_INC_TAXES_GAS">"c2017"</definedName>
    <definedName name="IQ_OG_FUTURE_INC_TAXES_OIL">"c2007"</definedName>
    <definedName name="IQ_OG_FUTURE_PRODUCTION_COSTS">"c1994"</definedName>
    <definedName name="IQ_OG_FUTURE_PRODUCTION_COSTS_GAS">"c2014"</definedName>
    <definedName name="IQ_OG_FUTURE_PRODUCTION_COSTS_OIL">"c2004"</definedName>
    <definedName name="IQ_OG_GAS_PRICE_HEDGED">"c2056"</definedName>
    <definedName name="IQ_OG_GAS_PRICE_UNHEDGED">"c2058"</definedName>
    <definedName name="IQ_OG_IMPROVED_RECOVERY_GAS">"c2044"</definedName>
    <definedName name="IQ_OG_IMPROVED_RECOVERY_NGL">"c2915"</definedName>
    <definedName name="IQ_OG_IMPROVED_RECOVERY_OIL">"c2032"</definedName>
    <definedName name="IQ_OG_LIQUID_GAS_PRICE_HEDGED">"c2233"</definedName>
    <definedName name="IQ_OG_LIQUID_GAS_PRICE_UNHEDGED">"c2234"</definedName>
    <definedName name="IQ_OG_NET_FUTURE_CASH_FLOWS">"c1996"</definedName>
    <definedName name="IQ_OG_NET_FUTURE_CASH_FLOWS_GAS">"c2016"</definedName>
    <definedName name="IQ_OG_NET_FUTURE_CASH_FLOWS_OIL">"c2006"</definedName>
    <definedName name="IQ_OG_OIL_PRICE_HEDGED">"c2055"</definedName>
    <definedName name="IQ_OG_OIL_PRICE_UNHEDGED">"c2057"</definedName>
    <definedName name="IQ_OG_OPEN_BALANCE_GAS">"c2041"</definedName>
    <definedName name="IQ_OG_OPEN_BALANCE_NGL">"c2912"</definedName>
    <definedName name="IQ_OG_OPEN_BALANCE_OIL">"c2029"</definedName>
    <definedName name="IQ_OG_OTHER_ADJ_FCF">"c1999"</definedName>
    <definedName name="IQ_OG_OTHER_ADJ_FCF_GAS">"c2019"</definedName>
    <definedName name="IQ_OG_OTHER_ADJ_FCF_OIL">"c2009"</definedName>
    <definedName name="IQ_OG_OTHER_ADJ_GAS">"c2048"</definedName>
    <definedName name="IQ_OG_OTHER_ADJ_NGL">"c2919"</definedName>
    <definedName name="IQ_OG_OTHER_ADJ_OIL">"c2036"</definedName>
    <definedName name="IQ_OG_OTHER_COSTS">"c1979"</definedName>
    <definedName name="IQ_OG_OTHER_COSTS_GAS">"c1991"</definedName>
    <definedName name="IQ_OG_OTHER_COSTS_OIL">"c1985"</definedName>
    <definedName name="IQ_OG_PRODUCTION_GAS">"c2047"</definedName>
    <definedName name="IQ_OG_PRODUCTION_NGL">"c2918"</definedName>
    <definedName name="IQ_OG_PRODUCTION_OIL">"c2035"</definedName>
    <definedName name="IQ_OG_PURCHASES_GAS">"c2045"</definedName>
    <definedName name="IQ_OG_PURCHASES_NGL">"c2916"</definedName>
    <definedName name="IQ_OG_PURCHASES_OIL">"c2033"</definedName>
    <definedName name="IQ_OG_REVISIONS_GAS">"c2042"</definedName>
    <definedName name="IQ_OG_REVISIONS_NGL">"c2913"</definedName>
    <definedName name="IQ_OG_REVISIONS_OIL">"c2030"</definedName>
    <definedName name="IQ_OG_SALES_IN_PLACE_GAS">"c2046"</definedName>
    <definedName name="IQ_OG_SALES_IN_PLACE_NGL">"c2917"</definedName>
    <definedName name="IQ_OG_SALES_IN_PLACE_OIL">"c2034"</definedName>
    <definedName name="IQ_OG_STANDARDIZED_DCF">"c2000"</definedName>
    <definedName name="IQ_OG_STANDARDIZED_DCF_GAS">"c2020"</definedName>
    <definedName name="IQ_OG_STANDARDIZED_DCF_HEDGED">"c2001"</definedName>
    <definedName name="IQ_OG_STANDARDIZED_DCF_HEDGED_GAS">"c2021"</definedName>
    <definedName name="IQ_OG_STANDARDIZED_DCF_HEDGED_OIL">"c2011"</definedName>
    <definedName name="IQ_OG_STANDARDIZED_DCF_OIL">"c2010"</definedName>
    <definedName name="IQ_OG_TAXES">"c2026"</definedName>
    <definedName name="IQ_OG_TAXES_GAS">"c2028"</definedName>
    <definedName name="IQ_OG_TAXES_OIL">"c2027"</definedName>
    <definedName name="IQ_OG_TOTAL_COSTS">"c1980"</definedName>
    <definedName name="IQ_OG_TOTAL_COSTS_GAS">"c1992"</definedName>
    <definedName name="IQ_OG_TOTAL_COSTS_OIL">"c1986"</definedName>
    <definedName name="IQ_OG_TOTAL_EST_PROVED_RESERVES_GAS">"c2052"</definedName>
    <definedName name="IQ_OG_TOTAL_GAS_PRODUCTION">"c2060"</definedName>
    <definedName name="IQ_OG_TOTAL_LIQUID_GAS_PRODUCTION">"c2235"</definedName>
    <definedName name="IQ_OG_TOTAL_OIL_PRODUCTION">"c2059"</definedName>
    <definedName name="IQ_OG_UNDEVELOPED_RESERVES_GAS">"c2051"</definedName>
    <definedName name="IQ_OG_UNDEVELOPED_RESERVES_NGL">"c2923"</definedName>
    <definedName name="IQ_OG_UNDEVELOPED_RESERVES_OIL">"c2039"</definedName>
    <definedName name="IQ_OIL_IMPAIR">"c840"</definedName>
    <definedName name="IQ_OL_COMM_AFTER_FIVE">"c841"</definedName>
    <definedName name="IQ_OL_COMM_CY">"c842"</definedName>
    <definedName name="IQ_OL_COMM_CY1">"c843"</definedName>
    <definedName name="IQ_OL_COMM_CY2">"c844"</definedName>
    <definedName name="IQ_OL_COMM_CY3">"c845"</definedName>
    <definedName name="IQ_OL_COMM_CY4">"c846"</definedName>
    <definedName name="IQ_OL_COMM_NEXT_FIVE">"c847"</definedName>
    <definedName name="IQ_OPENPRICE">"c848"</definedName>
    <definedName name="IQ_OPER_INC">"c849"</definedName>
    <definedName name="IQ_OPER_INC_ACT_OR_EST">"c2220"</definedName>
    <definedName name="IQ_OPER_INC_BR">"c850"</definedName>
    <definedName name="IQ_OPER_INC_EST">"c1688"</definedName>
    <definedName name="IQ_OPER_INC_FIN">"c851"</definedName>
    <definedName name="IQ_OPER_INC_HIGH_EST">"c1690"</definedName>
    <definedName name="IQ_OPER_INC_INS">"c852"</definedName>
    <definedName name="IQ_OPER_INC_LOW_EST">"c1691"</definedName>
    <definedName name="IQ_OPER_INC_MARGIN">"c1448"</definedName>
    <definedName name="IQ_OPER_INC_MEDIAN_EST">"c1689"</definedName>
    <definedName name="IQ_OPER_INC_NUM_EST">"c1692"</definedName>
    <definedName name="IQ_OPER_INC_REIT">"c853"</definedName>
    <definedName name="IQ_OPER_INC_STDDEV_EST">"c1693"</definedName>
    <definedName name="IQ_OPER_INC_UTI">"c854"</definedName>
    <definedName name="IQ_OPERATIONS_EXP">"c855"</definedName>
    <definedName name="IQ_OPTIONS_BEG_OS">"c1572"</definedName>
    <definedName name="IQ_OPTIONS_CANCELLED">"c856"</definedName>
    <definedName name="IQ_OPTIONS_END_OS">"c1573"</definedName>
    <definedName name="IQ_OPTIONS_EXERCISED">"c2116"</definedName>
    <definedName name="IQ_OPTIONS_GRANTED">"c2673"</definedName>
    <definedName name="IQ_OPTIONS_ISSUED">"c857"</definedName>
    <definedName name="IQ_OPTIONS_STRIKE_PRICE_GRANTED">"c2678"</definedName>
    <definedName name="IQ_OPTIONS_STRIKE_PRICE_OS">"c2677"</definedName>
    <definedName name="IQ_ORDER_BACKLOG">"c2090"</definedName>
    <definedName name="IQ_OTHER_ADJUST_GROSS_LOANS">"c859"</definedName>
    <definedName name="IQ_OTHER_ASSETS">"c860"</definedName>
    <definedName name="IQ_OTHER_ASSETS_BNK">"c861"</definedName>
    <definedName name="IQ_OTHER_ASSETS_BR">"c862"</definedName>
    <definedName name="IQ_OTHER_ASSETS_FIN">"c863"</definedName>
    <definedName name="IQ_OTHER_ASSETS_INS">"c864"</definedName>
    <definedName name="IQ_OTHER_ASSETS_REIT">"c865"</definedName>
    <definedName name="IQ_OTHER_ASSETS_SERV_RIGHTS">"c2243"</definedName>
    <definedName name="IQ_OTHER_ASSETS_UTI">"c866"</definedName>
    <definedName name="IQ_OTHER_BEARING_LIAB">"c1608"</definedName>
    <definedName name="IQ_OTHER_BENEFITS_OBLIGATION">"c867"</definedName>
    <definedName name="IQ_OTHER_CA">"c868"</definedName>
    <definedName name="IQ_OTHER_CA_SUPPL">"c869"</definedName>
    <definedName name="IQ_OTHER_CA_SUPPL_BNK">"c870"</definedName>
    <definedName name="IQ_OTHER_CA_SUPPL_BR">"c871"</definedName>
    <definedName name="IQ_OTHER_CA_SUPPL_FIN">"c872"</definedName>
    <definedName name="IQ_OTHER_CA_SUPPL_INS">"c873"</definedName>
    <definedName name="IQ_OTHER_CA_SUPPL_REIT">"c874"</definedName>
    <definedName name="IQ_OTHER_CA_SUPPL_UTI">"c875"</definedName>
    <definedName name="IQ_OTHER_CA_UTI">"c876"</definedName>
    <definedName name="IQ_OTHER_CL">"c877"</definedName>
    <definedName name="IQ_OTHER_CL_SUPPL">"c878"</definedName>
    <definedName name="IQ_OTHER_CL_SUPPL_BNK">"c879"</definedName>
    <definedName name="IQ_OTHER_CL_SUPPL_BR">"c880"</definedName>
    <definedName name="IQ_OTHER_CL_SUPPL_FIN">"c881"</definedName>
    <definedName name="IQ_OTHER_CL_SUPPL_REIT">"c882"</definedName>
    <definedName name="IQ_OTHER_CL_SUPPL_UTI">"c883"</definedName>
    <definedName name="IQ_OTHER_CL_UTI">"c884"</definedName>
    <definedName name="IQ_OTHER_CURRENT_ASSETS">"c1403"</definedName>
    <definedName name="IQ_OTHER_CURRENT_LIAB">"c1404"</definedName>
    <definedName name="IQ_OTHER_DEBT">"c2507"</definedName>
    <definedName name="IQ_OTHER_DEBT_PCT">"c2508"</definedName>
    <definedName name="IQ_OTHER_DEP">"c885"</definedName>
    <definedName name="IQ_OTHER_EARNING">"c1609"</definedName>
    <definedName name="IQ_OTHER_EQUITY">"c886"</definedName>
    <definedName name="IQ_OTHER_EQUITY_BNK">"c887"</definedName>
    <definedName name="IQ_OTHER_EQUITY_BR">"c888"</definedName>
    <definedName name="IQ_OTHER_EQUITY_FIN">"c889"</definedName>
    <definedName name="IQ_OTHER_EQUITY_INS">"c890"</definedName>
    <definedName name="IQ_OTHER_EQUITY_REIT">"c891"</definedName>
    <definedName name="IQ_OTHER_EQUITY_UTI">"c892"</definedName>
    <definedName name="IQ_OTHER_FINANCE_ACT">"c893"</definedName>
    <definedName name="IQ_OTHER_FINANCE_ACT_BNK">"c894"</definedName>
    <definedName name="IQ_OTHER_FINANCE_ACT_BR">"c895"</definedName>
    <definedName name="IQ_OTHER_FINANCE_ACT_FIN">"c896"</definedName>
    <definedName name="IQ_OTHER_FINANCE_ACT_INS">"c897"</definedName>
    <definedName name="IQ_OTHER_FINANCE_ACT_REIT">"c898"</definedName>
    <definedName name="IQ_OTHER_FINANCE_ACT_SUPPL">"c899"</definedName>
    <definedName name="IQ_OTHER_FINANCE_ACT_SUPPL_BNK">"c900"</definedName>
    <definedName name="IQ_OTHER_FINANCE_ACT_SUPPL_BR">"c901"</definedName>
    <definedName name="IQ_OTHER_FINANCE_ACT_SUPPL_FIN">"c902"</definedName>
    <definedName name="IQ_OTHER_FINANCE_ACT_SUPPL_INS">"c903"</definedName>
    <definedName name="IQ_OTHER_FINANCE_ACT_SUPPL_REIT">"c904"</definedName>
    <definedName name="IQ_OTHER_FINANCE_ACT_SUPPL_UTI">"c905"</definedName>
    <definedName name="IQ_OTHER_FINANCE_ACT_UTI">"c906"</definedName>
    <definedName name="IQ_OTHER_INTAN">"c907"</definedName>
    <definedName name="IQ_OTHER_INTAN_BNK">"c908"</definedName>
    <definedName name="IQ_OTHER_INTAN_BR">"c909"</definedName>
    <definedName name="IQ_OTHER_INTAN_FIN">"c910"</definedName>
    <definedName name="IQ_OTHER_INTAN_INS">"c911"</definedName>
    <definedName name="IQ_OTHER_INTAN_REIT">"c912"</definedName>
    <definedName name="IQ_OTHER_INTAN_UTI">"c913"</definedName>
    <definedName name="IQ_OTHER_INV">"c914"</definedName>
    <definedName name="IQ_OTHER_INVEST">"c915"</definedName>
    <definedName name="IQ_OTHER_INVEST_ACT">"c916"</definedName>
    <definedName name="IQ_OTHER_INVEST_ACT_BNK">"c917"</definedName>
    <definedName name="IQ_OTHER_INVEST_ACT_BR">"c918"</definedName>
    <definedName name="IQ_OTHER_INVEST_ACT_FIN">"c919"</definedName>
    <definedName name="IQ_OTHER_INVEST_ACT_INS">"c920"</definedName>
    <definedName name="IQ_OTHER_INVEST_ACT_REIT">"c921"</definedName>
    <definedName name="IQ_OTHER_INVEST_ACT_SUPPL">"c922"</definedName>
    <definedName name="IQ_OTHER_INVEST_ACT_SUPPL_BNK">"c923"</definedName>
    <definedName name="IQ_OTHER_INVEST_ACT_SUPPL_BR">"c924"</definedName>
    <definedName name="IQ_OTHER_INVEST_ACT_SUPPL_FIN">"c925"</definedName>
    <definedName name="IQ_OTHER_INVEST_ACT_SUPPL_INS">"c926"</definedName>
    <definedName name="IQ_OTHER_INVEST_ACT_SUPPL_REIT">"c927"</definedName>
    <definedName name="IQ_OTHER_INVEST_ACT_SUPPL_UTI">"c928"</definedName>
    <definedName name="IQ_OTHER_INVEST_ACT_UTI">"c929"</definedName>
    <definedName name="IQ_OTHER_INVESTING">"c1408"</definedName>
    <definedName name="IQ_OTHER_LIAB">"c930"</definedName>
    <definedName name="IQ_OTHER_LIAB_BNK">"c931"</definedName>
    <definedName name="IQ_OTHER_LIAB_BR">"c932"</definedName>
    <definedName name="IQ_OTHER_LIAB_FIN">"c933"</definedName>
    <definedName name="IQ_OTHER_LIAB_INS">"c934"</definedName>
    <definedName name="IQ_OTHER_LIAB_LT">"c935"</definedName>
    <definedName name="IQ_OTHER_LIAB_LT_BNK">"c936"</definedName>
    <definedName name="IQ_OTHER_LIAB_LT_BR">"c937"</definedName>
    <definedName name="IQ_OTHER_LIAB_LT_FIN">"c938"</definedName>
    <definedName name="IQ_OTHER_LIAB_LT_INS">"c939"</definedName>
    <definedName name="IQ_OTHER_LIAB_LT_REIT">"c940"</definedName>
    <definedName name="IQ_OTHER_LIAB_LT_UTI">"c941"</definedName>
    <definedName name="IQ_OTHER_LIAB_REIT">"c942"</definedName>
    <definedName name="IQ_OTHER_LIAB_UTI">"c943"</definedName>
    <definedName name="IQ_OTHER_LIAB_WRITTEN">"c944"</definedName>
    <definedName name="IQ_OTHER_LOANS">"c945"</definedName>
    <definedName name="IQ_OTHER_LONG_TERM">"c1409"</definedName>
    <definedName name="IQ_OTHER_LT_ASSETS">"c946"</definedName>
    <definedName name="IQ_OTHER_LT_ASSETS_BNK">"c947"</definedName>
    <definedName name="IQ_OTHER_LT_ASSETS_BR">"c948"</definedName>
    <definedName name="IQ_OTHER_LT_ASSETS_FIN">"c949"</definedName>
    <definedName name="IQ_OTHER_LT_ASSETS_INS">"c950"</definedName>
    <definedName name="IQ_OTHER_LT_ASSETS_REIT">"c951"</definedName>
    <definedName name="IQ_OTHER_LT_ASSETS_UTI">"c952"</definedName>
    <definedName name="IQ_OTHER_NET">"c1453"</definedName>
    <definedName name="IQ_OTHER_NON_INT_EXP">"c953"</definedName>
    <definedName name="IQ_OTHER_NON_INT_EXP_TOTAL">"c954"</definedName>
    <definedName name="IQ_OTHER_NON_INT_INC">"c955"</definedName>
    <definedName name="IQ_OTHER_NON_OPER_EXP">"c956"</definedName>
    <definedName name="IQ_OTHER_NON_OPER_EXP_BR">"c957"</definedName>
    <definedName name="IQ_OTHER_NON_OPER_EXP_FIN">"c958"</definedName>
    <definedName name="IQ_OTHER_NON_OPER_EXP_INS">"c959"</definedName>
    <definedName name="IQ_OTHER_NON_OPER_EXP_REIT">"c960"</definedName>
    <definedName name="IQ_OTHER_NON_OPER_EXP_SUPPL">"c961"</definedName>
    <definedName name="IQ_OTHER_NON_OPER_EXP_SUPPL_BR">"c962"</definedName>
    <definedName name="IQ_OTHER_NON_OPER_EXP_SUPPL_FIN">"c963"</definedName>
    <definedName name="IQ_OTHER_NON_OPER_EXP_SUPPL_INS">"c964"</definedName>
    <definedName name="IQ_OTHER_NON_OPER_EXP_SUPPL_REIT">"c965"</definedName>
    <definedName name="IQ_OTHER_NON_OPER_EXP_SUPPL_UTI">"c966"</definedName>
    <definedName name="IQ_OTHER_NON_OPER_EXP_UTI">"c967"</definedName>
    <definedName name="IQ_OTHER_OPER">"c982"</definedName>
    <definedName name="IQ_OTHER_OPER_ACT">"c983"</definedName>
    <definedName name="IQ_OTHER_OPER_ACT_BNK">"c984"</definedName>
    <definedName name="IQ_OTHER_OPER_ACT_BR">"c985"</definedName>
    <definedName name="IQ_OTHER_OPER_ACT_FIN">"c986"</definedName>
    <definedName name="IQ_OTHER_OPER_ACT_INS">"c987"</definedName>
    <definedName name="IQ_OTHER_OPER_ACT_REIT">"c988"</definedName>
    <definedName name="IQ_OTHER_OPER_ACT_UTI">"c989"</definedName>
    <definedName name="IQ_OTHER_OPER_BR">"c990"</definedName>
    <definedName name="IQ_OTHER_OPER_FIN">"c991"</definedName>
    <definedName name="IQ_OTHER_OPER_INS">"c992"</definedName>
    <definedName name="IQ_OTHER_OPER_REIT">"c993"</definedName>
    <definedName name="IQ_OTHER_OPER_SUPPL_BR">"c994"</definedName>
    <definedName name="IQ_OTHER_OPER_SUPPL_FIN">"c995"</definedName>
    <definedName name="IQ_OTHER_OPER_SUPPL_INS">"c996"</definedName>
    <definedName name="IQ_OTHER_OPER_SUPPL_REIT">"c997"</definedName>
    <definedName name="IQ_OTHER_OPER_SUPPL_UTI">"c998"</definedName>
    <definedName name="IQ_OTHER_OPER_TOT_BNK">"c999"</definedName>
    <definedName name="IQ_OTHER_OPER_TOT_BR">"c1000"</definedName>
    <definedName name="IQ_OTHER_OPER_TOT_FIN">"c1001"</definedName>
    <definedName name="IQ_OTHER_OPER_TOT_INS">"c1002"</definedName>
    <definedName name="IQ_OTHER_OPER_TOT_REIT">"c1003"</definedName>
    <definedName name="IQ_OTHER_OPER_TOT_UTI">"c1004"</definedName>
    <definedName name="IQ_OTHER_OPER_UTI">"c1005"</definedName>
    <definedName name="IQ_OTHER_OPTIONS_BEG_OS">"c2686"</definedName>
    <definedName name="IQ_OTHER_OPTIONS_CANCELLED">"c2689"</definedName>
    <definedName name="IQ_OTHER_OPTIONS_END_OS">"c2690"</definedName>
    <definedName name="IQ_OTHER_OPTIONS_EXERCISED">"c2688"</definedName>
    <definedName name="IQ_OTHER_OPTIONS_GRANTED">"c2687"</definedName>
    <definedName name="IQ_OTHER_OPTIONS_STRIKE_PRICE_OS">"c2691"</definedName>
    <definedName name="IQ_OTHER_OUTSTANDING_BS_DATE">"c1972"</definedName>
    <definedName name="IQ_OTHER_OUTSTANDING_FILING_DATE">"c1974"</definedName>
    <definedName name="IQ_OTHER_PC_WRITTEN">"c1006"</definedName>
    <definedName name="IQ_OTHER_REAL_ESTATE">"c1007"</definedName>
    <definedName name="IQ_OTHER_RECEIV">"c1008"</definedName>
    <definedName name="IQ_OTHER_RECEIV_INS">"c1009"</definedName>
    <definedName name="IQ_OTHER_REV">"c1010"</definedName>
    <definedName name="IQ_OTHER_REV_BR">"c1011"</definedName>
    <definedName name="IQ_OTHER_REV_FIN">"c1012"</definedName>
    <definedName name="IQ_OTHER_REV_INS">"c1013"</definedName>
    <definedName name="IQ_OTHER_REV_REIT">"c1014"</definedName>
    <definedName name="IQ_OTHER_REV_SUPPL">"c1015"</definedName>
    <definedName name="IQ_OTHER_REV_SUPPL_BR">"c1016"</definedName>
    <definedName name="IQ_OTHER_REV_SUPPL_FIN">"c1017"</definedName>
    <definedName name="IQ_OTHER_REV_SUPPL_INS">"c1018"</definedName>
    <definedName name="IQ_OTHER_REV_SUPPL_REIT">"c1019"</definedName>
    <definedName name="IQ_OTHER_REV_SUPPL_UTI">"c1020"</definedName>
    <definedName name="IQ_OTHER_REV_UTI">"c1021"</definedName>
    <definedName name="IQ_OTHER_REVENUE">"c1410"</definedName>
    <definedName name="IQ_OTHER_STRIKE_PRICE_GRANTED">"c2692"</definedName>
    <definedName name="IQ_OTHER_UNDRAWN">"c2522"</definedName>
    <definedName name="IQ_OTHER_UNUSUAL">"c1488"</definedName>
    <definedName name="IQ_OTHER_UNUSUAL_BNK">"c1560"</definedName>
    <definedName name="IQ_OTHER_UNUSUAL_BR">"c1561"</definedName>
    <definedName name="IQ_OTHER_UNUSUAL_FIN">"c1562"</definedName>
    <definedName name="IQ_OTHER_UNUSUAL_INS">"c1563"</definedName>
    <definedName name="IQ_OTHER_UNUSUAL_REIT">"c1564"</definedName>
    <definedName name="IQ_OTHER_UNUSUAL_SUPPL">"c1494"</definedName>
    <definedName name="IQ_OTHER_UNUSUAL_SUPPL_BNK">"c1495"</definedName>
    <definedName name="IQ_OTHER_UNUSUAL_SUPPL_BR">"c1496"</definedName>
    <definedName name="IQ_OTHER_UNUSUAL_SUPPL_FIN">"c1497"</definedName>
    <definedName name="IQ_OTHER_UNUSUAL_SUPPL_INS">"c1498"</definedName>
    <definedName name="IQ_OTHER_UNUSUAL_SUPPL_REIT">"c1499"</definedName>
    <definedName name="IQ_OTHER_UNUSUAL_SUPPL_UTI">"c1500"</definedName>
    <definedName name="IQ_OTHER_UNUSUAL_UTI">"c1565"</definedName>
    <definedName name="IQ_OTHER_WARRANTS_BEG_OS">"c2712"</definedName>
    <definedName name="IQ_OTHER_WARRANTS_CANCELLED">"c2715"</definedName>
    <definedName name="IQ_OTHER_WARRANTS_END_OS">"c2716"</definedName>
    <definedName name="IQ_OTHER_WARRANTS_EXERCISED">"c2714"</definedName>
    <definedName name="IQ_OTHER_WARRANTS_ISSUED">"c2713"</definedName>
    <definedName name="IQ_OTHER_WARRANTS_STRIKE_PRICE_ISSUED">"c2718"</definedName>
    <definedName name="IQ_OTHER_WARRANTS_STRIKE_PRICE_OS">"c2717"</definedName>
    <definedName name="IQ_OUTSTANDING_BS_DATE">"c2128"</definedName>
    <definedName name="IQ_OUTSTANDING_FILING_DATE">"c1023"</definedName>
    <definedName name="IQ_PART_TIME">"c1024"</definedName>
    <definedName name="IQ_PAY_ACCRUED">"c1457"</definedName>
    <definedName name="IQ_PAYOUT_RATIO">"c1900"</definedName>
    <definedName name="IQ_PBV">"c1025"</definedName>
    <definedName name="IQ_PBV_AVG">"c1026"</definedName>
    <definedName name="IQ_PC_EARNED">"c2749"</definedName>
    <definedName name="IQ_PC_GAAP_COMBINED_RATIO">"c2781"</definedName>
    <definedName name="IQ_PC_GAAP_COMBINED_RATIO_EXCL_CL">"c2782"</definedName>
    <definedName name="IQ_PC_GAAP_EXPENSE_RATIO">"c2780"</definedName>
    <definedName name="IQ_PC_GAAP_LOSS">"c2779"</definedName>
    <definedName name="IQ_PC_POLICY_BENEFITS_EXP">"c2790"</definedName>
    <definedName name="IQ_PC_STAT_COMBINED_RATIO">"c2778"</definedName>
    <definedName name="IQ_PC_STAT_COMBINED_RATIO_EXCL_DIV">"c2777"</definedName>
    <definedName name="IQ_PC_STAT_DIVIDEND_RATIO">"c2776"</definedName>
    <definedName name="IQ_PC_STAT_EXPENSE_RATIO">"c2775"</definedName>
    <definedName name="IQ_PC_STAT_LOSS_RATIO">"c2774"</definedName>
    <definedName name="IQ_PC_STATUTORY_SURPLUS">"c2770"</definedName>
    <definedName name="IQ_PC_WRITTEN">"c1027"</definedName>
    <definedName name="IQ_PE_EXCL">"c1028"</definedName>
    <definedName name="IQ_PE_EXCL_AVG">"c1029"</definedName>
    <definedName name="IQ_PE_EXCL_FWD">"c1030"</definedName>
    <definedName name="IQ_PE_NORMALIZED">"c2207"</definedName>
    <definedName name="IQ_PE_RATIO">"c1610"</definedName>
    <definedName name="IQ_PEG_FWD">"c1863"</definedName>
    <definedName name="IQ_PENSION">"c1031"</definedName>
    <definedName name="IQ_PERCENT_CHANGE_EST_5YR_GROWTH_RATE_12MONTHS">"c1852"</definedName>
    <definedName name="IQ_PERCENT_CHANGE_EST_5YR_GROWTH_RATE_18MONTHS">"c1853"</definedName>
    <definedName name="IQ_PERCENT_CHANGE_EST_5YR_GROWTH_RATE_3MONTHS">"c1849"</definedName>
    <definedName name="IQ_PERCENT_CHANGE_EST_5YR_GROWTH_RATE_6MONTHS">"c1850"</definedName>
    <definedName name="IQ_PERCENT_CHANGE_EST_5YR_GROWTH_RATE_9MONTHS">"c1851"</definedName>
    <definedName name="IQ_PERCENT_CHANGE_EST_5YR_GROWTH_RATE_DAY">"c1846"</definedName>
    <definedName name="IQ_PERCENT_CHANGE_EST_5YR_GROWTH_RATE_MONTH">"c1848"</definedName>
    <definedName name="IQ_PERCENT_CHANGE_EST_5YR_GROWTH_RATE_WEEK">"c1847"</definedName>
    <definedName name="IQ_PERCENT_CHANGE_EST_CFPS_12MONTHS">"c1812"</definedName>
    <definedName name="IQ_PERCENT_CHANGE_EST_CFPS_18MONTHS">"c1813"</definedName>
    <definedName name="IQ_PERCENT_CHANGE_EST_CFPS_3MONTHS">"c1809"</definedName>
    <definedName name="IQ_PERCENT_CHANGE_EST_CFPS_6MONTHS">"c1810"</definedName>
    <definedName name="IQ_PERCENT_CHANGE_EST_CFPS_9MONTHS">"c1811"</definedName>
    <definedName name="IQ_PERCENT_CHANGE_EST_CFPS_DAY">"c1806"</definedName>
    <definedName name="IQ_PERCENT_CHANGE_EST_CFPS_MONTH">"c1808"</definedName>
    <definedName name="IQ_PERCENT_CHANGE_EST_CFPS_WEEK">"c1807"</definedName>
    <definedName name="IQ_PERCENT_CHANGE_EST_DPS_12MONTHS">"c1820"</definedName>
    <definedName name="IQ_PERCENT_CHANGE_EST_DPS_18MONTHS">"c1821"</definedName>
    <definedName name="IQ_PERCENT_CHANGE_EST_DPS_3MONTHS">"c1817"</definedName>
    <definedName name="IQ_PERCENT_CHANGE_EST_DPS_6MONTHS">"c1818"</definedName>
    <definedName name="IQ_PERCENT_CHANGE_EST_DPS_9MONTHS">"c1819"</definedName>
    <definedName name="IQ_PERCENT_CHANGE_EST_DPS_DAY">"c1814"</definedName>
    <definedName name="IQ_PERCENT_CHANGE_EST_DPS_MONTH">"c1816"</definedName>
    <definedName name="IQ_PERCENT_CHANGE_EST_DPS_WEEK">"c1815"</definedName>
    <definedName name="IQ_PERCENT_CHANGE_EST_EBITDA_12MONTHS">"c1804"</definedName>
    <definedName name="IQ_PERCENT_CHANGE_EST_EBITDA_18MONTHS">"c1805"</definedName>
    <definedName name="IQ_PERCENT_CHANGE_EST_EBITDA_3MONTHS">"c1801"</definedName>
    <definedName name="IQ_PERCENT_CHANGE_EST_EBITDA_6MONTHS">"c1802"</definedName>
    <definedName name="IQ_PERCENT_CHANGE_EST_EBITDA_9MONTHS">"c1803"</definedName>
    <definedName name="IQ_PERCENT_CHANGE_EST_EBITDA_DAY">"c1798"</definedName>
    <definedName name="IQ_PERCENT_CHANGE_EST_EBITDA_MONTH">"c1800"</definedName>
    <definedName name="IQ_PERCENT_CHANGE_EST_EBITDA_WEEK">"c1799"</definedName>
    <definedName name="IQ_PERCENT_CHANGE_EST_EPS_12MONTHS">"c1788"</definedName>
    <definedName name="IQ_PERCENT_CHANGE_EST_EPS_18MONTHS">"c1789"</definedName>
    <definedName name="IQ_PERCENT_CHANGE_EST_EPS_3MONTHS">"c1785"</definedName>
    <definedName name="IQ_PERCENT_CHANGE_EST_EPS_6MONTHS">"c1786"</definedName>
    <definedName name="IQ_PERCENT_CHANGE_EST_EPS_9MONTHS">"c1787"</definedName>
    <definedName name="IQ_PERCENT_CHANGE_EST_EPS_DAY">"c1782"</definedName>
    <definedName name="IQ_PERCENT_CHANGE_EST_EPS_MONTH">"c1784"</definedName>
    <definedName name="IQ_PERCENT_CHANGE_EST_EPS_WEEK">"c1783"</definedName>
    <definedName name="IQ_PERCENT_CHANGE_EST_FFO_12MONTHS">"c1828"</definedName>
    <definedName name="IQ_PERCENT_CHANGE_EST_FFO_18MONTHS">"c1829"</definedName>
    <definedName name="IQ_PERCENT_CHANGE_EST_FFO_3MONTHS">"c1825"</definedName>
    <definedName name="IQ_PERCENT_CHANGE_EST_FFO_6MONTHS">"c1826"</definedName>
    <definedName name="IQ_PERCENT_CHANGE_EST_FFO_9MONTHS">"c1827"</definedName>
    <definedName name="IQ_PERCENT_CHANGE_EST_FFO_DAY">"c1822"</definedName>
    <definedName name="IQ_PERCENT_CHANGE_EST_FFO_MONTH">"c1824"</definedName>
    <definedName name="IQ_PERCENT_CHANGE_EST_FFO_WEEK">"c1823"</definedName>
    <definedName name="IQ_PERCENT_CHANGE_EST_PRICE_TARGET_12MONTHS">"c1844"</definedName>
    <definedName name="IQ_PERCENT_CHANGE_EST_PRICE_TARGET_18MONTHS">"c1845"</definedName>
    <definedName name="IQ_PERCENT_CHANGE_EST_PRICE_TARGET_3MONTHS">"c1841"</definedName>
    <definedName name="IQ_PERCENT_CHANGE_EST_PRICE_TARGET_6MONTHS">"c1842"</definedName>
    <definedName name="IQ_PERCENT_CHANGE_EST_PRICE_TARGET_9MONTHS">"c1843"</definedName>
    <definedName name="IQ_PERCENT_CHANGE_EST_PRICE_TARGET_DAY">"c1838"</definedName>
    <definedName name="IQ_PERCENT_CHANGE_EST_PRICE_TARGET_MONTH">"c1840"</definedName>
    <definedName name="IQ_PERCENT_CHANGE_EST_PRICE_TARGET_WEEK">"c1839"</definedName>
    <definedName name="IQ_PERCENT_CHANGE_EST_RECO_12MONTHS">"c1836"</definedName>
    <definedName name="IQ_PERCENT_CHANGE_EST_RECO_18MONTHS">"c1837"</definedName>
    <definedName name="IQ_PERCENT_CHANGE_EST_RECO_3MONTHS">"c1833"</definedName>
    <definedName name="IQ_PERCENT_CHANGE_EST_RECO_6MONTHS">"c1834"</definedName>
    <definedName name="IQ_PERCENT_CHANGE_EST_RECO_9MONTHS">"c1835"</definedName>
    <definedName name="IQ_PERCENT_CHANGE_EST_RECO_DAY">"c1830"</definedName>
    <definedName name="IQ_PERCENT_CHANGE_EST_RECO_MONTH">"c1832"</definedName>
    <definedName name="IQ_PERCENT_CHANGE_EST_RECO_WEEK">"c1831"</definedName>
    <definedName name="IQ_PERCENT_CHANGE_EST_REV_12MONTHS">"c1796"</definedName>
    <definedName name="IQ_PERCENT_CHANGE_EST_REV_18MONTHS">"c1797"</definedName>
    <definedName name="IQ_PERCENT_CHANGE_EST_REV_3MONTHS">"c1793"</definedName>
    <definedName name="IQ_PERCENT_CHANGE_EST_REV_6MONTHS">"c1794"</definedName>
    <definedName name="IQ_PERCENT_CHANGE_EST_REV_9MONTHS">"c1795"</definedName>
    <definedName name="IQ_PERCENT_CHANGE_EST_REV_DAY">"c1790"</definedName>
    <definedName name="IQ_PERCENT_CHANGE_EST_REV_MONTH">"c1792"</definedName>
    <definedName name="IQ_PERCENT_CHANGE_EST_REV_WEEK">"c1791"</definedName>
    <definedName name="IQ_PERIODDATE">"c1414"</definedName>
    <definedName name="IQ_PERIODDATE_BS">"c1032"</definedName>
    <definedName name="IQ_PERIODDATE_CF">"c1033"</definedName>
    <definedName name="IQ_PERIODDATE_IS">"c1034"</definedName>
    <definedName name="IQ_PERIODLENGTH_CF">"c1502"</definedName>
    <definedName name="IQ_PERIODLENGTH_IS">"c1503"</definedName>
    <definedName name="IQ_PERTYPE">"c1611"</definedName>
    <definedName name="IQ_PLL">"c2114"</definedName>
    <definedName name="IQ_POLICY_BENEFITS">"c1036"</definedName>
    <definedName name="IQ_POLICY_COST">"c1037"</definedName>
    <definedName name="IQ_POLICY_LIAB">"c1612"</definedName>
    <definedName name="IQ_POLICY_LOANS">"c1038"</definedName>
    <definedName name="IQ_POST_RETIRE_EXP">"c1039"</definedName>
    <definedName name="IQ_POSTPAID_CHURN">"c2121"</definedName>
    <definedName name="IQ_POSTPAID_SUBS">"c2118"</definedName>
    <definedName name="IQ_POTENTIAL_UPSIDE">"c1855"</definedName>
    <definedName name="IQ_PRE_OPEN_COST">"c1040"</definedName>
    <definedName name="IQ_PRE_TAX_ACT_OR_EST">"c2221"</definedName>
    <definedName name="IQ_PREF_CONVERT">"c1041"</definedName>
    <definedName name="IQ_PREF_DIV_CF">"c1042"</definedName>
    <definedName name="IQ_PREF_DIV_OTHER">"c1043"</definedName>
    <definedName name="IQ_PREF_DIVID">"c1461"</definedName>
    <definedName name="IQ_PREF_EQUITY">"c1044"</definedName>
    <definedName name="IQ_PREF_ISSUED">"c1045"</definedName>
    <definedName name="IQ_PREF_ISSUED_BNK">"c1046"</definedName>
    <definedName name="IQ_PREF_ISSUED_BR">"c1047"</definedName>
    <definedName name="IQ_PREF_ISSUED_FIN">"c1048"</definedName>
    <definedName name="IQ_PREF_ISSUED_INS">"c1049"</definedName>
    <definedName name="IQ_PREF_ISSUED_REIT">"c1050"</definedName>
    <definedName name="IQ_PREF_ISSUED_UTI">"c1051"</definedName>
    <definedName name="IQ_PREF_NON_REDEEM">"c1052"</definedName>
    <definedName name="IQ_PREF_OTHER">"c1053"</definedName>
    <definedName name="IQ_PREF_OTHER_BNK">"c1054"</definedName>
    <definedName name="IQ_PREF_OTHER_BR">"c1055"</definedName>
    <definedName name="IQ_PREF_OTHER_FIN">"c1056"</definedName>
    <definedName name="IQ_PREF_OTHER_INS">"c1057"</definedName>
    <definedName name="IQ_PREF_OTHER_REIT">"c1058"</definedName>
    <definedName name="IQ_PREF_REDEEM">"c1059"</definedName>
    <definedName name="IQ_PREF_REP">"c1060"</definedName>
    <definedName name="IQ_PREF_REP_BNK">"c1061"</definedName>
    <definedName name="IQ_PREF_REP_BR">"c1062"</definedName>
    <definedName name="IQ_PREF_REP_FIN">"c1063"</definedName>
    <definedName name="IQ_PREF_REP_INS">"c1064"</definedName>
    <definedName name="IQ_PREF_REP_REIT">"c1065"</definedName>
    <definedName name="IQ_PREF_REP_UTI">"c1066"</definedName>
    <definedName name="IQ_PREF_STOCK">"c1416"</definedName>
    <definedName name="IQ_PREF_TOT">"c1415"</definedName>
    <definedName name="IQ_PREMIUMS_ANNUITY_REV">"c1067"</definedName>
    <definedName name="IQ_PREPAID_CHURN">"c2120"</definedName>
    <definedName name="IQ_PREPAID_EXP">"c1068"</definedName>
    <definedName name="IQ_PREPAID_EXPEN">"c1418"</definedName>
    <definedName name="IQ_PREPAID_SUBS">"c2117"</definedName>
    <definedName name="IQ_PRETAX_GW_INC_EST">"c1702"</definedName>
    <definedName name="IQ_PRETAX_GW_INC_HIGH_EST">"c1704"</definedName>
    <definedName name="IQ_PRETAX_GW_INC_LOW_EST">"c1705"</definedName>
    <definedName name="IQ_PRETAX_GW_INC_MEDIAN_EST">"c1703"</definedName>
    <definedName name="IQ_PRETAX_GW_INC_NUM_EST">"c1706"</definedName>
    <definedName name="IQ_PRETAX_GW_INC_STDDEV_EST">"c1707"</definedName>
    <definedName name="IQ_PRETAX_INC_EST">"c1695"</definedName>
    <definedName name="IQ_PRETAX_INC_HIGH_EST">"c1697"</definedName>
    <definedName name="IQ_PRETAX_INC_LOW_EST">"c1698"</definedName>
    <definedName name="IQ_PRETAX_INC_MEDIAN_EST">"c1696"</definedName>
    <definedName name="IQ_PRETAX_INC_NUM_EST">"c1699"</definedName>
    <definedName name="IQ_PRETAX_INC_STDDEV_EST">"c1700"</definedName>
    <definedName name="IQ_PRETAX_REPORT_INC_EST">"c1709"</definedName>
    <definedName name="IQ_PRETAX_REPORT_INC_HIGH_EST">"c1711"</definedName>
    <definedName name="IQ_PRETAX_REPORT_INC_LOW_EST">"c1712"</definedName>
    <definedName name="IQ_PRETAX_REPORT_INC_MEDIAN_EST">"c1710"</definedName>
    <definedName name="IQ_PRETAX_REPORT_INC_NUM_EST">"c1713"</definedName>
    <definedName name="IQ_PRETAX_REPORT_INC_STDDEV_EST">"c1714"</definedName>
    <definedName name="IQ_PRICE_CFPS_FWD">"c2237"</definedName>
    <definedName name="IQ_PRICE_OVER_BVPS">"c1412"</definedName>
    <definedName name="IQ_PRICE_OVER_LTM_EPS">"c1413"</definedName>
    <definedName name="IQ_PRICE_TARGET">"c82"</definedName>
    <definedName name="IQ_PRICEDATE">"c1069"</definedName>
    <definedName name="IQ_PRICING_DATE">"c1613"</definedName>
    <definedName name="IQ_PRIMARY_INDUSTRY">"c1070"</definedName>
    <definedName name="IQ_PRO_FORMA_BASIC_EPS">"c1614"</definedName>
    <definedName name="IQ_PRO_FORMA_DILUT_EPS">"c1615"</definedName>
    <definedName name="IQ_PRO_FORMA_NET_INC">"c1452"</definedName>
    <definedName name="IQ_PROFESSIONAL">"c1071"</definedName>
    <definedName name="IQ_PROFESSIONAL_TITLE">"c1072"</definedName>
    <definedName name="IQ_PROJECTED_PENSION_OBLIGATION">"c1292"</definedName>
    <definedName name="IQ_PROJECTED_PENSION_OBLIGATION_DOMESTIC">"c2656"</definedName>
    <definedName name="IQ_PROJECTED_PENSION_OBLIGATION_FOREIGN">"c2664"</definedName>
    <definedName name="IQ_PROPERTY_EXP">"c1073"</definedName>
    <definedName name="IQ_PROPERTY_GROSS">"c1379"</definedName>
    <definedName name="IQ_PROPERTY_MGMT_FEE">"c1074"</definedName>
    <definedName name="IQ_PROPERTY_NET">"c1402"</definedName>
    <definedName name="IQ_PROV_BAD_DEBTS">"c1075"</definedName>
    <definedName name="IQ_PROV_BAD_DEBTS_CF">"c1076"</definedName>
    <definedName name="IQ_PROVISION_10YR_ANN_GROWTH">"c1077"</definedName>
    <definedName name="IQ_PROVISION_1YR_ANN_GROWTH">"c1078"</definedName>
    <definedName name="IQ_PROVISION_2YR_ANN_GROWTH">"c1079"</definedName>
    <definedName name="IQ_PROVISION_3YR_ANN_GROWTH">"c1080"</definedName>
    <definedName name="IQ_PROVISION_5YR_ANN_GROWTH">"c1081"</definedName>
    <definedName name="IQ_PROVISION_7YR_ANN_GROWTH">"c1082"</definedName>
    <definedName name="IQ_PROVISION_CHARGE_OFFS">"c1083"</definedName>
    <definedName name="IQ_PTBV">"c1084"</definedName>
    <definedName name="IQ_PTBV_AVG">"c1085"</definedName>
    <definedName name="IQ_QUICK_RATIO">"c1086"</definedName>
    <definedName name="IQ_RATE_COMP_GROWTH_DOMESTIC">"c1087"</definedName>
    <definedName name="IQ_RATE_COMP_GROWTH_FOREIGN">"c1088"</definedName>
    <definedName name="IQ_RAW_INV">"c1089"</definedName>
    <definedName name="IQ_RC">"c2497"</definedName>
    <definedName name="IQ_RC_PCT">"c2498"</definedName>
    <definedName name="IQ_RD_EXP">"c1090"</definedName>
    <definedName name="IQ_RD_EXP_FN">"c1091"</definedName>
    <definedName name="IQ_RE">"c1092"</definedName>
    <definedName name="IQ_REAL_ESTATE">"c1093"</definedName>
    <definedName name="IQ_REAL_ESTATE_ASSETS">"c1094"</definedName>
    <definedName name="IQ_REDEEM_PREF_STOCK">"c1417"</definedName>
    <definedName name="IQ_REG_ASSETS">"c1095"</definedName>
    <definedName name="IQ_REINSUR_PAY">"c1096"</definedName>
    <definedName name="IQ_REINSUR_PAY_CF">"c1097"</definedName>
    <definedName name="IQ_REINSUR_RECOVER">"c1098"</definedName>
    <definedName name="IQ_REINSUR_RECOVER_CF">"c1099"</definedName>
    <definedName name="IQ_REINSURANCE">"c1100"</definedName>
    <definedName name="IQ_RENTAL_REV">"c1101"</definedName>
    <definedName name="IQ_RESEARCH_DEV">"c1419"</definedName>
    <definedName name="IQ_RESIDENTIAL_LOANS">"c1102"</definedName>
    <definedName name="IQ_RESTATEMENT_BS">"c1643"</definedName>
    <definedName name="IQ_RESTATEMENT_CF">"c1644"</definedName>
    <definedName name="IQ_RESTATEMENT_IS">"c1642"</definedName>
    <definedName name="IQ_RESTRICTED_CASH">"c1103"</definedName>
    <definedName name="IQ_RESTRUCTURE">"c1104"</definedName>
    <definedName name="IQ_RESTRUCTURE_BNK">"c1105"</definedName>
    <definedName name="IQ_RESTRUCTURE_BR">"c1106"</definedName>
    <definedName name="IQ_RESTRUCTURE_CF">"c1107"</definedName>
    <definedName name="IQ_RESTRUCTURE_FIN">"c1108"</definedName>
    <definedName name="IQ_RESTRUCTURE_INS">"c1109"</definedName>
    <definedName name="IQ_RESTRUCTURE_REIT">"c1110"</definedName>
    <definedName name="IQ_RESTRUCTURE_UTI">"c1111"</definedName>
    <definedName name="IQ_RESTRUCTURED_LOANS">"c1112"</definedName>
    <definedName name="IQ_RETAIL_ACQUIRED_FRANCHISE_STORES">"c2903"</definedName>
    <definedName name="IQ_RETAIL_ACQUIRED_OWNED_STORES">"c2895"</definedName>
    <definedName name="IQ_RETAIL_ACQUIRED_STORES">"c2887"</definedName>
    <definedName name="IQ_RETAIL_AVG_STORE_SIZE_GROSS">"c2066"</definedName>
    <definedName name="IQ_RETAIL_AVG_STORE_SIZE_NET">"c2067"</definedName>
    <definedName name="IQ_RETAIL_AVG_WK_SALES">"c2891"</definedName>
    <definedName name="IQ_RETAIL_AVG_WK_SALES_FRANCHISE">"c2899"</definedName>
    <definedName name="IQ_RETAIL_AVG_WK_SALES_OWNED">"c2907"</definedName>
    <definedName name="IQ_RETAIL_CLOSED_FRANCHISE_STORES">"c2896"</definedName>
    <definedName name="IQ_RETAIL_CLOSED_OWNED_STORES">"c2904"</definedName>
    <definedName name="IQ_RETAIL_CLOSED_STORES">"c2063"</definedName>
    <definedName name="IQ_RETAIL_FRANCHISE_STORES_BEG">"c2893"</definedName>
    <definedName name="IQ_RETAIL_OPENED_FRANCHISE_STORES">"c2894"</definedName>
    <definedName name="IQ_RETAIL_OPENED_OWNED_STORES">"c2902"</definedName>
    <definedName name="IQ_RETAIL_OPENED_STORES">"c2062"</definedName>
    <definedName name="IQ_RETAIL_OWNED_STORES_BEG">"c2901"</definedName>
    <definedName name="IQ_RETAIL_SALES_SQFT_ALL_GROSS">"c2138"</definedName>
    <definedName name="IQ_RETAIL_SALES_SQFT_ALL_NET">"c2139"</definedName>
    <definedName name="IQ_RETAIL_SALES_SQFT_COMPARABLE_GROSS">"c2136"</definedName>
    <definedName name="IQ_RETAIL_SALES_SQFT_COMPARABLE_NET">"c2137"</definedName>
    <definedName name="IQ_RETAIL_SALES_SQFT_OWNED_GROSS">"c2134"</definedName>
    <definedName name="IQ_RETAIL_SALES_SQFT_OWNED_NET">"c2135"</definedName>
    <definedName name="IQ_RETAIL_SOLD_FRANCHISE_STORES">"c2897"</definedName>
    <definedName name="IQ_RETAIL_SOLD_OWNED_STORES">"c2905"</definedName>
    <definedName name="IQ_RETAIL_SOLD_STORES">"c2889"</definedName>
    <definedName name="IQ_RETAIL_SQ_FOOTAGE">"c2064"</definedName>
    <definedName name="IQ_RETAIL_STORE_SELLING_AREA">"c2065"</definedName>
    <definedName name="IQ_RETAIL_STORES_BEG">"c2885"</definedName>
    <definedName name="IQ_RETAIL_TOTAL_FRANCHISE_STORES">"c2898"</definedName>
    <definedName name="IQ_RETAIL_TOTAL_OWNED_STORES">"c2906"</definedName>
    <definedName name="IQ_RETAIL_TOTAL_STORES">"c2061"</definedName>
    <definedName name="IQ_RETAINED_EARN">"c1420"</definedName>
    <definedName name="IQ_RETURN_ASSETS">"c1113"</definedName>
    <definedName name="IQ_RETURN_ASSETS_BANK">"c1114"</definedName>
    <definedName name="IQ_RETURN_ASSETS_BROK">"c1115"</definedName>
    <definedName name="IQ_RETURN_ASSETS_FS">"c1116"</definedName>
    <definedName name="IQ_RETURN_CAPITAL">"c1117"</definedName>
    <definedName name="IQ_RETURN_EQUITY">"c1118"</definedName>
    <definedName name="IQ_RETURN_EQUITY_BANK">"c1119"</definedName>
    <definedName name="IQ_RETURN_EQUITY_BROK">"c1120"</definedName>
    <definedName name="IQ_RETURN_EQUITY_FS">"c1121"</definedName>
    <definedName name="IQ_RETURN_INVESTMENT">"c1421"</definedName>
    <definedName name="IQ_REV">"c1122"</definedName>
    <definedName name="IQ_REV_BEFORE_LL">"c1123"</definedName>
    <definedName name="IQ_REV_STDDEV_EST">"c1124"</definedName>
    <definedName name="IQ_REV_UTI">"c1125"</definedName>
    <definedName name="IQ_REVENUE">"c1422"</definedName>
    <definedName name="IQ_REVENUE_ACT_OR_EST">"c2214"</definedName>
    <definedName name="IQ_REVENUE_EST">"c1126"</definedName>
    <definedName name="IQ_REVENUE_HIGH_EST">"c1127"</definedName>
    <definedName name="IQ_REVENUE_LOW_EST">"c1128"</definedName>
    <definedName name="IQ_REVENUE_MEDIAN_EST">"c1662"</definedName>
    <definedName name="IQ_REVENUE_NUM_EST">"c1129"</definedName>
    <definedName name="IQ_REVISION_DATE_">39217.4058912037</definedName>
    <definedName name="IQ_RISK_ADJ_BANK_ASSETS">"c2670"</definedName>
    <definedName name="IQ_SALARY">"c1130"</definedName>
    <definedName name="IQ_SALE_INTAN_CF">"c1131"</definedName>
    <definedName name="IQ_SALE_INTAN_CF_BNK">"c1132"</definedName>
    <definedName name="IQ_SALE_INTAN_CF_BR">"c1133"</definedName>
    <definedName name="IQ_SALE_INTAN_CF_FIN">"c1134"</definedName>
    <definedName name="IQ_SALE_INTAN_CF_INS">"c1135"</definedName>
    <definedName name="IQ_SALE_INTAN_CF_REIT">"c1627"</definedName>
    <definedName name="IQ_SALE_INTAN_CF_UTI">"c1136"</definedName>
    <definedName name="IQ_SALE_PPE_CF">"c1137"</definedName>
    <definedName name="IQ_SALE_PPE_CF_BNK">"c1138"</definedName>
    <definedName name="IQ_SALE_PPE_CF_BR">"c1139"</definedName>
    <definedName name="IQ_SALE_PPE_CF_FIN">"c1140"</definedName>
    <definedName name="IQ_SALE_PPE_CF_INS">"c1141"</definedName>
    <definedName name="IQ_SALE_PPE_CF_UTI">"c1142"</definedName>
    <definedName name="IQ_SALE_RE_ASSETS">"c1629"</definedName>
    <definedName name="IQ_SALE_REAL_ESTATE_CF">"c1143"</definedName>
    <definedName name="IQ_SALE_REAL_ESTATE_CF_BNK">"c1144"</definedName>
    <definedName name="IQ_SALE_REAL_ESTATE_CF_BR">"c1145"</definedName>
    <definedName name="IQ_SALE_REAL_ESTATE_CF_FIN">"c1146"</definedName>
    <definedName name="IQ_SALE_REAL_ESTATE_CF_INS">"c1147"</definedName>
    <definedName name="IQ_SALE_REAL_ESTATE_CF_UTI">"c1148"</definedName>
    <definedName name="IQ_SALES_MARKETING">"c2240"</definedName>
    <definedName name="IQ_SAME_STORE">"c1149"</definedName>
    <definedName name="IQ_SAME_STORE_FRANCHISE">"c2900"</definedName>
    <definedName name="IQ_SAME_STORE_OWNED">"c2908"</definedName>
    <definedName name="IQ_SAME_STORE_TOTAL">"c2892"</definedName>
    <definedName name="IQ_SAVING_DEP">"c1150"</definedName>
    <definedName name="IQ_SECUR_RECEIV">"c1151"</definedName>
    <definedName name="IQ_SECURED_DEBT">"c2546"</definedName>
    <definedName name="IQ_SECURED_DEBT_PCT">"c2547"</definedName>
    <definedName name="IQ_SECURITY_BORROW">"c1152"</definedName>
    <definedName name="IQ_SECURITY_OWN">"c1153"</definedName>
    <definedName name="IQ_SECURITY_RESELL">"c1154"</definedName>
    <definedName name="IQ_SEPARATE_ACCT_ASSETS">"c1155"</definedName>
    <definedName name="IQ_SEPARATE_ACCT_LIAB">"c1156"</definedName>
    <definedName name="IQ_SERV_CHARGE_DEPOSITS">"c1157"</definedName>
    <definedName name="IQ_SGA">"c1158"</definedName>
    <definedName name="IQ_SGA_BNK">"c1159"</definedName>
    <definedName name="IQ_SGA_INS">"c1160"</definedName>
    <definedName name="IQ_SGA_MARGIN">"c1898"</definedName>
    <definedName name="IQ_SGA_REIT">"c1161"</definedName>
    <definedName name="IQ_SGA_SUPPL">"c1162"</definedName>
    <definedName name="IQ_SGA_UTI">"c1163"</definedName>
    <definedName name="IQ_SHAREOUTSTANDING">"c1347"</definedName>
    <definedName name="IQ_SHARESOUTSTANDING">"c1164"</definedName>
    <definedName name="IQ_SHORT_INTEREST">"c1165"</definedName>
    <definedName name="IQ_SHORT_INTEREST_OVER_FLOAT">"c1577"</definedName>
    <definedName name="IQ_SHORT_INTEREST_PERCENT">"c1576"</definedName>
    <definedName name="IQ_SHORT_TERM_INVEST">"c1425"</definedName>
    <definedName name="IQ_SMALL_INT_BEAR_CD">"c1166"</definedName>
    <definedName name="IQ_SOFTWARE">"c1167"</definedName>
    <definedName name="IQ_SOURCE">"c1168"</definedName>
    <definedName name="IQ_SPECIAL_DIV_CF">"c1169"</definedName>
    <definedName name="IQ_SPECIAL_DIV_CF_BNK">"c1170"</definedName>
    <definedName name="IQ_SPECIAL_DIV_CF_BR">"c1171"</definedName>
    <definedName name="IQ_SPECIAL_DIV_CF_FIN">"c1172"</definedName>
    <definedName name="IQ_SPECIAL_DIV_CF_INS">"c1173"</definedName>
    <definedName name="IQ_SPECIAL_DIV_CF_REIT">"c1174"</definedName>
    <definedName name="IQ_SPECIAL_DIV_CF_UTI">"c1175"</definedName>
    <definedName name="IQ_SPECIAL_DIV_SHARE">"c3007"</definedName>
    <definedName name="IQ_SR_BONDS_NOTES">"c2501"</definedName>
    <definedName name="IQ_SR_BONDS_NOTES_PCT">"c2502"</definedName>
    <definedName name="IQ_SR_DEBT">"c2526"</definedName>
    <definedName name="IQ_SR_DEBT_EBITDA">"c2552"</definedName>
    <definedName name="IQ_SR_DEBT_EBITDA_CAPEX">"c2553"</definedName>
    <definedName name="IQ_SR_DEBT_PCT">"c2527"</definedName>
    <definedName name="IQ_SR_SUB_DEBT">"c2530"</definedName>
    <definedName name="IQ_SR_SUB_DEBT_EBITDA">"c2556"</definedName>
    <definedName name="IQ_SR_SUB_DEBT_EBITDA_CAPEX">"c2557"</definedName>
    <definedName name="IQ_SR_SUB_DEBT_PCT">"c2531"</definedName>
    <definedName name="IQ_ST_DEBT">"c1176"</definedName>
    <definedName name="IQ_ST_DEBT_BNK">"c1177"</definedName>
    <definedName name="IQ_ST_DEBT_BR">"c1178"</definedName>
    <definedName name="IQ_ST_DEBT_FIN">"c1179"</definedName>
    <definedName name="IQ_ST_DEBT_INS">"c1180"</definedName>
    <definedName name="IQ_ST_DEBT_ISSUED">"c1181"</definedName>
    <definedName name="IQ_ST_DEBT_ISSUED_BNK">"c1182"</definedName>
    <definedName name="IQ_ST_DEBT_ISSUED_BR">"c1183"</definedName>
    <definedName name="IQ_ST_DEBT_ISSUED_FIN">"c1184"</definedName>
    <definedName name="IQ_ST_DEBT_ISSUED_INS">"c1185"</definedName>
    <definedName name="IQ_ST_DEBT_ISSUED_REIT">"c1186"</definedName>
    <definedName name="IQ_ST_DEBT_ISSUED_UTI">"c1187"</definedName>
    <definedName name="IQ_ST_DEBT_PCT">"c2539"</definedName>
    <definedName name="IQ_ST_DEBT_REIT">"c1188"</definedName>
    <definedName name="IQ_ST_DEBT_REPAID">"c1189"</definedName>
    <definedName name="IQ_ST_DEBT_REPAID_BNK">"c1190"</definedName>
    <definedName name="IQ_ST_DEBT_REPAID_BR">"c1191"</definedName>
    <definedName name="IQ_ST_DEBT_REPAID_FIN">"c1192"</definedName>
    <definedName name="IQ_ST_DEBT_REPAID_INS">"c1193"</definedName>
    <definedName name="IQ_ST_DEBT_REPAID_REIT">"c1194"</definedName>
    <definedName name="IQ_ST_DEBT_REPAID_UTI">"c1195"</definedName>
    <definedName name="IQ_ST_DEBT_UTI">"c1196"</definedName>
    <definedName name="IQ_ST_INVEST">"c1197"</definedName>
    <definedName name="IQ_ST_INVEST_UTI">"c1198"</definedName>
    <definedName name="IQ_ST_NOTE_RECEIV">"c1199"</definedName>
    <definedName name="IQ_STATE">"c1200"</definedName>
    <definedName name="IQ_STATUTORY_SURPLUS">"c1201"</definedName>
    <definedName name="IQ_STOCK_BASED">"c1202"</definedName>
    <definedName name="IQ_STOCK_BASED_AT">"c2999"</definedName>
    <definedName name="IQ_STOCK_BASED_CF">"c1203"</definedName>
    <definedName name="IQ_STOCK_BASED_COGS">"c2990"</definedName>
    <definedName name="IQ_STOCK_BASED_GA">"c2993"</definedName>
    <definedName name="IQ_STOCK_BASED_OTHER">"c2995"</definedName>
    <definedName name="IQ_STOCK_BASED_RD">"c2991"</definedName>
    <definedName name="IQ_STOCK_BASED_SGA">"c2994"</definedName>
    <definedName name="IQ_STOCK_BASED_SM">"c2992"</definedName>
    <definedName name="IQ_STOCK_BASED_TOTAL">"c3040"</definedName>
    <definedName name="IQ_STRIKE_PRICE_ISSUED">"c1645"</definedName>
    <definedName name="IQ_STRIKE_PRICE_OS">"c1646"</definedName>
    <definedName name="IQ_SUB_BONDS_NOTES">"c2503"</definedName>
    <definedName name="IQ_SUB_BONDS_NOTES_PCT">"c2504"</definedName>
    <definedName name="IQ_SUB_DEBT">"c2532"</definedName>
    <definedName name="IQ_SUB_DEBT_EBITDA">"c2558"</definedName>
    <definedName name="IQ_SUB_DEBT_EBITDA_CAPEX">"c2559"</definedName>
    <definedName name="IQ_SUB_DEBT_PCT">"c2533"</definedName>
    <definedName name="IQ_SUB_LEASE_AFTER_FIVE">"c1207"</definedName>
    <definedName name="IQ_SUB_LEASE_INC_CY">"c1208"</definedName>
    <definedName name="IQ_SUB_LEASE_INC_CY1">"c1209"</definedName>
    <definedName name="IQ_SUB_LEASE_INC_CY2">"c1210"</definedName>
    <definedName name="IQ_SUB_LEASE_INC_CY3">"c1211"</definedName>
    <definedName name="IQ_SUB_LEASE_INC_CY4">"c1212"</definedName>
    <definedName name="IQ_SUB_LEASE_NEXT_FIVE">"c1213"</definedName>
    <definedName name="IQ_SVA">"c1214"</definedName>
    <definedName name="IQ_TARGET_PRICE_NUM">"c1653"</definedName>
    <definedName name="IQ_TARGET_PRICE_STDDEV">"c1654"</definedName>
    <definedName name="IQ_TAX_BENEFIT_OPTIONS">"c1215"</definedName>
    <definedName name="IQ_TAX_EQUIV_NET_INT_INC">"c1216"</definedName>
    <definedName name="IQ_TBV">"c1906"</definedName>
    <definedName name="IQ_TBV_10YR_ANN_GROWTH">"c1936"</definedName>
    <definedName name="IQ_TBV_1YR_ANN_GROWTH">"c1931"</definedName>
    <definedName name="IQ_TBV_2YR_ANN_GROWTH">"c1932"</definedName>
    <definedName name="IQ_TBV_3YR_ANN_GROWTH">"c1933"</definedName>
    <definedName name="IQ_TBV_5YR_ANN_GROWTH">"c1934"</definedName>
    <definedName name="IQ_TBV_7YR_ANN_GROWTH">"c1935"</definedName>
    <definedName name="IQ_TBV_SHARE">"c1217"</definedName>
    <definedName name="IQ_TEMPLATE">"c1521"</definedName>
    <definedName name="IQ_TENANT">"c1218"</definedName>
    <definedName name="IQ_TERM_LOANS">"c2499"</definedName>
    <definedName name="IQ_TERM_LOANS_PCT">"c2500"</definedName>
    <definedName name="IQ_TEV">"c1219"</definedName>
    <definedName name="IQ_TEV_EBIT">"c1220"</definedName>
    <definedName name="IQ_TEV_EBIT_AVG">"c1221"</definedName>
    <definedName name="IQ_TEV_EBIT_FWD">"c2238"</definedName>
    <definedName name="IQ_TEV_EBITDA">"c1222"</definedName>
    <definedName name="IQ_TEV_EBITDA_AVG">"c1223"</definedName>
    <definedName name="IQ_TEV_EBITDA_FWD">"c1224"</definedName>
    <definedName name="IQ_TEV_EMPLOYEE_AVG">"c1225"</definedName>
    <definedName name="IQ_TEV_TOTAL_REV">"c1226"</definedName>
    <definedName name="IQ_TEV_TOTAL_REV_AVG">"c1227"</definedName>
    <definedName name="IQ_TEV_TOTAL_REV_FWD">"c1228"</definedName>
    <definedName name="IQ_TEV_UFCF">"c2208"</definedName>
    <definedName name="IQ_TIER_ONE_CAPITAL">"c2667"</definedName>
    <definedName name="IQ_TIER_ONE_RATIO">"c1229"</definedName>
    <definedName name="IQ_TIER_TWO_CAPITAL">"c2669"</definedName>
    <definedName name="IQ_TIME_DEP">"c1230"</definedName>
    <definedName name="IQ_TODAY">0</definedName>
    <definedName name="IQ_TOT_ADJ_INC">"c1616"</definedName>
    <definedName name="IQ_TOTAL_AR_BR">"c1231"</definedName>
    <definedName name="IQ_TOTAL_AR_REIT">"c1232"</definedName>
    <definedName name="IQ_TOTAL_AR_UTI">"c1233"</definedName>
    <definedName name="IQ_TOTAL_ASSETS">"c1234"</definedName>
    <definedName name="IQ_TOTAL_ASSETS_10YR_ANN_GROWTH">"c1235"</definedName>
    <definedName name="IQ_TOTAL_ASSETS_1YR_ANN_GROWTH">"c1236"</definedName>
    <definedName name="IQ_TOTAL_ASSETS_2YR_ANN_GROWTH">"c1237"</definedName>
    <definedName name="IQ_TOTAL_ASSETS_3YR_ANN_GROWTH">"c1238"</definedName>
    <definedName name="IQ_TOTAL_ASSETS_5YR_ANN_GROWTH">"c1239"</definedName>
    <definedName name="IQ_TOTAL_ASSETS_7YR_ANN_GROWTH">"c1240"</definedName>
    <definedName name="IQ_TOTAL_AVG_CE_TOTAL_AVG_ASSETS">"c1241"</definedName>
    <definedName name="IQ_TOTAL_AVG_EQUITY_TOTAL_AVG_ASSETS">"c1242"</definedName>
    <definedName name="IQ_TOTAL_BANK_CAPITAL">"c2668"</definedName>
    <definedName name="IQ_TOTAL_CA">"c1243"</definedName>
    <definedName name="IQ_TOTAL_CAP">"c1507"</definedName>
    <definedName name="IQ_TOTAL_CAPITAL_RATIO">"c1244"</definedName>
    <definedName name="IQ_TOTAL_CASH_DIVID">"c1455"</definedName>
    <definedName name="IQ_TOTAL_CASH_FINAN">"c1352"</definedName>
    <definedName name="IQ_TOTAL_CASH_INVEST">"c1353"</definedName>
    <definedName name="IQ_TOTAL_CASH_OPER">"c1354"</definedName>
    <definedName name="IQ_TOTAL_CHURN">"c2122"</definedName>
    <definedName name="IQ_TOTAL_CL">"c1245"</definedName>
    <definedName name="IQ_TOTAL_COMMON">"c1411"</definedName>
    <definedName name="IQ_TOTAL_COMMON_EQUITY">"c1246"</definedName>
    <definedName name="IQ_TOTAL_CURRENT_ASSETS">"c1430"</definedName>
    <definedName name="IQ_TOTAL_CURRENT_LIAB">"c1431"</definedName>
    <definedName name="IQ_TOTAL_DEBT">"c1247"</definedName>
    <definedName name="IQ_TOTAL_DEBT_CAPITAL">"c1248"</definedName>
    <definedName name="IQ_TOTAL_DEBT_EBITDA">"c1249"</definedName>
    <definedName name="IQ_TOTAL_DEBT_EBITDA_CAPEX">"c2948"</definedName>
    <definedName name="IQ_TOTAL_DEBT_EQUITY">"c1250"</definedName>
    <definedName name="IQ_TOTAL_DEBT_EXCL_FIN">"c2937"</definedName>
    <definedName name="IQ_TOTAL_DEBT_ISSUED">"c1251"</definedName>
    <definedName name="IQ_TOTAL_DEBT_ISSUED_BNK">"c1252"</definedName>
    <definedName name="IQ_TOTAL_DEBT_ISSUED_BR">"c1253"</definedName>
    <definedName name="IQ_TOTAL_DEBT_ISSUED_FIN">"c1254"</definedName>
    <definedName name="IQ_TOTAL_DEBT_ISSUED_REIT">"c1255"</definedName>
    <definedName name="IQ_TOTAL_DEBT_ISSUED_UTI">"c1256"</definedName>
    <definedName name="IQ_TOTAL_DEBT_ISSUES_INS">"c1257"</definedName>
    <definedName name="IQ_TOTAL_DEBT_OVER_EBITDA">"c1433"</definedName>
    <definedName name="IQ_TOTAL_DEBT_OVER_TOTAL_BV">"c1434"</definedName>
    <definedName name="IQ_TOTAL_DEBT_OVER_TOTAL_CAP">"c1432"</definedName>
    <definedName name="IQ_TOTAL_DEBT_REPAID">"c1258"</definedName>
    <definedName name="IQ_TOTAL_DEBT_REPAID_BNK">"c1259"</definedName>
    <definedName name="IQ_TOTAL_DEBT_REPAID_BR">"c1260"</definedName>
    <definedName name="IQ_TOTAL_DEBT_REPAID_FIN">"c1261"</definedName>
    <definedName name="IQ_TOTAL_DEBT_REPAID_INS">"c1262"</definedName>
    <definedName name="IQ_TOTAL_DEBT_REPAID_REIT">"c1263"</definedName>
    <definedName name="IQ_TOTAL_DEBT_REPAID_UTI">"c1264"</definedName>
    <definedName name="IQ_TOTAL_DEPOSITS">"c1265"</definedName>
    <definedName name="IQ_TOTAL_DIV_PAID_CF">"c1266"</definedName>
    <definedName name="IQ_TOTAL_EMPLOYEE">"c2141"</definedName>
    <definedName name="IQ_TOTAL_EMPLOYEES">"c1522"</definedName>
    <definedName name="IQ_TOTAL_EQUITY">"c1267"</definedName>
    <definedName name="IQ_TOTAL_EQUITY_10YR_ANN_GROWTH">"c1268"</definedName>
    <definedName name="IQ_TOTAL_EQUITY_1YR_ANN_GROWTH">"c1269"</definedName>
    <definedName name="IQ_TOTAL_EQUITY_2YR_ANN_GROWTH">"c1270"</definedName>
    <definedName name="IQ_TOTAL_EQUITY_3YR_ANN_GROWTH">"c1271"</definedName>
    <definedName name="IQ_TOTAL_EQUITY_5YR_ANN_GROWTH">"c1272"</definedName>
    <definedName name="IQ_TOTAL_EQUITY_7YR_ANN_GROWTH">"c1273"</definedName>
    <definedName name="IQ_TOTAL_EQUITY_ALLOWANCE_TOTAL_LOANS">"c1274"</definedName>
    <definedName name="IQ_TOTAL_INTEREST_EXP">"c1382"</definedName>
    <definedName name="IQ_TOTAL_INVENTORY">"c1385"</definedName>
    <definedName name="IQ_TOTAL_INVEST">"c1275"</definedName>
    <definedName name="IQ_TOTAL_LIAB">"c1276"</definedName>
    <definedName name="IQ_TOTAL_LIAB_BNK">"c1277"</definedName>
    <definedName name="IQ_TOTAL_LIAB_BR">"c1278"</definedName>
    <definedName name="IQ_TOTAL_LIAB_EQUITY">"c1279"</definedName>
    <definedName name="IQ_TOTAL_LIAB_FIN">"c1280"</definedName>
    <definedName name="IQ_TOTAL_LIAB_INS">"c1281"</definedName>
    <definedName name="IQ_TOTAL_LIAB_REIT">"c1282"</definedName>
    <definedName name="IQ_TOTAL_LIAB_SHAREHOLD">"c1435"</definedName>
    <definedName name="IQ_TOTAL_LIAB_TOTAL_ASSETS">"c1283"</definedName>
    <definedName name="IQ_TOTAL_LONG_DEBT">"c1617"</definedName>
    <definedName name="IQ_TOTAL_NON_REC">"c1444"</definedName>
    <definedName name="IQ_TOTAL_OPER_EXP_BR">"c1284"</definedName>
    <definedName name="IQ_TOTAL_OPER_EXP_FIN">"c1285"</definedName>
    <definedName name="IQ_TOTAL_OPER_EXP_INS">"c1286"</definedName>
    <definedName name="IQ_TOTAL_OPER_EXP_REIT">"c1287"</definedName>
    <definedName name="IQ_TOTAL_OPER_EXP_UTI">"c1288"</definedName>
    <definedName name="IQ_TOTAL_OPER_EXPEN">"c1445"</definedName>
    <definedName name="IQ_TOTAL_OPTIONS_BEG_OS">"c2693"</definedName>
    <definedName name="IQ_TOTAL_OPTIONS_CANCELLED">"c2696"</definedName>
    <definedName name="IQ_TOTAL_OPTIONS_END_OS">"c2697"</definedName>
    <definedName name="IQ_TOTAL_OPTIONS_EXERCISED">"c2695"</definedName>
    <definedName name="IQ_TOTAL_OPTIONS_GRANTED">"c2694"</definedName>
    <definedName name="IQ_TOTAL_OTHER_OPER">"c1289"</definedName>
    <definedName name="IQ_TOTAL_OUTSTANDING_BS_DATE">"c1022"</definedName>
    <definedName name="IQ_TOTAL_OUTSTANDING_FILING_DATE">"c2107"</definedName>
    <definedName name="IQ_TOTAL_PENSION_ASSETS">"c1290"</definedName>
    <definedName name="IQ_TOTAL_PENSION_ASSETS_DOMESTIC">"c2658"</definedName>
    <definedName name="IQ_TOTAL_PENSION_ASSETS_FOREIGN">"c2666"</definedName>
    <definedName name="IQ_TOTAL_PENSION_EXP">"c1291"</definedName>
    <definedName name="IQ_TOTAL_PRINCIPAL">"c2509"</definedName>
    <definedName name="IQ_TOTAL_PRINCIPAL_PCT">"c2510"</definedName>
    <definedName name="IQ_TOTAL_PROVED_RESERVES_NGL">"c2924"</definedName>
    <definedName name="IQ_TOTAL_PROVED_RESERVES_OIL">"c2040"</definedName>
    <definedName name="IQ_TOTAL_RECEIV">"c1293"</definedName>
    <definedName name="IQ_TOTAL_REV">"c1294"</definedName>
    <definedName name="IQ_TOTAL_REV_10YR_ANN_GROWTH">"c1295"</definedName>
    <definedName name="IQ_TOTAL_REV_1YR_ANN_GROWTH">"c1296"</definedName>
    <definedName name="IQ_TOTAL_REV_2YR_ANN_GROWTH">"c1297"</definedName>
    <definedName name="IQ_TOTAL_REV_3YR_ANN_GROWTH">"c1298"</definedName>
    <definedName name="IQ_TOTAL_REV_5YR_ANN_GROWTH">"c1299"</definedName>
    <definedName name="IQ_TOTAL_REV_7YR_ANN_GROWTH">"c1300"</definedName>
    <definedName name="IQ_TOTAL_REV_AS_REPORTED">"c1301"</definedName>
    <definedName name="IQ_TOTAL_REV_BNK">"c1302"</definedName>
    <definedName name="IQ_TOTAL_REV_BR">"c1303"</definedName>
    <definedName name="IQ_TOTAL_REV_EMPLOYEE">"c1304"</definedName>
    <definedName name="IQ_TOTAL_REV_FIN">"c1305"</definedName>
    <definedName name="IQ_TOTAL_REV_INS">"c1306"</definedName>
    <definedName name="IQ_TOTAL_REV_REIT">"c1307"</definedName>
    <definedName name="IQ_TOTAL_REV_SHARE">"c1912"</definedName>
    <definedName name="IQ_TOTAL_REV_UTI">"c1308"</definedName>
    <definedName name="IQ_TOTAL_REVENUE">"c1436"</definedName>
    <definedName name="IQ_TOTAL_SPECIAL">"c1618"</definedName>
    <definedName name="IQ_TOTAL_ST_BORROW">"c1424"</definedName>
    <definedName name="IQ_TOTAL_SUB_DEBT">"c2528"</definedName>
    <definedName name="IQ_TOTAL_SUB_DEBT_EBITDA">"c2554"</definedName>
    <definedName name="IQ_TOTAL_SUB_DEBT_EBITDA_CAPEX">"c2555"</definedName>
    <definedName name="IQ_TOTAL_SUB_DEBT_PCT">"c2529"</definedName>
    <definedName name="IQ_TOTAL_SUBS">"c2119"</definedName>
    <definedName name="IQ_TOTAL_UNUSUAL">"c1508"</definedName>
    <definedName name="IQ_TOTAL_WARRANTS_BEG_OS">"c2719"</definedName>
    <definedName name="IQ_TOTAL_WARRANTS_CANCELLED">"c2722"</definedName>
    <definedName name="IQ_TOTAL_WARRANTS_END_OS">"c2723"</definedName>
    <definedName name="IQ_TOTAL_WARRANTS_EXERCISED">"c2721"</definedName>
    <definedName name="IQ_TOTAL_WARRANTS_ISSUED">"c2720"</definedName>
    <definedName name="IQ_TR_ACCT_METHOD">"c2363"</definedName>
    <definedName name="IQ_TR_ACQ_52_WK_HI_PCT">"c2348"</definedName>
    <definedName name="IQ_TR_ACQ_52_WK_LOW_PCT">"c2347"</definedName>
    <definedName name="IQ_TR_ACQ_CASH_ST_INVEST">"c2372"</definedName>
    <definedName name="IQ_TR_ACQ_CLOSEPRICE_1D">"c3027"</definedName>
    <definedName name="IQ_TR_ACQ_DILUT_EPS_EXCL">"c3028"</definedName>
    <definedName name="IQ_TR_ACQ_EARNING_CO">"c2379"</definedName>
    <definedName name="IQ_TR_ACQ_EBIT">"c2380"</definedName>
    <definedName name="IQ_TR_ACQ_EBITDA">"c2381"</definedName>
    <definedName name="IQ_TR_ACQ_FILING_CURRENCY">"c3033"</definedName>
    <definedName name="IQ_TR_ACQ_MCAP_1DAY">"c2345"</definedName>
    <definedName name="IQ_TR_ACQ_MIN_INT">"c2374"</definedName>
    <definedName name="IQ_TR_ACQ_NET_DEBT">"c2373"</definedName>
    <definedName name="IQ_TR_ACQ_NI">"c2378"</definedName>
    <definedName name="IQ_TR_ACQ_PRICEDATE_1D">"c2346"</definedName>
    <definedName name="IQ_TR_ACQ_RETURN">"c2349"</definedName>
    <definedName name="IQ_TR_ACQ_STOCKYEARHIGH_1D">"c2343"</definedName>
    <definedName name="IQ_TR_ACQ_STOCKYEARLOW_1D">"c2344"</definedName>
    <definedName name="IQ_TR_ACQ_TOTAL_ASSETS">"c2371"</definedName>
    <definedName name="IQ_TR_ACQ_TOTAL_COMMON_EQ">"c2377"</definedName>
    <definedName name="IQ_TR_ACQ_TOTAL_DEBT">"c2376"</definedName>
    <definedName name="IQ_TR_ACQ_TOTAL_PREF">"c2375"</definedName>
    <definedName name="IQ_TR_ACQ_TOTAL_REV">"c2382"</definedName>
    <definedName name="IQ_TR_ADJ_SIZE">"c3024"</definedName>
    <definedName name="IQ_TR_ANN_DATE">"c2395"</definedName>
    <definedName name="IQ_TR_ANN_DATE_BL">"c2394"</definedName>
    <definedName name="IQ_TR_BID_DATE">"c2357"</definedName>
    <definedName name="IQ_TR_BLUESKY_FEES">"c2277"</definedName>
    <definedName name="IQ_TR_BUY_ACC_ADVISORS">"c3048"</definedName>
    <definedName name="IQ_TR_BUY_FIN_ADVISORS">"c3045"</definedName>
    <definedName name="IQ_TR_BUY_LEG_ADVISORS">"c2387"</definedName>
    <definedName name="IQ_TR_BUYER_ID">"c2404"</definedName>
    <definedName name="IQ_TR_BUYERNAME">"c2401"</definedName>
    <definedName name="IQ_TR_CANCELLED_DATE">"c2284"</definedName>
    <definedName name="IQ_TR_CASH_CONSID_PCT">"c2296"</definedName>
    <definedName name="IQ_TR_CASH_ST_INVEST">"c3025"</definedName>
    <definedName name="IQ_TR_CHANGE_CONTROL">"c2365"</definedName>
    <definedName name="IQ_TR_CLOSED_DATE">"c2283"</definedName>
    <definedName name="IQ_TR_CO_NET_PROCEEDS">"c2268"</definedName>
    <definedName name="IQ_TR_CO_NET_PROCEEDS_PCT">"c2270"</definedName>
    <definedName name="IQ_TR_COMMENTS">"c2383"</definedName>
    <definedName name="IQ_TR_CURRENCY">"c3016"</definedName>
    <definedName name="IQ_TR_DEAL_ATTITUDE">"c2364"</definedName>
    <definedName name="IQ_TR_DEAL_CONDITIONS">"c2367"</definedName>
    <definedName name="IQ_TR_DEAL_RESOLUTION">"c2391"</definedName>
    <definedName name="IQ_TR_DEAL_RESPONSES">"c2366"</definedName>
    <definedName name="IQ_TR_DEBT_CONSID_PCT">"c2299"</definedName>
    <definedName name="IQ_TR_DEF_AGRMT_DATE">"c2285"</definedName>
    <definedName name="IQ_TR_DISCLOSED_FEES_EXP">"c2288"</definedName>
    <definedName name="IQ_TR_EARNOUTS">"c3023"</definedName>
    <definedName name="IQ_TR_EXPIRED_DATE">"c2412"</definedName>
    <definedName name="IQ_TR_GROSS_OFFERING_AMT">"c2262"</definedName>
    <definedName name="IQ_TR_HYBRID_CONSID_PCT">"c2300"</definedName>
    <definedName name="IQ_TR_IMPLIED_EQ">"c3018"</definedName>
    <definedName name="IQ_TR_IMPLIED_EQ_BV">"c3019"</definedName>
    <definedName name="IQ_TR_IMPLIED_EQ_NI_LTM">"c3020"</definedName>
    <definedName name="IQ_TR_IMPLIED_EV">"c2301"</definedName>
    <definedName name="IQ_TR_IMPLIED_EV_BV">"c2306"</definedName>
    <definedName name="IQ_TR_IMPLIED_EV_EBIT">"c2302"</definedName>
    <definedName name="IQ_TR_IMPLIED_EV_EBITDA">"c2303"</definedName>
    <definedName name="IQ_TR_IMPLIED_EV_NI_LTM">"c2307"</definedName>
    <definedName name="IQ_TR_IMPLIED_EV_REV">"c2304"</definedName>
    <definedName name="IQ_TR_LOI_DATE">"c2282"</definedName>
    <definedName name="IQ_TR_MAJ_MIN_STAKE">"c2389"</definedName>
    <definedName name="IQ_TR_NEGOTIATED_BUYBACK_PRICE">"c2414"</definedName>
    <definedName name="IQ_TR_NET_ASSUM_LIABILITIES">"c2308"</definedName>
    <definedName name="IQ_TR_NET_PROCEEDS">"c2267"</definedName>
    <definedName name="IQ_TR_OFFER_DATE">"c2265"</definedName>
    <definedName name="IQ_TR_OFFER_DATE_MA">"c3035"</definedName>
    <definedName name="IQ_TR_OFFER_PER_SHARE">"c3017"</definedName>
    <definedName name="IQ_TR_OPTIONS_CONSID_PCT">"c2311"</definedName>
    <definedName name="IQ_TR_OTHER_CONSID">"c3022"</definedName>
    <definedName name="IQ_TR_PCT_SOUGHT">"c2309"</definedName>
    <definedName name="IQ_TR_PFEATURES">"c2384"</definedName>
    <definedName name="IQ_TR_PIPE_CONV_PRICE_SHARE">"c2292"</definedName>
    <definedName name="IQ_TR_PIPE_CPN_PCT">"c2291"</definedName>
    <definedName name="IQ_TR_PIPE_NUMBER_SHARES">"c2293"</definedName>
    <definedName name="IQ_TR_PIPE_PPS">"c2290"</definedName>
    <definedName name="IQ_TR_POSTMONEY_VAL">"c2286"</definedName>
    <definedName name="IQ_TR_PREDEAL_SITUATION">"c2390"</definedName>
    <definedName name="IQ_TR_PREF_CONSID_PCT">"c2310"</definedName>
    <definedName name="IQ_TR_PREMONEY_VAL">"c2287"</definedName>
    <definedName name="IQ_TR_PRINTING_FEES">"c2276"</definedName>
    <definedName name="IQ_TR_PT_MONETARY_VALUES">"c2415"</definedName>
    <definedName name="IQ_TR_PT_NUMBER_SHARES">"c2417"</definedName>
    <definedName name="IQ_TR_PT_PCT_SHARES">"c2416"</definedName>
    <definedName name="IQ_TR_RATING_FEES">"c2275"</definedName>
    <definedName name="IQ_TR_REG_EFFECT_DATE">"c2264"</definedName>
    <definedName name="IQ_TR_REG_FILED_DATE">"c2263"</definedName>
    <definedName name="IQ_TR_RENEWAL_BUYBACK">"c2413"</definedName>
    <definedName name="IQ_TR_ROUND_NUMBER">"c2295"</definedName>
    <definedName name="IQ_TR_SEC_FEES">"c2274"</definedName>
    <definedName name="IQ_TR_SECURITY_TYPE_REG">"c2279"</definedName>
    <definedName name="IQ_TR_SELL_ACC_ADVISORS">"c3049"</definedName>
    <definedName name="IQ_TR_SELL_FIN_ADVISORS">"c3046"</definedName>
    <definedName name="IQ_TR_SELL_LEG_ADVISORS">"c2388"</definedName>
    <definedName name="IQ_TR_SELLER_ID">"c2406"</definedName>
    <definedName name="IQ_TR_SELLERNAME">"c2402"</definedName>
    <definedName name="IQ_TR_SFEATURES">"c2385"</definedName>
    <definedName name="IQ_TR_SH_NET_PROCEEDS">"c2269"</definedName>
    <definedName name="IQ_TR_SH_NET_PROCEEDS_PCT">"c2271"</definedName>
    <definedName name="IQ_TR_SPECIAL_COMMITTEE">"c2362"</definedName>
    <definedName name="IQ_TR_STATUS">"c2399"</definedName>
    <definedName name="IQ_TR_STOCK_CONSID_PCT">"c2312"</definedName>
    <definedName name="IQ_TR_SUSPENDED_DATE">"c2407"</definedName>
    <definedName name="IQ_TR_TARGET_52WKHI_PCT">"c2351"</definedName>
    <definedName name="IQ_TR_TARGET_52WKLOW_PCT">"c2350"</definedName>
    <definedName name="IQ_TR_TARGET_ACC_ADVISORS">"c3047"</definedName>
    <definedName name="IQ_TR_TARGET_CASH_ST_INVEST">"c2327"</definedName>
    <definedName name="IQ_TR_TARGET_CLOSEPRICE_1D">"c2352"</definedName>
    <definedName name="IQ_TR_TARGET_CLOSEPRICE_1M">"c2354"</definedName>
    <definedName name="IQ_TR_TARGET_CLOSEPRICE_1W">"c2353"</definedName>
    <definedName name="IQ_TR_TARGET_DILUT_EPS_EXCL">"c2324"</definedName>
    <definedName name="IQ_TR_TARGET_EARNING_CO">"c2332"</definedName>
    <definedName name="IQ_TR_TARGET_EBIT">"c2333"</definedName>
    <definedName name="IQ_TR_TARGET_EBITDA">"c2334"</definedName>
    <definedName name="IQ_TR_TARGET_FILING_CURRENCY">"c3034"</definedName>
    <definedName name="IQ_TR_TARGET_FIN_ADVISORS">"c3044"</definedName>
    <definedName name="IQ_TR_TARGET_ID">"c2405"</definedName>
    <definedName name="IQ_TR_TARGET_LEG_ADVISORS">"c2386"</definedName>
    <definedName name="IQ_TR_TARGET_MARKETCAP">"c2342"</definedName>
    <definedName name="IQ_TR_TARGET_MIN_INT">"c2328"</definedName>
    <definedName name="IQ_TR_TARGET_NET_DEBT">"c2326"</definedName>
    <definedName name="IQ_TR_TARGET_NI">"c2331"</definedName>
    <definedName name="IQ_TR_TARGET_PRICEDATE_1D">"c2341"</definedName>
    <definedName name="IQ_TR_TARGET_RETURN">"c2355"</definedName>
    <definedName name="IQ_TR_TARGET_SEC_DETAIL">"c3021"</definedName>
    <definedName name="IQ_TR_TARGET_SEC_TI_ID">"c2368"</definedName>
    <definedName name="IQ_TR_TARGET_SEC_TYPE">"c2369"</definedName>
    <definedName name="IQ_TR_TARGET_SPD">"c2313"</definedName>
    <definedName name="IQ_TR_TARGET_SPD_PCT">"c2314"</definedName>
    <definedName name="IQ_TR_TARGET_STOCKPREMIUM_1D">"c2336"</definedName>
    <definedName name="IQ_TR_TARGET_STOCKPREMIUM_1M">"c2337"</definedName>
    <definedName name="IQ_TR_TARGET_STOCKPREMIUM_1W">"c2338"</definedName>
    <definedName name="IQ_TR_TARGET_STOCKYEARHIGH_1D">"c2339"</definedName>
    <definedName name="IQ_TR_TARGET_STOCKYEARLOW_1D">"c2340"</definedName>
    <definedName name="IQ_TR_TARGET_TOTAL_ASSETS">"c2325"</definedName>
    <definedName name="IQ_TR_TARGET_TOTAL_COMMON_EQ">"c2421"</definedName>
    <definedName name="IQ_TR_TARGET_TOTAL_DEBT">"c2330"</definedName>
    <definedName name="IQ_TR_TARGET_TOTAL_PREF">"c2329"</definedName>
    <definedName name="IQ_TR_TARGET_TOTAL_REV">"c2335"</definedName>
    <definedName name="IQ_TR_TARGETNAME">"c2403"</definedName>
    <definedName name="IQ_TR_TERM_FEE">"c2298"</definedName>
    <definedName name="IQ_TR_TERM_FEE_PCT">"c2297"</definedName>
    <definedName name="IQ_TR_TODATE">"c3036"</definedName>
    <definedName name="IQ_TR_TODATE_MONETARY_VALUE">"c2418"</definedName>
    <definedName name="IQ_TR_TODATE_NUMBER_SHARES">"c2420"</definedName>
    <definedName name="IQ_TR_TODATE_PCT_SHARES">"c2419"</definedName>
    <definedName name="IQ_TR_TOTAL_ACCT_FEES">"c2273"</definedName>
    <definedName name="IQ_TR_TOTAL_CASH">"c2315"</definedName>
    <definedName name="IQ_TR_TOTAL_CONSID_SH">"c2316"</definedName>
    <definedName name="IQ_TR_TOTAL_DEBT">"c2317"</definedName>
    <definedName name="IQ_TR_TOTAL_GROSS_TV">"c2318"</definedName>
    <definedName name="IQ_TR_TOTAL_HYBRID">"c2319"</definedName>
    <definedName name="IQ_TR_TOTAL_LEGAL_FEES">"c2272"</definedName>
    <definedName name="IQ_TR_TOTAL_NET_TV">"c2320"</definedName>
    <definedName name="IQ_TR_TOTAL_NEWMONEY">"c2289"</definedName>
    <definedName name="IQ_TR_TOTAL_OPTIONS">"c2322"</definedName>
    <definedName name="IQ_TR_TOTAL_OPTIONS_BUYER">"c3026"</definedName>
    <definedName name="IQ_TR_TOTAL_PREFERRED">"c2321"</definedName>
    <definedName name="IQ_TR_TOTAL_REG_AMT">"c2261"</definedName>
    <definedName name="IQ_TR_TOTAL_STOCK">"c2323"</definedName>
    <definedName name="IQ_TR_TOTAL_TAKEDOWNS">"c2278"</definedName>
    <definedName name="IQ_TR_TOTAL_UW_COMP">"c2280"</definedName>
    <definedName name="IQ_TR_TOTALVALUE">"c2400"</definedName>
    <definedName name="IQ_TR_TRANSACTION_TYPE">"c2398"</definedName>
    <definedName name="IQ_TR_WITHDRAWN_DTE">"c2266"</definedName>
    <definedName name="IQ_TRADE_AR">"c1345"</definedName>
    <definedName name="IQ_TRADE_PRINCIPAL">"c1309"</definedName>
    <definedName name="IQ_TRADING_ASSETS">"c1310"</definedName>
    <definedName name="IQ_TRADING_CURRENCY">"c2212"</definedName>
    <definedName name="IQ_TREASURY">"c1311"</definedName>
    <definedName name="IQ_TREASURY_OTHER_EQUITY">"c1312"</definedName>
    <definedName name="IQ_TREASURY_OTHER_EQUITY_BNK">"c1313"</definedName>
    <definedName name="IQ_TREASURY_OTHER_EQUITY_BR">"c1314"</definedName>
    <definedName name="IQ_TREASURY_OTHER_EQUITY_FIN">"c1315"</definedName>
    <definedName name="IQ_TREASURY_OTHER_EQUITY_INS">"c1316"</definedName>
    <definedName name="IQ_TREASURY_OTHER_EQUITY_REIT">"c1317"</definedName>
    <definedName name="IQ_TREASURY_OTHER_EQUITY_UTI">"c1318"</definedName>
    <definedName name="IQ_TREASURY_STOCK">"c1438"</definedName>
    <definedName name="IQ_TRUST_INC">"c1319"</definedName>
    <definedName name="IQ_TRUST_PREF">"c1320"</definedName>
    <definedName name="IQ_TRUST_PREFERRED">"c3029"</definedName>
    <definedName name="IQ_TRUST_PREFERRED_PCT">"c3030"</definedName>
    <definedName name="IQ_UFCF_10YR_ANN_GROWTH">"c1948"</definedName>
    <definedName name="IQ_UFCF_1YR_ANN_GROWTH">"c1943"</definedName>
    <definedName name="IQ_UFCF_2YR_ANN_GROWTH">"c1944"</definedName>
    <definedName name="IQ_UFCF_3YR_ANN_GROWTH">"c1945"</definedName>
    <definedName name="IQ_UFCF_5YR_ANN_GROWTH">"c1946"</definedName>
    <definedName name="IQ_UFCF_7YR_ANN_GROWTH">"c1947"</definedName>
    <definedName name="IQ_UFCF_MARGIN">"c1962"</definedName>
    <definedName name="IQ_UNAMORT_DISC">"c2513"</definedName>
    <definedName name="IQ_UNAMORT_DISC_PCT">"c2514"</definedName>
    <definedName name="IQ_UNAMORT_PREMIUM">"c2511"</definedName>
    <definedName name="IQ_UNAMORT_PREMIUM_PCT">"c2512"</definedName>
    <definedName name="IQ_UNDRAWN_CP">"c2518"</definedName>
    <definedName name="IQ_UNDRAWN_CREDIT">"c3032"</definedName>
    <definedName name="IQ_UNDRAWN_RC">"c2517"</definedName>
    <definedName name="IQ_UNDRAWN_TL">"c2519"</definedName>
    <definedName name="IQ_UNEARN_PREMIUM">"c1321"</definedName>
    <definedName name="IQ_UNEARN_REV_CURRENT">"c1322"</definedName>
    <definedName name="IQ_UNEARN_REV_CURRENT_BNK">"c1323"</definedName>
    <definedName name="IQ_UNEARN_REV_CURRENT_BR">"c1324"</definedName>
    <definedName name="IQ_UNEARN_REV_CURRENT_FIN">"c1325"</definedName>
    <definedName name="IQ_UNEARN_REV_CURRENT_INS">"c1326"</definedName>
    <definedName name="IQ_UNEARN_REV_CURRENT_REIT">"c1327"</definedName>
    <definedName name="IQ_UNEARN_REV_CURRENT_UTI">"c1328"</definedName>
    <definedName name="IQ_UNEARN_REV_LT">"c1329"</definedName>
    <definedName name="IQ_UNLEVERED_FCF">"c1908"</definedName>
    <definedName name="IQ_UNPAID_CLAIMS">"c1330"</definedName>
    <definedName name="IQ_UNREALIZED_GAIN">"c1619"</definedName>
    <definedName name="IQ_UNSECURED_DEBT">"c2548"</definedName>
    <definedName name="IQ_UNSECURED_DEBT_PCT">"c2549"</definedName>
    <definedName name="IQ_UNUSUAL_EXP">"c1456"</definedName>
    <definedName name="IQ_US_GAAP">"c1331"</definedName>
    <definedName name="IQ_US_GAAP_BASIC_EPS_EXCL">"c2984"</definedName>
    <definedName name="IQ_US_GAAP_BASIC_EPS_INCL">"c2982"</definedName>
    <definedName name="IQ_US_GAAP_BASIC_WEIGHT">"c2980"</definedName>
    <definedName name="IQ_US_GAAP_CA_ADJ">"c2925"</definedName>
    <definedName name="IQ_US_GAAP_CASH_FINAN">"c2945"</definedName>
    <definedName name="IQ_US_GAAP_CASH_FINAN_ADJ">"c2941"</definedName>
    <definedName name="IQ_US_GAAP_CASH_INVEST">"c2944"</definedName>
    <definedName name="IQ_US_GAAP_CASH_INVEST_ADJ">"c2940"</definedName>
    <definedName name="IQ_US_GAAP_CASH_OPER">"c2943"</definedName>
    <definedName name="IQ_US_GAAP_CASH_OPER_ADJ">"c2939"</definedName>
    <definedName name="IQ_US_GAAP_CL_ADJ">"c2927"</definedName>
    <definedName name="IQ_US_GAAP_DILUT_EPS_EXCL">"c2985"</definedName>
    <definedName name="IQ_US_GAAP_DILUT_EPS_INCL">"c2983"</definedName>
    <definedName name="IQ_US_GAAP_DILUT_NI">"c2979"</definedName>
    <definedName name="IQ_US_GAAP_DILUT_WEIGHT">"c2981"</definedName>
    <definedName name="IQ_US_GAAP_DO_ADJ">"c2959"</definedName>
    <definedName name="IQ_US_GAAP_EXTRA_ACC_ITEMS_ADJ">"c2958"</definedName>
    <definedName name="IQ_US_GAAP_INC_TAX_ADJ">"c2961"</definedName>
    <definedName name="IQ_US_GAAP_INTEREST_EXP_ADJ">"c2957"</definedName>
    <definedName name="IQ_US_GAAP_LIAB_LT_ADJ">"c2928"</definedName>
    <definedName name="IQ_US_GAAP_LIAB_TOTAL_LIAB">"c2933"</definedName>
    <definedName name="IQ_US_GAAP_MINORITY_INTEREST_IS_ADJ">"c2960"</definedName>
    <definedName name="IQ_US_GAAP_NCA_ADJ">"c2926"</definedName>
    <definedName name="IQ_US_GAAP_NET_CHANGE">"c2946"</definedName>
    <definedName name="IQ_US_GAAP_NET_CHANGE_ADJ">"c2942"</definedName>
    <definedName name="IQ_US_GAAP_NI">"c2976"</definedName>
    <definedName name="IQ_US_GAAP_NI_ADJ">"c2963"</definedName>
    <definedName name="IQ_US_GAAP_NI_AVAIL_INCL">"c2978"</definedName>
    <definedName name="IQ_US_GAAP_OTHER_ADJ_ADJ">"c2962"</definedName>
    <definedName name="IQ_US_GAAP_OTHER_NON_OPER_ADJ">"c2955"</definedName>
    <definedName name="IQ_US_GAAP_OTHER_OPER_ADJ">"c2954"</definedName>
    <definedName name="IQ_US_GAAP_RD_ADJ">"c2953"</definedName>
    <definedName name="IQ_US_GAAP_SGA_ADJ">"c2952"</definedName>
    <definedName name="IQ_US_GAAP_TOTAL_ASSETS">"c2931"</definedName>
    <definedName name="IQ_US_GAAP_TOTAL_EQUITY">"c2934"</definedName>
    <definedName name="IQ_US_GAAP_TOTAL_EQUITY_ADJ">"c2929"</definedName>
    <definedName name="IQ_US_GAAP_TOTAL_REV_ADJ">"c2950"</definedName>
    <definedName name="IQ_US_GAAP_TOTAL_UNUSUAL_ADJ">"c2956"</definedName>
    <definedName name="IQ_UTIL_PPE_NET">"c1620"</definedName>
    <definedName name="IQ_UTIL_REV">"c2091"</definedName>
    <definedName name="IQ_UV_PENSION_LIAB">"c1332"</definedName>
    <definedName name="IQ_VALUE_TRADED_LAST_3MTH">"c1530"</definedName>
    <definedName name="IQ_VALUE_TRADED_LAST_6MTH">"c1531"</definedName>
    <definedName name="IQ_VALUE_TRADED_LAST_MTH">"c1529"</definedName>
    <definedName name="IQ_VALUE_TRADED_LAST_WK">"c1528"</definedName>
    <definedName name="IQ_VALUE_TRADED_LAST_YR">"c1532"</definedName>
    <definedName name="IQ_VOL_LAST_3MTH">"c1525"</definedName>
    <definedName name="IQ_VOL_LAST_6MTH">"c1526"</definedName>
    <definedName name="IQ_VOL_LAST_MTH">"c1524"</definedName>
    <definedName name="IQ_VOL_LAST_WK">"c1523"</definedName>
    <definedName name="IQ_VOL_LAST_YR">"c1527"</definedName>
    <definedName name="IQ_VOLUME">"c1333"</definedName>
    <definedName name="IQ_WARRANTS_BEG_OS">"c2698"</definedName>
    <definedName name="IQ_WARRANTS_CANCELLED">"c2701"</definedName>
    <definedName name="IQ_WARRANTS_END_OS">"c2702"</definedName>
    <definedName name="IQ_WARRANTS_EXERCISED">"c2700"</definedName>
    <definedName name="IQ_WARRANTS_ISSUED">"c2699"</definedName>
    <definedName name="IQ_WARRANTS_STRIKE_PRICE_ISSUED">"c2704"</definedName>
    <definedName name="IQ_WARRANTS_STRIKE_PRICE_OS">"c2703"</definedName>
    <definedName name="IQ_WEIGHTED_AVG_PRICE">"c1334"</definedName>
    <definedName name="IQ_WIP_INV">"c1335"</definedName>
    <definedName name="IQ_WORKMEN_WRITTEN">"c1336"</definedName>
    <definedName name="IQ_XDIV_DATE">"c2203"</definedName>
    <definedName name="IQ_YEARHIGH">"c1337"</definedName>
    <definedName name="IQ_YEARHIGH_DATE">"c2250"</definedName>
    <definedName name="IQ_YEARLOW">"c1338"</definedName>
    <definedName name="IQ_YEARLOW_DATE">"c2251"</definedName>
    <definedName name="IQ_YTD">3000</definedName>
    <definedName name="IQ_Z_SCORE">"c1339"</definedName>
    <definedName name="Jan04AMA">[1]BS!$AD$7:$AD$3582</definedName>
    <definedName name="Jan09AMA">[2]BS!$AK$7:$AK$1743</definedName>
    <definedName name="Jan10AMA">[2]BS!$AW$7:$AW$1726</definedName>
    <definedName name="jjj">[33]Inputs!$N$18</definedName>
    <definedName name="JP_Bal" localSheetId="16">[34]ACCOUNTS!$AG$31</definedName>
    <definedName name="JP_Bal">[35]ACCOUNTS!$AG$31</definedName>
    <definedName name="Jul04AMA">[1]BS!$AJ$7:$AJ$3582</definedName>
    <definedName name="Jul09AMA">[2]BS!$AQ$7:$AQ$1726</definedName>
    <definedName name="Jun04AMA">[1]BS!$AI$7:$AI$3582</definedName>
    <definedName name="Jun09AMA">[2]BS!$AP$7:$AP$1726</definedName>
    <definedName name="Jun10AMA">[2]BS!$BB$7:$BB$1726</definedName>
    <definedName name="Jurisdiction">[8]Variables!$AK$15</definedName>
    <definedName name="JurisNumber">[8]Variables!$AL$15</definedName>
    <definedName name="keep_PSE" localSheetId="16">'[36]Gas Summary'!$I$5</definedName>
    <definedName name="keep_PSE">'[37]Gas Summary'!$I$5</definedName>
    <definedName name="keep_TESTYEAR" localSheetId="16">'[36]Gas Detail Pages'!$A$8</definedName>
    <definedName name="keep_TESTYEAR">'[37]Gas Detail Pages'!$A$8</definedName>
    <definedName name="kp_DOCKET" localSheetId="16">'[36]Gas Detail Pages'!$A$9</definedName>
    <definedName name="kp_DOCKET">'[37]Gas Detail Pages'!$A$9</definedName>
    <definedName name="Last_Row" localSheetId="16">IF('(R) Weather Adj Revenue'!Values_Entered,Header_Row+'(R) Weather Adj Revenue'!Number_of_Payments,Header_Row)</definedName>
    <definedName name="Last_Row" localSheetId="1">IF('Exh. JAP-3 Page 1'!Values_Entered,Header_Row+'Exh. JAP-3 Page 1'!Number_of_Payments,Header_Row)</definedName>
    <definedName name="Last_Row" localSheetId="2">IF('Exh. JAP-3 Page 2'!Values_Entered,Header_Row+'Exh. JAP-3 Page 2'!Number_of_Payments,Header_Row)</definedName>
    <definedName name="Last_Row" localSheetId="3">IF('Exh. JAP-3 Page 3'!Values_Entered,Header_Row+'Exh. JAP-3 Page 3'!Number_of_Payments,Header_Row)</definedName>
    <definedName name="Last_Row">IF([0]!Values_Entered,Header_Row+[0]!Number_of_Payments,Header_Row)</definedName>
    <definedName name="limcount">1</definedName>
    <definedName name="LINE.T">[4]INTERNAL!$A$55:$IV$57</definedName>
    <definedName name="LinkCos">'[7]JAM Download'!$K$4</definedName>
    <definedName name="Load_Factor" localSheetId="16">[34]ACCOUNTS!$AG$167</definedName>
    <definedName name="Load_Factor">[35]ACCOUNTS!$AG$167</definedName>
    <definedName name="LoadArray">'[38]Load Source Data'!$C$78:$X$89</definedName>
    <definedName name="LOLD">1</definedName>
    <definedName name="LOLD_Table">10</definedName>
    <definedName name="LOLD_ZZCOOM_M03_Q001">10</definedName>
    <definedName name="LOLD_ZZCOOM_M03_Q001SKF">13</definedName>
    <definedName name="LOLD_ZZCOOM_M03_Q004">10</definedName>
    <definedName name="LOLD_ZZCOOM_M03_Q004ORDERS">13</definedName>
    <definedName name="LOLD_ZZCOOM_M03_Q004SKF">13</definedName>
    <definedName name="M9100F4_v4">[39]M9100F4!$A$1:$V$99</definedName>
    <definedName name="Mar04AMA">[1]BS!$AF$7:$AF$3582</definedName>
    <definedName name="MAR09AMA">[2]BS!$AM$7:$AM$1725</definedName>
    <definedName name="Mar10AMA">[2]BS!$AY$7:$AY$1726</definedName>
    <definedName name="May04AMA">[1]BS!$AH$7:$AH$3582</definedName>
    <definedName name="MAY09AMA">[2]BS!$AO$7:$AO$1726</definedName>
    <definedName name="May10AMA">[2]BS!$BA$7:$BA$1726</definedName>
    <definedName name="menu1_Button5_Click" localSheetId="1">[40]!menu1_Button5_Click</definedName>
    <definedName name="menu1_Button5_Click" localSheetId="2">[40]!menu1_Button5_Click</definedName>
    <definedName name="menu1_Button5_Click" localSheetId="3">[40]!menu1_Button5_Click</definedName>
    <definedName name="menu1_Button5_Click">[40]!menu1_Button5_Click</definedName>
    <definedName name="menu1_Button6_Click" localSheetId="1">[40]!menu1_Button6_Click</definedName>
    <definedName name="menu1_Button6_Click" localSheetId="2">[40]!menu1_Button6_Click</definedName>
    <definedName name="menu1_Button6_Click" localSheetId="3">[40]!menu1_Button6_Click</definedName>
    <definedName name="menu1_Button6_Click">[40]!menu1_Button6_Click</definedName>
    <definedName name="MERGER_COST">[41]Sheet1!$AF$3:$AJ$28</definedName>
    <definedName name="METER">[4]EXTERNAL!$A$34:$IV$36</definedName>
    <definedName name="Method">[10]Inputs!$C$6</definedName>
    <definedName name="monthlist">[42]Table!$R$2:$S$13</definedName>
    <definedName name="monthtotals">'[42]WA SBC'!$D$40:$O$40</definedName>
    <definedName name="MTD_Format">[43]Mthly!$B$11:$D$11,[43]Mthly!$B$32:$D$32</definedName>
    <definedName name="MTR_YR3">[44]Variables!$E$14</definedName>
    <definedName name="NCP_360">[4]EXTERNAL!$A$13:$IV$15</definedName>
    <definedName name="NCP_361">[4]EXTERNAL!$A$16:$IV$18</definedName>
    <definedName name="NCP_362">[4]EXTERNAL!$A$19:$IV$21</definedName>
    <definedName name="Net_to_Gross_Factor">[7]Inputs!$G$8</definedName>
    <definedName name="NetToGross">[11]Variables!$D$23</definedName>
    <definedName name="Nov03AMA">[3]BS!$AI$7:$AI$3582</definedName>
    <definedName name="Nov04AMA">[1]BS!$AN$7:$AN$3582</definedName>
    <definedName name="Nov09AMA">[2]BS!$AU$7:$AU$1726</definedName>
    <definedName name="NPC">[45]Inputs!$N$18</definedName>
    <definedName name="NRG">[4]CLASSIFIERS!$A$5:$IV$5</definedName>
    <definedName name="Number_of_Payments" localSheetId="16">MATCH(0.01,End_Bal,-1)+1</definedName>
    <definedName name="Number_of_Payments" localSheetId="1">MATCH(0.01,End_Bal,-1)+1</definedName>
    <definedName name="Number_of_Payments" localSheetId="2">MATCH(0.01,End_Bal,-1)+1</definedName>
    <definedName name="Number_of_Payments" localSheetId="3">MATCH(0.01,End_Bal,-1)+1</definedName>
    <definedName name="Number_of_Payments">MATCH(0.01,End_Bal,-1)+1</definedName>
    <definedName name="NvsASD">"V2005-12-31"</definedName>
    <definedName name="NvsAutoDrillOk">"VN"</definedName>
    <definedName name="NvsElapsedTime">0.00881805555400206</definedName>
    <definedName name="NvsEndTime">38831.5955224537</definedName>
    <definedName name="NvsInstSpec">"%"</definedName>
    <definedName name="NvsLayoutType">"M3"</definedName>
    <definedName name="NvsNplSpec">"%,X,RZF..,CZF.."</definedName>
    <definedName name="NvsPanelEffdt">"V2020-12-31"</definedName>
    <definedName name="NvsPanelSetid">"VCPSTD"</definedName>
    <definedName name="NvsReqBU">"VCPSTD"</definedName>
    <definedName name="NvsReqBUOnly">"VN"</definedName>
    <definedName name="NvsTransLed">"VN"</definedName>
    <definedName name="NvsTreeASD">"V2005-12-31"</definedName>
    <definedName name="NvsValTbl.ACCOUNT">"GL_ACCOUNT_TBL"</definedName>
    <definedName name="NvsValTbl.BUSINESS_UNIT">"BUS_UNIT_TBL_GL"</definedName>
    <definedName name="NvsValTbl.DEPTID">"DEPARTMENT_TBL"</definedName>
    <definedName name="NvsValTbl.PROJECT_ID">"PROJECT_TBL_VW"</definedName>
    <definedName name="NvsValTbl.STATISTICS_CODE">"STAT_TBL"</definedName>
    <definedName name="O_M_Rate">'[20]Virtual 49 Back-Up'!$B$21</definedName>
    <definedName name="Oct03AMA">[3]BS!$AH$7:$AH$3582</definedName>
    <definedName name="Oct04AMA">[1]BS!$AM$7:$AM$3582</definedName>
    <definedName name="Oct09AMA">[2]BS!$AT$7:$AT$1726</definedName>
    <definedName name="OH">[4]CLASSIFIERS!$A$8:$IV$8</definedName>
    <definedName name="OH_NCP">[4]EXTERNAL!$A$79:$IV$81</definedName>
    <definedName name="OH_SVC">[4]EXTERNAL!$A$142:$IV$144</definedName>
    <definedName name="OH_TFMR">[4]EXTERNAL!$A$97:$IV$99</definedName>
    <definedName name="OH_TFMRC">[4]EXTERNAL!$A$94:$IV$96</definedName>
    <definedName name="option">'[46]Dist Misc'!$F$120</definedName>
    <definedName name="OthRCF">[47]INPUTS!$F$41</definedName>
    <definedName name="OthUnc">[4]INPUTS!$F$36</definedName>
    <definedName name="outlookdata">'[48]pivoted data'!$D$3:$Q$90</definedName>
    <definedName name="peak_new_table">'[49]2008 Extreme Peaks - 080403'!$E$5:$AD$8</definedName>
    <definedName name="peak_table">'[49]Peaks-F01'!$C$5:$E$243</definedName>
    <definedName name="PeakMethod">[10]Inputs!$T$5</definedName>
    <definedName name="Percent_debt">[30]Inputs!$E$129</definedName>
    <definedName name="POWER.T">[4]INTERNAL!$A$58:$IV$60</definedName>
    <definedName name="PP.T">[4]INTERNAL!$A$61:$IV$63</definedName>
    <definedName name="PreTaxDebtCost">[9]Assumptions!$I$56</definedName>
    <definedName name="PreTaxWACC">[9]Assumptions!$I$62</definedName>
    <definedName name="Prices_Aurora">'[29]Monthly Price Summary'!$C$4:$H$63</definedName>
    <definedName name="_xlnm.Print_Area" localSheetId="5">'(R) Data'!$B$1:$O$72</definedName>
    <definedName name="_xlnm.Print_Area" localSheetId="8">'(R) Restated Norm Revenue'!$B$1:$R$1083</definedName>
    <definedName name="_xlnm.Print_Area" localSheetId="7">'(R) Therms By Block'!$A$1:$N$135</definedName>
    <definedName name="_xlnm.Print_Area" localSheetId="16">'(R) Weather Adj Revenue'!$A$1:$P$57</definedName>
    <definedName name="_xlnm.Print_Area" localSheetId="1">'Exh. JAP-3 Page 1'!$B$1:$G$33</definedName>
    <definedName name="_xlnm.Print_Area" localSheetId="2">'Exh. JAP-3 Page 2'!$B$1:$E$26</definedName>
    <definedName name="_xlnm.Print_Area" localSheetId="3">'Exh. JAP-3 Page 3'!$B$1:$F$22</definedName>
    <definedName name="_xlnm.Print_Area" localSheetId="11">'Rate Design C&amp;I'!$B$2:$Q$127</definedName>
    <definedName name="_xlnm.Print_Area" localSheetId="12">'Rate Design Int &amp; Trans'!$B$1:$Q$225</definedName>
    <definedName name="_xlnm.Print_Area" localSheetId="13">'Rate Design Rental'!$B$2:$L$33</definedName>
    <definedName name="_xlnm.Print_Area" localSheetId="10">'Rate Design Res'!$B$1:$Q$55</definedName>
    <definedName name="_xlnm.Print_Area" localSheetId="9">'Restated Rental Revenue'!$B$1:$R$98</definedName>
    <definedName name="_xlnm.Print_Area" localSheetId="6">Therms!$B$1:$Q$68</definedName>
    <definedName name="_xlnm.Print_Titles" localSheetId="5">'(R) Data'!$1:$6</definedName>
    <definedName name="_xlnm.Print_Titles" localSheetId="8">'(R) Restated Norm Revenue'!$1:$6</definedName>
    <definedName name="_xlnm.Print_Titles" localSheetId="7">'(R) Therms By Block'!$1:$7</definedName>
    <definedName name="_xlnm.Print_Titles" localSheetId="1">'Exh. JAP-3 Page 1'!$B:$C</definedName>
    <definedName name="_xlnm.Print_Titles" localSheetId="2">'Exh. JAP-3 Page 2'!$B:$C</definedName>
    <definedName name="_xlnm.Print_Titles" localSheetId="11">'Rate Design C&amp;I'!$1:$8</definedName>
    <definedName name="_xlnm.Print_Titles" localSheetId="12">'Rate Design Int &amp; Trans'!$1:$8</definedName>
    <definedName name="_xlnm.Print_Titles" localSheetId="10">'Rate Design Res'!$2:$8</definedName>
    <definedName name="_xlnm.Print_Titles" localSheetId="9">'Restated Rental Revenue'!$1:$6</definedName>
    <definedName name="_xlnm.Print_Titles" localSheetId="17">SystemWeatherAdj!$A:$B</definedName>
    <definedName name="_xlnm.Print_Titles" localSheetId="6">Therms!$1:$6</definedName>
    <definedName name="_xlnm.Print_Titles" localSheetId="15">'Weather Adj'!$1:$6</definedName>
    <definedName name="Prior_Month" localSheetId="16">[14]Sch_120!$I$21</definedName>
    <definedName name="Prior_Month" localSheetId="17">[14]Sch_120!$I$21</definedName>
    <definedName name="Prior_Month" localSheetId="15">[14]Sch_120!$I$21</definedName>
    <definedName name="Prior_Month">[15]Sch_120!$I$21</definedName>
    <definedName name="PROFORMA">[4]EXTERNAL!$A$67:$IV$69</definedName>
    <definedName name="PROFORMA_RETAIL">[4]EXTERNAL!$A$91:$IV$93</definedName>
    <definedName name="PROFORMA_RETAIL_TAX">[4]EXTERNAL!$A$169:$IV$171</definedName>
    <definedName name="Projects">[50]Sheet1!$A$1147:$B$1887</definedName>
    <definedName name="Prov_Cap_Tax">[30]Inputs!$E$111</definedName>
    <definedName name="PSE">'[51]4.04'!$A$6</definedName>
    <definedName name="PSE_Pre_Tax_Equity_Rate">'[27]Assumptions of Purchase'!$B$42</definedName>
    <definedName name="PTDGP.T">[4]INTERNAL!$A$64:$IV$66</definedName>
    <definedName name="PTDP.T">[4]INTERNAL!$A$67:$IV$69</definedName>
    <definedName name="QTD_Format">[52]QTD!$B$11:$D$11,[52]QTD!$B$35:$D$35</definedName>
    <definedName name="RATE2">'[19]Transp Data'!$A$8:$I$112</definedName>
    <definedName name="Rates">[53]Codes!$A$1:$C$500</definedName>
    <definedName name="RB.T">[4]INTERNAL!$A$70:$IV$72</definedName>
    <definedName name="RCF" localSheetId="16">[34]INPUTS!$F$48</definedName>
    <definedName name="RCF">[35]INPUTS!$F$48</definedName>
    <definedName name="ResExchCrRate" localSheetId="16">[14]Sch_194!$M$31</definedName>
    <definedName name="ResExchCrRate" localSheetId="17">[14]Sch_194!$M$31</definedName>
    <definedName name="ResExchCrRate" localSheetId="15">[14]Sch_194!$M$31</definedName>
    <definedName name="ResExchCrRate">[54]Sch_194!$M$31</definedName>
    <definedName name="RESID">[4]EXTERNAL!$A$88:$IV$90</definedName>
    <definedName name="resource_lookup">'[55]#REF'!$B$3:$C$112</definedName>
    <definedName name="ResourceSupplier">[11]Variables!$D$28</definedName>
    <definedName name="ResRCF">[18]INPUTS!$F$44</definedName>
    <definedName name="ResUnc">[18]INPUTS!$F$39</definedName>
    <definedName name="RevClass">[53]Codes!$F$2:$G$10</definedName>
    <definedName name="REVFAC1.T">[4]INTERNAL!$A$73:$IV$75</definedName>
    <definedName name="ROD">[18]INPUTS!$F$30</definedName>
    <definedName name="ROR">[18]INPUTS!$F$29</definedName>
    <definedName name="SAPBEXdnldView">"46HLPWIQ6J3TDMPT5WG7XVEBI"</definedName>
    <definedName name="SAPBEXhrIndnt">"Wide"</definedName>
    <definedName name="SAPBEXrevision">1</definedName>
    <definedName name="SAPBEXsysID">"BWP"</definedName>
    <definedName name="SAPBEXwbID">"3XJ3VOPHHLH2D0QXSYZLUHSMI"</definedName>
    <definedName name="SAPsysID">"708C5W7SBKP804JT78WJ0JNKI"</definedName>
    <definedName name="SAPwbID">"ARS"</definedName>
    <definedName name="SBRCF">[47]INPUTS!$F$40</definedName>
    <definedName name="SbUnc">[4]INPUTS!$F$35</definedName>
    <definedName name="Sch194Rlfwd">'[56]Sch94 Rlfwd'!$B$11</definedName>
    <definedName name="Schedule">[45]Inputs!$N$14</definedName>
    <definedName name="Sep03AMA">[3]BS!$AG$7:$AG$3582</definedName>
    <definedName name="Sep04AMA">[1]BS!$AL$7:$AL$3582</definedName>
    <definedName name="Sep09AMA">[2]BS!$AS$7:$AS$1726</definedName>
    <definedName name="solver_eval">0</definedName>
    <definedName name="solver_ntri">1000</definedName>
    <definedName name="solver_rsmp">1</definedName>
    <definedName name="solver_seed">0</definedName>
    <definedName name="StartDate">[9]Assumptions!$C$9</definedName>
    <definedName name="STATE_UTILITY_TAX" localSheetId="16">'[5]MJS-7'!$N$16</definedName>
    <definedName name="STATE_UTILITY_TAX">'[6]MJS-7'!$N$16</definedName>
    <definedName name="STAX">[18]INPUTS!$F$34</definedName>
    <definedName name="SW.T">[4]INTERNAL!$A$76:$IV$78</definedName>
    <definedName name="SWPTD.T">[4]INTERNAL!$A$79:$IV$81</definedName>
    <definedName name="TargetROR">[10]Inputs!$G$29</definedName>
    <definedName name="TDP.T">[4]INTERNAL!$A$82:$IV$84</definedName>
    <definedName name="TestPeriod">[7]Inputs!$C$5</definedName>
    <definedName name="TESTYEAR">'[28]JHS-6'!$A$7</definedName>
    <definedName name="TFR">[4]CLASSIFIERS!$A$11:$IV$11</definedName>
    <definedName name="ThermalBookLife">[9]Assumptions!$C$25</definedName>
    <definedName name="Title">[9]Assumptions!$A$1</definedName>
    <definedName name="TotalRateBase">'[7]G+T+D+R+M'!$H$58</definedName>
    <definedName name="TP.T">[4]INTERNAL!$A$91:$IV$93</definedName>
    <definedName name="transdb">'[57]Transp Unbilled'!$A$8:$E$174</definedName>
    <definedName name="TRANSM_2">[58]Transm2!$A$1:$M$461:'[58]10 Yr FC'!$M$47</definedName>
    <definedName name="UAcct103">'[7]Func Study'!$AB$1613</definedName>
    <definedName name="UAcct105Dnpg">'[7]Func Study'!$AB$2010</definedName>
    <definedName name="UAcct105S">'[7]Func Study'!$AB$2005</definedName>
    <definedName name="UAcct105Seu">'[7]Func Study'!$AB$2009</definedName>
    <definedName name="UAcct105Snppo">'[7]Func Study'!$AB$2008</definedName>
    <definedName name="UAcct105Snpps">'[7]Func Study'!$AB$2006</definedName>
    <definedName name="UAcct105Snpt">'[7]Func Study'!$AB$2007</definedName>
    <definedName name="UAcct1081390">'[7]Func Study'!$AB$2451</definedName>
    <definedName name="UAcct1081390Rcl">'[7]Func Study'!$AB$2450</definedName>
    <definedName name="UAcct1081399">'[7]Func Study'!$AB$2459</definedName>
    <definedName name="UAcct1081399Rcl">'[7]Func Study'!$AB$2458</definedName>
    <definedName name="UAcct108360">'[7]Func Study'!$AB$2355</definedName>
    <definedName name="UAcct108361">'[7]Func Study'!$AB$2359</definedName>
    <definedName name="UAcct108362">'[7]Func Study'!$AB$2363</definedName>
    <definedName name="UAcct108364">'[7]Func Study'!$AB$2367</definedName>
    <definedName name="UAcct108365">'[7]Func Study'!$AB$2371</definedName>
    <definedName name="UAcct108366">'[7]Func Study'!$AB$2375</definedName>
    <definedName name="UAcct108367">'[7]Func Study'!$AB$2379</definedName>
    <definedName name="UAcct108368">'[7]Func Study'!$AB$2383</definedName>
    <definedName name="UAcct108369">'[7]Func Study'!$AB$2387</definedName>
    <definedName name="UAcct108370">'[7]Func Study'!$AB$2391</definedName>
    <definedName name="UAcct108371">'[7]Func Study'!$AB$2395</definedName>
    <definedName name="UAcct108372">'[7]Func Study'!$AB$2399</definedName>
    <definedName name="UAcct108373">'[7]Func Study'!$AB$2403</definedName>
    <definedName name="UAcct108D">'[7]Func Study'!$AB$2415</definedName>
    <definedName name="UAcct108D00">'[7]Func Study'!$AB$2407</definedName>
    <definedName name="UAcct108Ds">'[7]Func Study'!$AB$2411</definedName>
    <definedName name="UAcct108Ep">'[7]Func Study'!$AB$2327</definedName>
    <definedName name="UAcct108Gpcn">'[7]Func Study'!$AB$2429</definedName>
    <definedName name="UAcct108Gps">'[7]Func Study'!$AB$2425</definedName>
    <definedName name="UAcct108Gpse">'[7]Func Study'!$AB$2431</definedName>
    <definedName name="UAcct108Gpsg">'[7]Func Study'!$AB$2428</definedName>
    <definedName name="UAcct108Gpsgp">'[7]Func Study'!$AB$2426</definedName>
    <definedName name="UAcct108Gpsgu">'[7]Func Study'!$AB$2427</definedName>
    <definedName name="UAcct108Gpso">'[7]Func Study'!$AB$2430</definedName>
    <definedName name="UACCT108GPSSGCH">'[7]Func Study'!$AB$2434</definedName>
    <definedName name="UACCT108GPSSGCT">'[7]Func Study'!$AB$2433</definedName>
    <definedName name="UAcct108Hp">'[7]Func Study'!$AB$2313</definedName>
    <definedName name="UAcct108Mp">'[7]Func Study'!$AB$2444</definedName>
    <definedName name="UAcct108Np">'[7]Func Study'!$AB$2305</definedName>
    <definedName name="UAcct108Op">'[7]Func Study'!$AB$2322</definedName>
    <definedName name="UACCT108OPSSCCT">'[7]Func Study'!$AB$2321</definedName>
    <definedName name="UAcct108Sp">'[7]Func Study'!$AB$2299</definedName>
    <definedName name="UACCT108SPSSGCH">'[7]Func Study'!$AB$2298</definedName>
    <definedName name="UAcct108Tp">'[7]Func Study'!$AB$2346</definedName>
    <definedName name="UAcct111Clg">'[7]Func Study'!$AB$2487</definedName>
    <definedName name="UAcct111Clgsou">'[7]Func Study'!$AB$2485</definedName>
    <definedName name="UAcct111Clh">'[7]Func Study'!$AB$2493</definedName>
    <definedName name="UAcct111Cls">'[7]Func Study'!$AB$2478</definedName>
    <definedName name="UAcct111Ipcn">'[7]Func Study'!$AB$2502</definedName>
    <definedName name="UAcct111Ips">'[7]Func Study'!$AB$2497</definedName>
    <definedName name="UAcct111Ipse">'[7]Func Study'!$AB$2500</definedName>
    <definedName name="UAcct111Ipsg">'[7]Func Study'!$AB$2501</definedName>
    <definedName name="UAcct111Ipsgp">'[7]Func Study'!$AB$2498</definedName>
    <definedName name="UAcct111Ipsgu">'[7]Func Study'!$AB$2499</definedName>
    <definedName name="UAcct111Ipso">'[7]Func Study'!$AB$2506</definedName>
    <definedName name="UACCT111IPSSGCH">'[7]Func Study'!$AB$2505</definedName>
    <definedName name="UACCT111IPSSGCT">'[7]Func Study'!$AB$2504</definedName>
    <definedName name="UAcct114">'[7]Func Study'!$AB$2017</definedName>
    <definedName name="UAcct120">'[7]Func Study'!$AB$2021</definedName>
    <definedName name="UAcct124">'[7]Func Study'!$AB$2026</definedName>
    <definedName name="UAcct141">'[7]Func Study'!$AB$2173</definedName>
    <definedName name="UAcct151">'[7]Func Study'!$AB$2049</definedName>
    <definedName name="Uacct151SSECT">'[7]Func Study'!$AB$2047</definedName>
    <definedName name="UAcct154">'[7]Func Study'!$AB$2083</definedName>
    <definedName name="Uacct154SSGCT">'[7]Func Study'!$AB$2080</definedName>
    <definedName name="UAcct163">'[7]Func Study'!$AB$2093</definedName>
    <definedName name="UAcct165">'[7]Func Study'!$AB$2108</definedName>
    <definedName name="UAcct165Gps">'[7]Func Study'!$AB$2104</definedName>
    <definedName name="UAcct182">'[7]Func Study'!$AB$2033</definedName>
    <definedName name="UAcct18222">'[7]Func Study'!$AB$2163</definedName>
    <definedName name="UAcct182M">'[7]Func Study'!$AB$2118</definedName>
    <definedName name="UAcct182MSSGCH">'[7]Func Study'!$AB$2113</definedName>
    <definedName name="UAcct186">'[7]Func Study'!$AB$2041</definedName>
    <definedName name="UAcct1869">'[7]Func Study'!$AB$2168</definedName>
    <definedName name="UAcct186M">'[7]Func Study'!$AB$2129</definedName>
    <definedName name="UAcct190">'[7]Func Study'!$AB$2243</definedName>
    <definedName name="UAcct190Baddebt">'[7]Func Study'!$AB$2237</definedName>
    <definedName name="UAcct190Dop">'[7]Func Study'!$AB$2235</definedName>
    <definedName name="UAcct2281">'[7]Func Study'!$AB$2191</definedName>
    <definedName name="UAcct2282">'[7]Func Study'!$AB$2195</definedName>
    <definedName name="UAcct2283">'[7]Func Study'!$AB$2200</definedName>
    <definedName name="UACCT22841SG">'[7]Func Study'!$AB$2205</definedName>
    <definedName name="UAcct22842">'[7]Func Study'!$AB$2211</definedName>
    <definedName name="UAcct235">'[7]Func Study'!$AB$2187</definedName>
    <definedName name="UACCT235CN">'[7]Func Study'!$AB$2186</definedName>
    <definedName name="UAcct252">'[7]Func Study'!$AB$2219</definedName>
    <definedName name="UAcct25316">'[7]Func Study'!$AB$2057</definedName>
    <definedName name="UAcct25317">'[7]Func Study'!$AB$2061</definedName>
    <definedName name="UAcct25318">'[7]Func Study'!$AB$2098</definedName>
    <definedName name="UAcct25319">'[7]Func Study'!$AB$2065</definedName>
    <definedName name="uacct25398">'[7]Func Study'!$AB$2222</definedName>
    <definedName name="UAcct25399">'[7]Func Study'!$AB$2230</definedName>
    <definedName name="UACCT254SO">'[7]Func Study'!$AB$2202</definedName>
    <definedName name="UAcct255">'[7]Func Study'!$AB$2284</definedName>
    <definedName name="UAcct281">'[7]Func Study'!$AB$2249</definedName>
    <definedName name="UAcct282">'[7]Func Study'!$AB$2259</definedName>
    <definedName name="UAcct282Cn">'[7]Func Study'!$AB$2256</definedName>
    <definedName name="UAcct282So">'[7]Func Study'!$AB$2255</definedName>
    <definedName name="UAcct283">'[7]Func Study'!$AB$2271</definedName>
    <definedName name="UAcct283So">'[7]Func Study'!$AB$2265</definedName>
    <definedName name="UAcct301S">'[7]Func Study'!$AB$1964</definedName>
    <definedName name="UAcct301Sg">'[7]Func Study'!$AB$1966</definedName>
    <definedName name="UAcct301So">'[7]Func Study'!$AB$1965</definedName>
    <definedName name="UAcct302S">'[7]Func Study'!$AB$1969</definedName>
    <definedName name="UAcct302Sg">'[7]Func Study'!$AB$1970</definedName>
    <definedName name="UAcct302Sgp">'[7]Func Study'!$AB$1971</definedName>
    <definedName name="UAcct302Sgu">'[7]Func Study'!$AB$1972</definedName>
    <definedName name="UAcct303Cn">'[7]Func Study'!$AB$1980</definedName>
    <definedName name="UAcct303S">'[7]Func Study'!$AB$1976</definedName>
    <definedName name="UAcct303Se">'[7]Func Study'!$AB$1979</definedName>
    <definedName name="UAcct303Sg">'[7]Func Study'!$AB$1977</definedName>
    <definedName name="UAcct303Sgu">'[7]Func Study'!$AB$1981</definedName>
    <definedName name="UAcct303So">'[7]Func Study'!$AB$1978</definedName>
    <definedName name="UACCT303SSGCH">'[7]Func Study'!$AB$1983</definedName>
    <definedName name="UAcct310">'[7]Func Study'!$AB$1414</definedName>
    <definedName name="UAcct310JBG">'[7]Func Study'!$AB$1413</definedName>
    <definedName name="UAcct311">'[7]Func Study'!$AB$1421</definedName>
    <definedName name="UAcct311JBG">'[7]Func Study'!$AB$1420</definedName>
    <definedName name="UAcct312">'[7]Func Study'!$AB$1428</definedName>
    <definedName name="UAcct312JBG">'[7]Func Study'!$AB$1427</definedName>
    <definedName name="UAcct314">'[7]Func Study'!$AB$1435</definedName>
    <definedName name="UAcct314JBG">'[7]Func Study'!$AB$1434</definedName>
    <definedName name="UAcct315">'[7]Func Study'!$AB$1442</definedName>
    <definedName name="UAcct315JBG">'[7]Func Study'!$AB$1441</definedName>
    <definedName name="UAcct316">'[7]Func Study'!$AB$1450</definedName>
    <definedName name="UAcct316JBG">'[7]Func Study'!$AB$1449</definedName>
    <definedName name="UAcct320">'[7]Func Study'!$AB$1466</definedName>
    <definedName name="UAcct321">'[7]Func Study'!$AB$1471</definedName>
    <definedName name="UAcct322">'[7]Func Study'!$AB$1476</definedName>
    <definedName name="UAcct323">'[7]Func Study'!$AB$1481</definedName>
    <definedName name="UAcct324">'[7]Func Study'!$AB$1486</definedName>
    <definedName name="UAcct325">'[7]Func Study'!$AB$1491</definedName>
    <definedName name="UAcct33">'[7]Func Study'!$AB$295</definedName>
    <definedName name="UAcct330">'[7]Func Study'!$AB$1508</definedName>
    <definedName name="UAcct331">'[7]Func Study'!$AB$1513</definedName>
    <definedName name="UAcct332">'[7]Func Study'!$AB$1518</definedName>
    <definedName name="UAcct333">'[7]Func Study'!$AB$1523</definedName>
    <definedName name="UAcct334">'[7]Func Study'!$AB$1528</definedName>
    <definedName name="UAcct335">'[7]Func Study'!$AB$1533</definedName>
    <definedName name="UAcct336">'[7]Func Study'!$AB$1539</definedName>
    <definedName name="UAcct340Dgu">'[7]Func Study'!$AB$1564</definedName>
    <definedName name="UAcct340Sgu">'[7]Func Study'!$AB$1565</definedName>
    <definedName name="UAcct341Dgu">'[7]Func Study'!$AB$1569</definedName>
    <definedName name="UAcct341Sgu">'[7]Func Study'!$AB$1570</definedName>
    <definedName name="UAcct342Dgu">'[7]Func Study'!$AB$1574</definedName>
    <definedName name="UAcct342Sgu">'[7]Func Study'!$AB$1575</definedName>
    <definedName name="UAcct343">'[7]Func Study'!$AB$1584</definedName>
    <definedName name="UAcct344S">'[7]Func Study'!$AB$1587</definedName>
    <definedName name="UAcct344Sgp">'[7]Func Study'!$AB$1588</definedName>
    <definedName name="UAcct345Dgu">'[7]Func Study'!$AB$1594</definedName>
    <definedName name="UAcct345Sgu">'[7]Func Study'!$AB$1595</definedName>
    <definedName name="UAcct346">'[7]Func Study'!$AB$1601</definedName>
    <definedName name="UAcct350">'[7]Func Study'!$AB$1628</definedName>
    <definedName name="UAcct352">'[7]Func Study'!$AB$1635</definedName>
    <definedName name="UAcct353">'[7]Func Study'!$AB$1641</definedName>
    <definedName name="UAcct354">'[7]Func Study'!$AB$1647</definedName>
    <definedName name="UAcct355">'[7]Func Study'!$AB$1654</definedName>
    <definedName name="UAcct356">'[7]Func Study'!$AB$1660</definedName>
    <definedName name="UAcct357">'[7]Func Study'!$AB$1666</definedName>
    <definedName name="UAcct358">'[7]Func Study'!$AB$1672</definedName>
    <definedName name="UAcct359">'[7]Func Study'!$AB$1678</definedName>
    <definedName name="UAcct360">'[7]Func Study'!$AB$1698</definedName>
    <definedName name="UAcct361">'[7]Func Study'!$AB$1704</definedName>
    <definedName name="UAcct362">'[7]Func Study'!$AB$1710</definedName>
    <definedName name="UAcct368">'[7]Func Study'!$AB$1744</definedName>
    <definedName name="UAcct369">'[7]Func Study'!$AB$1751</definedName>
    <definedName name="UAcct370">'[7]Func Study'!$AB$1762</definedName>
    <definedName name="UAcct372A">'[7]Func Study'!$AB$1775</definedName>
    <definedName name="UAcct372Dp">'[7]Func Study'!$AB$1773</definedName>
    <definedName name="UAcct372Ds">'[7]Func Study'!$AB$1774</definedName>
    <definedName name="UAcct373">'[7]Func Study'!$AB$1782</definedName>
    <definedName name="UAcct389Cn">'[7]Func Study'!$AB$1800</definedName>
    <definedName name="UAcct389S">'[7]Func Study'!$AB$1799</definedName>
    <definedName name="UAcct389Sg">'[7]Func Study'!$AB$1802</definedName>
    <definedName name="UAcct389Sgu">'[7]Func Study'!$AB$1801</definedName>
    <definedName name="UAcct389So">'[7]Func Study'!$AB$1803</definedName>
    <definedName name="UAcct390Cn">'[7]Func Study'!$AB$1810</definedName>
    <definedName name="UAcct390JBG">'[7]Func Study'!$AB$1812</definedName>
    <definedName name="UAcct390L">'[7]Func Study'!$AB$1927</definedName>
    <definedName name="UACCT390LRCL">'[7]Func Study'!$AB$1929</definedName>
    <definedName name="UAcct390S">'[7]Func Study'!$AB$1807</definedName>
    <definedName name="UAcct390Sgp">'[7]Func Study'!$AB$1808</definedName>
    <definedName name="UAcct390Sgu">'[7]Func Study'!$AB$1809</definedName>
    <definedName name="UAcct390Sop">'[7]Func Study'!$AB$1811</definedName>
    <definedName name="UAcct390Sou">'[7]Func Study'!$AB$1813</definedName>
    <definedName name="UAcct391Cn">'[7]Func Study'!$AB$1820</definedName>
    <definedName name="UACCT391JBE">'[7]Func Study'!$AB$1825</definedName>
    <definedName name="UAcct391S">'[7]Func Study'!$AB$1817</definedName>
    <definedName name="UAcct391Sg">'[7]Func Study'!$AB$1821</definedName>
    <definedName name="UAcct391Sgp">'[7]Func Study'!$AB$1818</definedName>
    <definedName name="UAcct391Sgu">'[7]Func Study'!$AB$1819</definedName>
    <definedName name="UAcct391So">'[7]Func Study'!$AB$1823</definedName>
    <definedName name="UACCT391SSGCH">'[7]Func Study'!$AB$1824</definedName>
    <definedName name="UAcct392Cn">'[7]Func Study'!$AB$1832</definedName>
    <definedName name="UAcct392L">'[7]Func Study'!$AB$1935</definedName>
    <definedName name="UAcct392Lrcl">'[7]Func Study'!$AB$1937</definedName>
    <definedName name="UAcct392S">'[7]Func Study'!$AB$1829</definedName>
    <definedName name="UAcct392Se">'[7]Func Study'!$AB$1834</definedName>
    <definedName name="UAcct392Sg">'[7]Func Study'!$AB$1831</definedName>
    <definedName name="UAcct392Sgp">'[7]Func Study'!$AB$1835</definedName>
    <definedName name="UAcct392Sgu">'[7]Func Study'!$AB$1833</definedName>
    <definedName name="UAcct392So">'[7]Func Study'!$AB$1830</definedName>
    <definedName name="UACCT392SSGCH">'[7]Func Study'!$AB$1836</definedName>
    <definedName name="UAcct393S">'[7]Func Study'!$AB$1841</definedName>
    <definedName name="UAcct393Sg">'[7]Func Study'!$AB$1845</definedName>
    <definedName name="UAcct393Sgp">'[7]Func Study'!$AB$1842</definedName>
    <definedName name="UAcct393Sgu">'[7]Func Study'!$AB$1843</definedName>
    <definedName name="UAcct393So">'[7]Func Study'!$AB$1844</definedName>
    <definedName name="UACCT393SSGCT">'[7]Func Study'!$AB$1846</definedName>
    <definedName name="UAcct394S">'[7]Func Study'!$AB$1850</definedName>
    <definedName name="UAcct394Se">'[7]Func Study'!$AB$1854</definedName>
    <definedName name="UAcct394Sg">'[7]Func Study'!$AB$1855</definedName>
    <definedName name="UAcct394Sgp">'[7]Func Study'!$AB$1851</definedName>
    <definedName name="UAcct394Sgu">'[7]Func Study'!$AB$1852</definedName>
    <definedName name="UAcct394So">'[7]Func Study'!$AB$1853</definedName>
    <definedName name="UACCT394SSGCH">'[7]Func Study'!$AB$1856</definedName>
    <definedName name="UAcct395S">'[7]Func Study'!$AB$1861</definedName>
    <definedName name="UAcct395Se">'[7]Func Study'!$AB$1865</definedName>
    <definedName name="UAcct395Sg">'[7]Func Study'!$AB$1866</definedName>
    <definedName name="UAcct395Sgp">'[7]Func Study'!$AB$1862</definedName>
    <definedName name="UAcct395Sgu">'[7]Func Study'!$AB$1863</definedName>
    <definedName name="UAcct395So">'[7]Func Study'!$AB$1864</definedName>
    <definedName name="UACCT395SSGCH">'[7]Func Study'!$AB$1867</definedName>
    <definedName name="UAcct396S">'[7]Func Study'!$AB$1872</definedName>
    <definedName name="UAcct396Se">'[7]Func Study'!$AB$1877</definedName>
    <definedName name="UAcct396Sg">'[7]Func Study'!$AB$1874</definedName>
    <definedName name="UAcct396Sgp">'[7]Func Study'!$AB$1873</definedName>
    <definedName name="UAcct396Sgu">'[7]Func Study'!$AB$1876</definedName>
    <definedName name="UAcct396So">'[7]Func Study'!$AB$1875</definedName>
    <definedName name="UACCT396SSGCH">'[7]Func Study'!$AB$1879</definedName>
    <definedName name="UACCT396SSGCT">'[7]Func Study'!$AB$1878</definedName>
    <definedName name="UAcct397Cn">'[7]Func Study'!$AB$1890</definedName>
    <definedName name="UAcct397JBG">'[7]Func Study'!$AB$1893</definedName>
    <definedName name="UAcct397S">'[7]Func Study'!$AB$1886</definedName>
    <definedName name="UAcct397Se">'[7]Func Study'!$AB$1892</definedName>
    <definedName name="UAcct397Sg">'[7]Func Study'!$AB$1891</definedName>
    <definedName name="UAcct397Sgp">'[7]Func Study'!$AB$1887</definedName>
    <definedName name="UAcct397Sgu">'[7]Func Study'!$AB$1888</definedName>
    <definedName name="UAcct397So">'[7]Func Study'!$AB$1889</definedName>
    <definedName name="UAcct398Cn">'[7]Func Study'!$AB$1902</definedName>
    <definedName name="UAcct398S">'[7]Func Study'!$AB$1899</definedName>
    <definedName name="UAcct398Se">'[7]Func Study'!$AB$1904</definedName>
    <definedName name="UAcct398Sg">'[7]Func Study'!$AB$1905</definedName>
    <definedName name="UAcct398Sgp">'[7]Func Study'!$AB$1900</definedName>
    <definedName name="UAcct398Sgu">'[7]Func Study'!$AB$1901</definedName>
    <definedName name="UAcct398So">'[7]Func Study'!$AB$1903</definedName>
    <definedName name="UACCT398SSGCT">'[7]Func Study'!$AB$1906</definedName>
    <definedName name="UAcct399">'[7]Func Study'!$AB$1913</definedName>
    <definedName name="UAcct399G">'[7]Func Study'!$AB$1955</definedName>
    <definedName name="UAcct399L">'[7]Func Study'!$AB$1917</definedName>
    <definedName name="UAcct399Lrcl">'[7]Func Study'!$AB$1919</definedName>
    <definedName name="UAcct403360">'[7]Func Study'!$AB$1090</definedName>
    <definedName name="UAcct403361">'[7]Func Study'!$AB$1091</definedName>
    <definedName name="UAcct403362">'[7]Func Study'!$AB$1092</definedName>
    <definedName name="UAcct403364">'[7]Func Study'!$AB$1094</definedName>
    <definedName name="UAcct403365">'[7]Func Study'!$AB$1095</definedName>
    <definedName name="UAcct403366">'[7]Func Study'!$AB$1096</definedName>
    <definedName name="UAcct403367">'[7]Func Study'!$AB$1097</definedName>
    <definedName name="UAcct403368">'[7]Func Study'!$AB$1098</definedName>
    <definedName name="UAcct403369">'[7]Func Study'!$AB$1099</definedName>
    <definedName name="UAcct403370">'[7]Func Study'!$AB$1100</definedName>
    <definedName name="UAcct403371">'[7]Func Study'!$AB$1101</definedName>
    <definedName name="UAcct403372">'[7]Func Study'!$AB$1102</definedName>
    <definedName name="UAcct403373">'[7]Func Study'!$AB$1103</definedName>
    <definedName name="UAcct403Ep">'[7]Func Study'!$AB$1130</definedName>
    <definedName name="UAcct403Gpcn">'[7]Func Study'!$AB$1111</definedName>
    <definedName name="UAcct403GPDGP">'[7]Func Study'!$AB$1108</definedName>
    <definedName name="UAcct403GPDGU">'[7]Func Study'!$AB$1109</definedName>
    <definedName name="UAcct403GPJBG">'[7]Func Study'!$AB$1115</definedName>
    <definedName name="UAcct403Gps">'[7]Func Study'!$AB$1107</definedName>
    <definedName name="UAcct403Gpsg">'[7]Func Study'!$AB$1112</definedName>
    <definedName name="UAcct403Gpso">'[7]Func Study'!$AB$1113</definedName>
    <definedName name="UAcct403Gv0">'[7]Func Study'!$AB$1121</definedName>
    <definedName name="UAcct403Hp">'[7]Func Study'!$AB$1072</definedName>
    <definedName name="UACCT403JBE">'[7]Func Study'!$AB$1116</definedName>
    <definedName name="UAcct403Mp">'[7]Func Study'!$AB$1125</definedName>
    <definedName name="UAcct403Np">'[7]Func Study'!$AB$1065</definedName>
    <definedName name="UAcct403Op">'[7]Func Study'!$AB$1080</definedName>
    <definedName name="UAcct403OPCAGE">'[7]Func Study'!$AB$1078</definedName>
    <definedName name="UAcct403Sp">'[7]Func Study'!$AB$1061</definedName>
    <definedName name="UAcct403SPJBG">'[7]Func Study'!$AB$1058</definedName>
    <definedName name="UAcct403Tp">'[7]Func Study'!$AB$1087</definedName>
    <definedName name="UAcct404330">'[7]Func Study'!$AB$1177</definedName>
    <definedName name="UACCT404GP">'[7]Func Study'!$AB$1146</definedName>
    <definedName name="UACCT404GPCN">'[7]Func Study'!$AB$1143</definedName>
    <definedName name="UACCT404GPSO">'[7]Func Study'!$AB$1141</definedName>
    <definedName name="UAcct404Ipcn">'[7]Func Study'!$AB$1158</definedName>
    <definedName name="UAcct404IPJBG">'[7]Func Study'!$AB$1163</definedName>
    <definedName name="UAcct404Ips">'[7]Func Study'!$AB$1154</definedName>
    <definedName name="UAcct404Ipse">'[7]Func Study'!$AB$1155</definedName>
    <definedName name="UAcct404Ipsg">'[7]Func Study'!$AB$1156</definedName>
    <definedName name="UAcct404Ipsg1">'[7]Func Study'!$AB$1159</definedName>
    <definedName name="UAcct404Ipsg2">'[7]Func Study'!$AB$1160</definedName>
    <definedName name="UAcct404Ipso">'[7]Func Study'!$AB$1157</definedName>
    <definedName name="UAcct404M">'[7]Func Study'!$AB$1168</definedName>
    <definedName name="UACCT404OP">'[7]Func Study'!$AB$1172</definedName>
    <definedName name="UACCT404SP">'[7]Func Study'!$AB$1151</definedName>
    <definedName name="UAcct405">'[7]Func Study'!$AB$1185</definedName>
    <definedName name="UAcct406">'[7]Func Study'!$AB$1193</definedName>
    <definedName name="UAcct407">'[7]Func Study'!$AB$1202</definedName>
    <definedName name="UAcct408">'[7]Func Study'!$AB$1221</definedName>
    <definedName name="UAcct408S">'[7]Func Study'!$AB$1213</definedName>
    <definedName name="UAcct41010">'[7]Func Study'!$AB$1294</definedName>
    <definedName name="UAcct41011">'[7]Func Study'!$AB$1309</definedName>
    <definedName name="UAcct41110">'[7]Func Study'!$AB$1325</definedName>
    <definedName name="UAcct41140">'[7]Func Study'!$AB$1232</definedName>
    <definedName name="UAcct41141">'[7]Func Study'!$AB$1237</definedName>
    <definedName name="UAcct41160">'[7]Func Study'!$AB$369</definedName>
    <definedName name="UAcct41170">'[7]Func Study'!$AB$374</definedName>
    <definedName name="UAcct4118">'[7]Func Study'!$AB$378</definedName>
    <definedName name="UAcct41181">'[7]Func Study'!$AB$381</definedName>
    <definedName name="UAcct4194">'[7]Func Study'!$AB$385</definedName>
    <definedName name="UAcct421">'[7]Func Study'!$AB$394</definedName>
    <definedName name="UAcct4311">'[7]Func Study'!$AB$401</definedName>
    <definedName name="UAcct442Se">'[7]Func Study'!$AB$259</definedName>
    <definedName name="UAcct442Sg">'[7]Func Study'!$AB$260</definedName>
    <definedName name="UAcct447">'[7]Func Study'!$AB$281</definedName>
    <definedName name="UACCT447NPC">'[7]Func Study'!$AB$289</definedName>
    <definedName name="UACCT447NPCCAEW">'[7]Func Study'!$AB$286</definedName>
    <definedName name="UACCT447NPCCAGW">'[7]Func Study'!$AB$287</definedName>
    <definedName name="UACCT447NPCDGP">'[7]Func Study'!$AB$288</definedName>
    <definedName name="UAcct447S">'[7]Func Study'!$AB$280</definedName>
    <definedName name="UAcct448S">'[7]Func Study'!$AB$274</definedName>
    <definedName name="UAcct448So">'[7]Func Study'!$AB$275</definedName>
    <definedName name="UAcct449">'[7]Func Study'!$AB$294</definedName>
    <definedName name="UAcct450">'[7]Func Study'!$AB$304</definedName>
    <definedName name="UAcct450S">'[7]Func Study'!$AB$302</definedName>
    <definedName name="UAcct450So">'[7]Func Study'!$AB$303</definedName>
    <definedName name="UAcct451S">'[7]Func Study'!$AB$307</definedName>
    <definedName name="UAcct451Sg">'[7]Func Study'!$AB$308</definedName>
    <definedName name="UAcct451So">'[7]Func Study'!$AB$309</definedName>
    <definedName name="UAcct453">'[7]Func Study'!$AB$315</definedName>
    <definedName name="UAcct454">'[7]Func Study'!$AB$322</definedName>
    <definedName name="UAcct454JBG">'[7]Func Study'!$AB$319</definedName>
    <definedName name="UAcct454S">'[7]Func Study'!$AB$318</definedName>
    <definedName name="UAcct454Sg">'[7]Func Study'!$AB$320</definedName>
    <definedName name="UAcct454So">'[7]Func Study'!$AB$321</definedName>
    <definedName name="UAcct456">'[7]Func Study'!$AB$332</definedName>
    <definedName name="UAcct456CAEW">'[7]Func Study'!$AB$331</definedName>
    <definedName name="UAcct456S">'[7]Func Study'!$AB$325</definedName>
    <definedName name="UAcct456So">'[7]Func Study'!$AB$329</definedName>
    <definedName name="UAcct500">'[7]Func Study'!$AB$416</definedName>
    <definedName name="UAcct500JBG">'[7]Func Study'!$AB$414</definedName>
    <definedName name="UAcct501">'[7]Func Study'!$AB$423</definedName>
    <definedName name="UAcct501CAEW">'[7]Func Study'!$AB$420</definedName>
    <definedName name="UAcct501JBE">'[7]Func Study'!$AB$421</definedName>
    <definedName name="UACCT501NPCCAEW">'[7]Func Study'!$AB$426</definedName>
    <definedName name="UAcct502">'[7]Func Study'!$AB$433</definedName>
    <definedName name="UAcct502CAGE">'[7]Func Study'!$AB$431</definedName>
    <definedName name="UAcct503">'[7]Func Study'!$AB$437</definedName>
    <definedName name="UACCT503NPC">'[7]Func Study'!$AB$443</definedName>
    <definedName name="UAcct505">'[7]Func Study'!$AB$449</definedName>
    <definedName name="UAcct505CAGE">'[7]Func Study'!$AB$447</definedName>
    <definedName name="UAcct506">'[7]Func Study'!$AB$455</definedName>
    <definedName name="UAcct506CAGE">'[7]Func Study'!$AB$452</definedName>
    <definedName name="UAcct507">'[7]Func Study'!$AB$464</definedName>
    <definedName name="UAcct507CAGE">'[7]Func Study'!$AB$462</definedName>
    <definedName name="UAcct510">'[7]Func Study'!$AB$469</definedName>
    <definedName name="UAcct510CAGE">'[7]Func Study'!$AB$467</definedName>
    <definedName name="UAcct511">'[7]Func Study'!$AB$474</definedName>
    <definedName name="UAcct511CAGE">'[7]Func Study'!$AB$472</definedName>
    <definedName name="UAcct512">'[7]Func Study'!$AB$479</definedName>
    <definedName name="UAcct512CAGE">'[7]Func Study'!$AB$477</definedName>
    <definedName name="UAcct513">'[7]Func Study'!$AB$484</definedName>
    <definedName name="UAcct513CAGE">'[7]Func Study'!$AB$482</definedName>
    <definedName name="UAcct514">'[7]Func Study'!$AB$489</definedName>
    <definedName name="UAcct514CAGE">'[7]Func Study'!$AB$487</definedName>
    <definedName name="UAcct517">'[7]Func Study'!$AB$498</definedName>
    <definedName name="UAcct518">'[7]Func Study'!$AB$502</definedName>
    <definedName name="UAcct519">'[7]Func Study'!$AB$507</definedName>
    <definedName name="UAcct520">'[7]Func Study'!$AB$511</definedName>
    <definedName name="UAcct523">'[7]Func Study'!$AB$515</definedName>
    <definedName name="UAcct524">'[7]Func Study'!$AB$519</definedName>
    <definedName name="UAcct528">'[7]Func Study'!$AB$523</definedName>
    <definedName name="UAcct529">'[7]Func Study'!$AB$527</definedName>
    <definedName name="UAcct530">'[7]Func Study'!$AB$531</definedName>
    <definedName name="UAcct531">'[7]Func Study'!$AB$535</definedName>
    <definedName name="UAcct532">'[7]Func Study'!$AB$539</definedName>
    <definedName name="UAcct535">'[7]Func Study'!$AB$551</definedName>
    <definedName name="UAcct536">'[7]Func Study'!$AB$555</definedName>
    <definedName name="UAcct537">'[7]Func Study'!$AB$559</definedName>
    <definedName name="UAcct538">'[7]Func Study'!$AB$563</definedName>
    <definedName name="UAcct539">'[7]Func Study'!$AB$568</definedName>
    <definedName name="UAcct540">'[7]Func Study'!$AB$572</definedName>
    <definedName name="UAcct541">'[7]Func Study'!$AB$576</definedName>
    <definedName name="UAcct542">'[7]Func Study'!$AB$580</definedName>
    <definedName name="UAcct543">'[7]Func Study'!$AB$584</definedName>
    <definedName name="UAcct544">'[7]Func Study'!$AB$588</definedName>
    <definedName name="UAcct545">'[7]Func Study'!$AB$592</definedName>
    <definedName name="UAcct546">'[7]Func Study'!$AB$606</definedName>
    <definedName name="UAcct546CAGE">'[7]Func Study'!$AB$605</definedName>
    <definedName name="UAcct547CAEW">'[7]Func Study'!$AB$610</definedName>
    <definedName name="UACCT547NPCCAEW">'[7]Func Study'!$AB$613</definedName>
    <definedName name="UAcct547Se">'[7]Func Study'!$AB$609</definedName>
    <definedName name="UAcct548">'[7]Func Study'!$AB$621</definedName>
    <definedName name="UACCT548CAGE">'[7]Func Study'!$AB$620</definedName>
    <definedName name="UAcct549">'[7]Func Study'!$AB$626</definedName>
    <definedName name="Uacct549CAGE">'[7]Func Study'!$AB$625</definedName>
    <definedName name="UAcct551CAGE">'[7]Func Study'!$AB$634</definedName>
    <definedName name="UACCT551SG">'[7]Func Study'!$AB$635</definedName>
    <definedName name="UACCT552CAGE">'[7]Func Study'!$AB$640</definedName>
    <definedName name="UAcct552SG">'[7]Func Study'!$AB$639</definedName>
    <definedName name="UACCT553CAGE">'[7]Func Study'!$AB$646</definedName>
    <definedName name="UAcct553SG">'[7]Func Study'!$AB$645</definedName>
    <definedName name="UACCT554CAGE">'[7]Func Study'!$AB$651</definedName>
    <definedName name="UAcct554SG">'[7]Func Study'!$AB$650</definedName>
    <definedName name="UAcct555CAEW">'[7]Func Study'!$AB$665</definedName>
    <definedName name="UAcct555CAGW">'[7]Func Study'!$AB$664</definedName>
    <definedName name="UACCT555DGP">'[7]Func Study'!$AB$670</definedName>
    <definedName name="UACCT555NPCCAEW">'[7]Func Study'!$AB$669</definedName>
    <definedName name="UACCT555NPCCAGW">'[7]Func Study'!$AB$668</definedName>
    <definedName name="UAcct555S">'[7]Func Study'!$AB$663</definedName>
    <definedName name="UAcct555Se">'[7]Func Study'!$AB$665</definedName>
    <definedName name="UACCT555SG">'[7]Func Study'!$AB$664</definedName>
    <definedName name="UAcct556">'[7]Func Study'!$AB$676</definedName>
    <definedName name="UAcct557">'[7]Func Study'!$AB$685</definedName>
    <definedName name="UAcct560">'[7]Func Study'!$AB$715</definedName>
    <definedName name="UAcct561">'[7]Func Study'!$AB$720</definedName>
    <definedName name="UAcct562">'[7]Func Study'!$AB$726</definedName>
    <definedName name="UAcct563">'[7]Func Study'!$AB$731</definedName>
    <definedName name="UAcct564">'[7]Func Study'!$AB$735</definedName>
    <definedName name="UAcct565">'[7]Func Study'!$AB$739</definedName>
    <definedName name="UACCT565NPC">'[7]Func Study'!$AB$744</definedName>
    <definedName name="UACCT565NPCCAGW">'[7]Func Study'!$AB$742</definedName>
    <definedName name="UAcct566">'[7]Func Study'!$AB$748</definedName>
    <definedName name="UAcct567">'[7]Func Study'!$AB$752</definedName>
    <definedName name="UAcct568">'[7]Func Study'!$AB$756</definedName>
    <definedName name="UAcct569">'[7]Func Study'!$AB$760</definedName>
    <definedName name="UAcct570">'[7]Func Study'!$AB$765</definedName>
    <definedName name="UAcct571">'[7]Func Study'!$AB$770</definedName>
    <definedName name="UAcct572">'[7]Func Study'!$AB$774</definedName>
    <definedName name="UAcct573">'[7]Func Study'!$AB$778</definedName>
    <definedName name="UAcct580">'[7]Func Study'!$AB$791</definedName>
    <definedName name="UAcct581">'[7]Func Study'!$AB$796</definedName>
    <definedName name="UAcct582">'[7]Func Study'!$AB$801</definedName>
    <definedName name="UAcct583">'[7]Func Study'!$AB$806</definedName>
    <definedName name="UAcct584">'[7]Func Study'!$AB$811</definedName>
    <definedName name="UAcct585">'[7]Func Study'!$AB$816</definedName>
    <definedName name="UAcct586">'[7]Func Study'!$AB$821</definedName>
    <definedName name="UAcct587">'[7]Func Study'!$AB$826</definedName>
    <definedName name="UAcct588">'[7]Func Study'!$AB$831</definedName>
    <definedName name="UAcct589">'[7]Func Study'!$AB$836</definedName>
    <definedName name="UAcct590">'[7]Func Study'!$AB$841</definedName>
    <definedName name="UAcct591">'[7]Func Study'!$AB$846</definedName>
    <definedName name="UAcct592">'[7]Func Study'!$AB$851</definedName>
    <definedName name="UAcct593">'[7]Func Study'!$AB$856</definedName>
    <definedName name="UAcct594">'[7]Func Study'!$AB$861</definedName>
    <definedName name="UAcct595">'[7]Func Study'!$AB$866</definedName>
    <definedName name="UAcct596">'[7]Func Study'!$AB$876</definedName>
    <definedName name="UAcct597">'[7]Func Study'!$AB$881</definedName>
    <definedName name="UAcct598">'[7]Func Study'!$AB$886</definedName>
    <definedName name="UAcct901">'[7]Func Study'!$AB$898</definedName>
    <definedName name="UAcct902">'[7]Func Study'!$AB$903</definedName>
    <definedName name="UAcct903">'[7]Func Study'!$AB$908</definedName>
    <definedName name="UAcct904">'[7]Func Study'!$AB$914</definedName>
    <definedName name="UAcct905">'[7]Func Study'!$AB$919</definedName>
    <definedName name="UAcct907">'[7]Func Study'!$AB$933</definedName>
    <definedName name="UAcct908">'[7]Func Study'!$AB$938</definedName>
    <definedName name="UAcct909">'[7]Func Study'!$AB$943</definedName>
    <definedName name="UAcct910">'[7]Func Study'!$AB$948</definedName>
    <definedName name="UAcct911">'[7]Func Study'!$AB$959</definedName>
    <definedName name="UAcct912">'[7]Func Study'!$AB$964</definedName>
    <definedName name="UAcct913">'[7]Func Study'!$AB$969</definedName>
    <definedName name="UAcct916">'[7]Func Study'!$AB$974</definedName>
    <definedName name="UAcct920">'[7]Func Study'!$AB$985</definedName>
    <definedName name="UAcct920Cn">'[7]Func Study'!$AB$983</definedName>
    <definedName name="UAcct921">'[7]Func Study'!$AB$991</definedName>
    <definedName name="UAcct921Cn">'[7]Func Study'!$AB$989</definedName>
    <definedName name="UAcct923">'[7]Func Study'!$AB$997</definedName>
    <definedName name="UAcct923CAGW">'[7]Func Study'!$AB$995</definedName>
    <definedName name="UAcct924">'[7]Func Study'!$AB$1001</definedName>
    <definedName name="UAcct925">'[7]Func Study'!$AB$1005</definedName>
    <definedName name="UAcct926">'[7]Func Study'!$AB$1011</definedName>
    <definedName name="UAcct927">'[7]Func Study'!$AB$1016</definedName>
    <definedName name="UAcct928">'[7]Func Study'!$AB$1023</definedName>
    <definedName name="UAcct929">'[7]Func Study'!$AB$1028</definedName>
    <definedName name="UAcct930">'[7]Func Study'!$AB$1034</definedName>
    <definedName name="UAcct931">'[7]Func Study'!$AB$1039</definedName>
    <definedName name="UAcct935">'[7]Func Study'!$AB$1045</definedName>
    <definedName name="UAcctAGA">'[7]Func Study'!$AB$296</definedName>
    <definedName name="UAcctcwc">'[7]Func Study'!$AB$2136</definedName>
    <definedName name="UAcctd00">'[7]Func Study'!$AB$1786</definedName>
    <definedName name="UAcctds0">'[7]Func Study'!$AB$1790</definedName>
    <definedName name="UACCTECDDGP">'[7]Func Study'!$AB$687</definedName>
    <definedName name="UACCTECDMC">'[7]Func Study'!$AB$689</definedName>
    <definedName name="UACCTECDS">'[7]Func Study'!$AB$691</definedName>
    <definedName name="UACCTECDSG1">'[7]Func Study'!$AB$688</definedName>
    <definedName name="UACCTECDSG2">'[7]Func Study'!$AB$690</definedName>
    <definedName name="UACCTECDSG3">'[7]Func Study'!$AB$692</definedName>
    <definedName name="UAcctfit">'[7]Func Study'!$AB$1395</definedName>
    <definedName name="UAcctg00">'[7]Func Study'!$AB$1947</definedName>
    <definedName name="UAccth00">'[7]Func Study'!$AB$1545</definedName>
    <definedName name="UAccti00">'[7]Func Study'!$AB$1993</definedName>
    <definedName name="UAcctn00">'[7]Func Study'!$AB$1496</definedName>
    <definedName name="UAccto00">'[7]Func Study'!$AB$1606</definedName>
    <definedName name="UAcctowc">'[7]Func Study'!$AB$2149</definedName>
    <definedName name="UACCTOWCSSECH">'[7]Func Study'!$AB$2148</definedName>
    <definedName name="UAccts00">'[7]Func Study'!$AB$1455</definedName>
    <definedName name="UAcctsttax">'[7]Func Study'!$AB$1377</definedName>
    <definedName name="UAcctt00">'[7]Func Study'!$AB$1682</definedName>
    <definedName name="UG">[4]CLASSIFIERS!$A$9:$IV$9</definedName>
    <definedName name="UG_NCP">[4]EXTERNAL!$A$82:$IV$84</definedName>
    <definedName name="UG_TFMR">[4]EXTERNAL!$A$103:$IV$105</definedName>
    <definedName name="UG_TFMRC">[4]EXTERNAL!$A$100:$IV$102</definedName>
    <definedName name="UNBILLED">[4]EXTERNAL!$A$64:$IV$66</definedName>
    <definedName name="UncollectibleAccounts">[11]Variables!$D$25</definedName>
    <definedName name="UNI_FILT_OFFSPEC">2</definedName>
    <definedName name="UNI_FILT_ONSPEC">1</definedName>
    <definedName name="UNI_NOTHING">0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OUTLIERS">32</definedName>
    <definedName name="UNI_RET_ATTRIB">64</definedName>
    <definedName name="UNI_RET_CONF">32</definedName>
    <definedName name="UNI_RET_DESC">4</definedName>
    <definedName name="UNI_RET_EQUIP">1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UtGrossReceipts">[11]Variables!$D$29</definedName>
    <definedName name="ValidAccount">[8]Variables!$AK$43:$AK$369</definedName>
    <definedName name="Values_Entered" localSheetId="16">IF(Loan_Amount*Interest_Rate*Loan_Years*Loan_Start&gt;0,1,0)</definedName>
    <definedName name="Values_Entered" localSheetId="1">IF(Loan_Amount*Interest_Rate*Loan_Years*Loan_Start&gt;0,1,0)</definedName>
    <definedName name="Values_Entered" localSheetId="2">IF(Loan_Amount*Interest_Rate*Loan_Years*Loan_Start&gt;0,1,0)</definedName>
    <definedName name="Values_Entered" localSheetId="3">IF(Loan_Amount*Interest_Rate*Loan_Years*Loan_Start&gt;0,1,0)</definedName>
    <definedName name="Values_Entered">IF(Loan_Amount*Interest_Rate*Loan_Years*Loan_Start&gt;0,1,0)</definedName>
    <definedName name="VOMEsc">[9]Assumptions!$C$21</definedName>
    <definedName name="WACC">[9]Assumptions!$I$61</definedName>
    <definedName name="WaRevenueTax">[11]Variables!$D$27</definedName>
    <definedName name="Winter">'[59]Input Tab'!$B$11</definedName>
    <definedName name="WinterPeak">'[60]Load Data'!$D$9:$H$12,'[60]Load Data'!$D$20:$H$22</definedName>
    <definedName name="WUTC_Docket_No._UG_11____" localSheetId="16">'[5]MJS-6'!$F$2</definedName>
    <definedName name="WUTC_Docket_No._UG_11____">'[6]MJS-6'!$F$2</definedName>
    <definedName name="WUTC_FILING_FEE" localSheetId="16">'[5]MJS-7'!$O$15</definedName>
    <definedName name="WUTC_FILING_FEE">'[6]MJS-7'!$O$15</definedName>
    <definedName name="Years_evaluated">'[61]Revison Inputs'!$B$6</definedName>
    <definedName name="YEFactors">[8]Factors!$S$3:$AG$99</definedName>
    <definedName name="YTD_Format">[52]YTD!$B$13:$D$13,[52]YTD!$B$36:$D$36</definedName>
  </definedNames>
  <calcPr calcId="145621"/>
</workbook>
</file>

<file path=xl/calcChain.xml><?xml version="1.0" encoding="utf-8"?>
<calcChain xmlns="http://schemas.openxmlformats.org/spreadsheetml/2006/main">
  <c r="R156" i="77" l="1"/>
  <c r="R134" i="77"/>
  <c r="O149" i="102" l="1"/>
  <c r="N149" i="102"/>
  <c r="M149" i="102"/>
  <c r="L149" i="102"/>
  <c r="K149" i="102"/>
  <c r="J149" i="102"/>
  <c r="I149" i="102"/>
  <c r="H149" i="102"/>
  <c r="G149" i="102"/>
  <c r="F149" i="102"/>
  <c r="E149" i="102"/>
  <c r="D149" i="102"/>
  <c r="O148" i="102"/>
  <c r="N148" i="102"/>
  <c r="M148" i="102"/>
  <c r="L148" i="102"/>
  <c r="K148" i="102"/>
  <c r="J148" i="102"/>
  <c r="I148" i="102"/>
  <c r="H148" i="102"/>
  <c r="G148" i="102"/>
  <c r="F148" i="102"/>
  <c r="E148" i="102"/>
  <c r="D148" i="102"/>
  <c r="O147" i="102"/>
  <c r="N147" i="102"/>
  <c r="M147" i="102"/>
  <c r="L147" i="102"/>
  <c r="K147" i="102"/>
  <c r="J147" i="102"/>
  <c r="I147" i="102"/>
  <c r="H147" i="102"/>
  <c r="G147" i="102"/>
  <c r="F147" i="102"/>
  <c r="E147" i="102"/>
  <c r="D147" i="102"/>
  <c r="O81" i="102"/>
  <c r="N81" i="102"/>
  <c r="M81" i="102"/>
  <c r="L81" i="102"/>
  <c r="K81" i="102"/>
  <c r="J81" i="102"/>
  <c r="I81" i="102"/>
  <c r="H81" i="102"/>
  <c r="G81" i="102"/>
  <c r="F81" i="102"/>
  <c r="E81" i="102"/>
  <c r="D81" i="102"/>
  <c r="O80" i="102"/>
  <c r="N80" i="102"/>
  <c r="M80" i="102"/>
  <c r="L80" i="102"/>
  <c r="K80" i="102"/>
  <c r="J80" i="102"/>
  <c r="I80" i="102"/>
  <c r="H80" i="102"/>
  <c r="G80" i="102"/>
  <c r="F80" i="102"/>
  <c r="E80" i="102"/>
  <c r="D80" i="102"/>
  <c r="AD32" i="104"/>
  <c r="AB32" i="104"/>
  <c r="P32" i="104"/>
  <c r="AD31" i="104"/>
  <c r="AB31" i="104"/>
  <c r="P31" i="104"/>
  <c r="AD30" i="104"/>
  <c r="AB30" i="104"/>
  <c r="P30" i="104"/>
  <c r="AD29" i="104"/>
  <c r="AB29" i="104"/>
  <c r="P29" i="104"/>
  <c r="AD28" i="104"/>
  <c r="AB28" i="104"/>
  <c r="P28" i="104"/>
  <c r="AD27" i="104"/>
  <c r="AB27" i="104"/>
  <c r="P27" i="104"/>
  <c r="AF26" i="104"/>
  <c r="AB26" i="104"/>
  <c r="AD26" i="104" s="1"/>
  <c r="AH26" i="104" s="1"/>
  <c r="V26" i="104"/>
  <c r="U26" i="104"/>
  <c r="T26" i="104"/>
  <c r="P26" i="104"/>
  <c r="R26" i="104" s="1"/>
  <c r="N26" i="104"/>
  <c r="M26" i="104"/>
  <c r="L26" i="104"/>
  <c r="AF25" i="104"/>
  <c r="AB25" i="104"/>
  <c r="AD25" i="104" s="1"/>
  <c r="V25" i="104"/>
  <c r="U25" i="104"/>
  <c r="T25" i="104"/>
  <c r="P25" i="104"/>
  <c r="R25" i="104" s="1"/>
  <c r="N25" i="104"/>
  <c r="M25" i="104"/>
  <c r="L25" i="104"/>
  <c r="AF24" i="104"/>
  <c r="AB24" i="104"/>
  <c r="AD24" i="104" s="1"/>
  <c r="AH24" i="104" s="1"/>
  <c r="V24" i="104"/>
  <c r="U24" i="104"/>
  <c r="T24" i="104"/>
  <c r="P24" i="104"/>
  <c r="R24" i="104" s="1"/>
  <c r="N24" i="104"/>
  <c r="M24" i="104"/>
  <c r="L24" i="104"/>
  <c r="AF23" i="104"/>
  <c r="AB23" i="104"/>
  <c r="AD23" i="104" s="1"/>
  <c r="V23" i="104"/>
  <c r="U23" i="104"/>
  <c r="T23" i="104"/>
  <c r="P23" i="104"/>
  <c r="R23" i="104" s="1"/>
  <c r="N23" i="104"/>
  <c r="M23" i="104"/>
  <c r="L23" i="104"/>
  <c r="AF22" i="104"/>
  <c r="AB22" i="104"/>
  <c r="AD22" i="104" s="1"/>
  <c r="AH22" i="104" s="1"/>
  <c r="V22" i="104"/>
  <c r="U22" i="104"/>
  <c r="T22" i="104"/>
  <c r="P22" i="104"/>
  <c r="R22" i="104" s="1"/>
  <c r="N22" i="104"/>
  <c r="M22" i="104"/>
  <c r="L22" i="104"/>
  <c r="AF21" i="104"/>
  <c r="AB21" i="104"/>
  <c r="AD21" i="104" s="1"/>
  <c r="V21" i="104"/>
  <c r="U21" i="104"/>
  <c r="T21" i="104"/>
  <c r="P21" i="104"/>
  <c r="R21" i="104" s="1"/>
  <c r="N21" i="104"/>
  <c r="M21" i="104"/>
  <c r="L21" i="104"/>
  <c r="BH20" i="104"/>
  <c r="AD20" i="104"/>
  <c r="AH20" i="104" s="1"/>
  <c r="Y20" i="104"/>
  <c r="AK20" i="104" s="1"/>
  <c r="AO20" i="104" s="1"/>
  <c r="R20" i="104"/>
  <c r="N20" i="104"/>
  <c r="M20" i="104"/>
  <c r="L20" i="104"/>
  <c r="BH19" i="104"/>
  <c r="AD19" i="104"/>
  <c r="AH19" i="104" s="1"/>
  <c r="R19" i="104"/>
  <c r="N19" i="104"/>
  <c r="M19" i="104"/>
  <c r="L19" i="104"/>
  <c r="BH18" i="104"/>
  <c r="AD18" i="104"/>
  <c r="AH18" i="104" s="1"/>
  <c r="AJ18" i="104" s="1"/>
  <c r="Z18" i="104"/>
  <c r="AL18" i="104" s="1"/>
  <c r="Y18" i="104"/>
  <c r="AK18" i="104" s="1"/>
  <c r="AO18" i="104" s="1"/>
  <c r="R18" i="104"/>
  <c r="X18" i="104" s="1"/>
  <c r="N18" i="104"/>
  <c r="AP18" i="104" s="1"/>
  <c r="BB18" i="104" s="1"/>
  <c r="M18" i="104"/>
  <c r="L18" i="104"/>
  <c r="AN18" i="104" s="1"/>
  <c r="AR18" i="104" s="1"/>
  <c r="BH17" i="104"/>
  <c r="BB17" i="104"/>
  <c r="AT17" i="104"/>
  <c r="BF17" i="104" s="1"/>
  <c r="AN17" i="104"/>
  <c r="AZ17" i="104" s="1"/>
  <c r="AL17" i="104"/>
  <c r="AJ17" i="104"/>
  <c r="AD17" i="104"/>
  <c r="AH17" i="104" s="1"/>
  <c r="Y17" i="104"/>
  <c r="AK17" i="104" s="1"/>
  <c r="X17" i="104"/>
  <c r="R17" i="104"/>
  <c r="Z17" i="104" s="1"/>
  <c r="N17" i="104"/>
  <c r="AP17" i="104" s="1"/>
  <c r="M17" i="104"/>
  <c r="AO17" i="104" s="1"/>
  <c r="L17" i="104"/>
  <c r="BH16" i="104"/>
  <c r="AD16" i="104"/>
  <c r="AH16" i="104" s="1"/>
  <c r="R16" i="104"/>
  <c r="N16" i="104"/>
  <c r="M16" i="104"/>
  <c r="L16" i="104"/>
  <c r="BH15" i="104"/>
  <c r="AL15" i="104"/>
  <c r="AH15" i="104"/>
  <c r="AD15" i="104"/>
  <c r="Y15" i="104"/>
  <c r="AK15" i="104" s="1"/>
  <c r="R15" i="104"/>
  <c r="Z15" i="104" s="1"/>
  <c r="N15" i="104"/>
  <c r="M15" i="104"/>
  <c r="AO15" i="104" s="1"/>
  <c r="L15" i="104"/>
  <c r="BH14" i="104"/>
  <c r="AL14" i="104"/>
  <c r="AD14" i="104"/>
  <c r="AH14" i="104" s="1"/>
  <c r="AJ14" i="104" s="1"/>
  <c r="Y14" i="104"/>
  <c r="AK14" i="104" s="1"/>
  <c r="X14" i="104"/>
  <c r="R14" i="104"/>
  <c r="Z14" i="104" s="1"/>
  <c r="N14" i="104"/>
  <c r="AP14" i="104" s="1"/>
  <c r="BB14" i="104" s="1"/>
  <c r="M14" i="104"/>
  <c r="AO14" i="104" s="1"/>
  <c r="L14" i="104"/>
  <c r="AN14" i="104" s="1"/>
  <c r="BH13" i="104"/>
  <c r="AD13" i="104"/>
  <c r="AH13" i="104" s="1"/>
  <c r="R13" i="104"/>
  <c r="X13" i="104" s="1"/>
  <c r="AJ13" i="104" s="1"/>
  <c r="N13" i="104"/>
  <c r="M13" i="104"/>
  <c r="L13" i="104"/>
  <c r="BH12" i="104"/>
  <c r="AH12" i="104"/>
  <c r="AD12" i="104"/>
  <c r="R12" i="104"/>
  <c r="Z12" i="104" s="1"/>
  <c r="AL12" i="104" s="1"/>
  <c r="N12" i="104"/>
  <c r="M12" i="104"/>
  <c r="L12" i="104"/>
  <c r="BH11" i="104"/>
  <c r="AD11" i="104"/>
  <c r="AH11" i="104" s="1"/>
  <c r="AJ11" i="104" s="1"/>
  <c r="Y11" i="104"/>
  <c r="AK11" i="104" s="1"/>
  <c r="AO11" i="104" s="1"/>
  <c r="R11" i="104"/>
  <c r="X11" i="104" s="1"/>
  <c r="N11" i="104"/>
  <c r="M11" i="104"/>
  <c r="L11" i="104"/>
  <c r="BH10" i="104"/>
  <c r="AD10" i="104"/>
  <c r="AH10" i="104" s="1"/>
  <c r="X10" i="104"/>
  <c r="R10" i="104"/>
  <c r="Z10" i="104" s="1"/>
  <c r="AL10" i="104" s="1"/>
  <c r="N10" i="104"/>
  <c r="M10" i="104"/>
  <c r="L10" i="104"/>
  <c r="B10" i="104"/>
  <c r="A10" i="104" s="1"/>
  <c r="BH9" i="104"/>
  <c r="AD9" i="104"/>
  <c r="AH9" i="104" s="1"/>
  <c r="AJ9" i="104" s="1"/>
  <c r="Z9" i="104"/>
  <c r="R9" i="104"/>
  <c r="X9" i="104" s="1"/>
  <c r="N9" i="104"/>
  <c r="M9" i="104"/>
  <c r="L9" i="104"/>
  <c r="AS11" i="104" l="1"/>
  <c r="BA11" i="104"/>
  <c r="AJ12" i="104"/>
  <c r="AZ14" i="104"/>
  <c r="AR14" i="104"/>
  <c r="BA14" i="104"/>
  <c r="AS14" i="104"/>
  <c r="AS18" i="104"/>
  <c r="BA18" i="104"/>
  <c r="AJ10" i="104"/>
  <c r="AN10" i="104" s="1"/>
  <c r="AP11" i="104"/>
  <c r="BA15" i="104"/>
  <c r="AS15" i="104"/>
  <c r="AP9" i="104"/>
  <c r="AN12" i="104"/>
  <c r="AO13" i="104"/>
  <c r="AS20" i="104"/>
  <c r="BA20" i="104"/>
  <c r="AP10" i="104"/>
  <c r="BA17" i="104"/>
  <c r="AS17" i="104"/>
  <c r="BD18" i="104"/>
  <c r="AV18" i="104"/>
  <c r="Z25" i="104"/>
  <c r="AL25" i="104" s="1"/>
  <c r="AP25" i="104" s="1"/>
  <c r="X25" i="104"/>
  <c r="Y25" i="104"/>
  <c r="AK25" i="104" s="1"/>
  <c r="AN11" i="104"/>
  <c r="Y12" i="104"/>
  <c r="AK12" i="104" s="1"/>
  <c r="AO12" i="104" s="1"/>
  <c r="Z13" i="104"/>
  <c r="AL13" i="104" s="1"/>
  <c r="AP13" i="104" s="1"/>
  <c r="AT14" i="104"/>
  <c r="AZ18" i="104"/>
  <c r="Z23" i="104"/>
  <c r="AL23" i="104" s="1"/>
  <c r="AP23" i="104" s="1"/>
  <c r="X23" i="104"/>
  <c r="Y23" i="104"/>
  <c r="AK23" i="104" s="1"/>
  <c r="AO23" i="104" s="1"/>
  <c r="AO25" i="104"/>
  <c r="AN9" i="104"/>
  <c r="Y9" i="104"/>
  <c r="Y10" i="104"/>
  <c r="AK10" i="104" s="1"/>
  <c r="AO10" i="104" s="1"/>
  <c r="Z11" i="104"/>
  <c r="AL11" i="104" s="1"/>
  <c r="AP12" i="104"/>
  <c r="X15" i="104"/>
  <c r="AJ15" i="104" s="1"/>
  <c r="AN15" i="104" s="1"/>
  <c r="AX17" i="104"/>
  <c r="AO19" i="104"/>
  <c r="BH21" i="104"/>
  <c r="BH25" i="104"/>
  <c r="AL9" i="104"/>
  <c r="X16" i="104"/>
  <c r="AJ16" i="104" s="1"/>
  <c r="AN16" i="104" s="1"/>
  <c r="Y16" i="104"/>
  <c r="AK16" i="104" s="1"/>
  <c r="AO16" i="104" s="1"/>
  <c r="AN20" i="104"/>
  <c r="Z21" i="104"/>
  <c r="AL21" i="104" s="1"/>
  <c r="AP21" i="104" s="1"/>
  <c r="X21" i="104"/>
  <c r="Y21" i="104"/>
  <c r="AK21" i="104" s="1"/>
  <c r="AO21" i="104" s="1"/>
  <c r="B11" i="104"/>
  <c r="X12" i="104"/>
  <c r="AN13" i="104"/>
  <c r="Y13" i="104"/>
  <c r="AK13" i="104" s="1"/>
  <c r="Z16" i="104"/>
  <c r="AL16" i="104" s="1"/>
  <c r="AP16" i="104" s="1"/>
  <c r="AR17" i="104"/>
  <c r="AT18" i="104"/>
  <c r="Z19" i="104"/>
  <c r="AL19" i="104" s="1"/>
  <c r="AP19" i="104" s="1"/>
  <c r="X19" i="104"/>
  <c r="AJ19" i="104" s="1"/>
  <c r="AN19" i="104" s="1"/>
  <c r="Y19" i="104"/>
  <c r="AK19" i="104" s="1"/>
  <c r="BH23" i="104"/>
  <c r="AP15" i="104"/>
  <c r="X20" i="104"/>
  <c r="AJ20" i="104" s="1"/>
  <c r="Z20" i="104"/>
  <c r="AL20" i="104" s="1"/>
  <c r="AP20" i="104" s="1"/>
  <c r="AH23" i="104"/>
  <c r="AJ23" i="104" s="1"/>
  <c r="AN23" i="104" s="1"/>
  <c r="Z24" i="104"/>
  <c r="AL24" i="104" s="1"/>
  <c r="AP24" i="104" s="1"/>
  <c r="X24" i="104"/>
  <c r="AJ24" i="104" s="1"/>
  <c r="AN24" i="104" s="1"/>
  <c r="Y24" i="104"/>
  <c r="AK24" i="104" s="1"/>
  <c r="AO24" i="104" s="1"/>
  <c r="BH24" i="104"/>
  <c r="AH21" i="104"/>
  <c r="AJ21" i="104" s="1"/>
  <c r="AN21" i="104" s="1"/>
  <c r="Z22" i="104"/>
  <c r="AL22" i="104" s="1"/>
  <c r="AP22" i="104" s="1"/>
  <c r="X22" i="104"/>
  <c r="AJ22" i="104" s="1"/>
  <c r="AN22" i="104" s="1"/>
  <c r="Y22" i="104"/>
  <c r="AK22" i="104" s="1"/>
  <c r="AO22" i="104" s="1"/>
  <c r="BH22" i="104"/>
  <c r="AH25" i="104"/>
  <c r="Z26" i="104"/>
  <c r="AL26" i="104" s="1"/>
  <c r="AP26" i="104" s="1"/>
  <c r="X26" i="104"/>
  <c r="AJ26" i="104" s="1"/>
  <c r="AN26" i="104" s="1"/>
  <c r="Y26" i="104"/>
  <c r="AK26" i="104" s="1"/>
  <c r="AO26" i="104" s="1"/>
  <c r="BH26" i="104"/>
  <c r="AR22" i="104" l="1"/>
  <c r="AZ22" i="104"/>
  <c r="BB20" i="104"/>
  <c r="AT20" i="104"/>
  <c r="AS23" i="104"/>
  <c r="BA23" i="104"/>
  <c r="AR24" i="104"/>
  <c r="AZ24" i="104"/>
  <c r="AZ19" i="104"/>
  <c r="AR19" i="104"/>
  <c r="AZ15" i="104"/>
  <c r="AR15" i="104"/>
  <c r="AZ21" i="104"/>
  <c r="AR21" i="104"/>
  <c r="AT19" i="104"/>
  <c r="BB19" i="104"/>
  <c r="AS21" i="104"/>
  <c r="BA21" i="104"/>
  <c r="AS16" i="104"/>
  <c r="BA16" i="104"/>
  <c r="AR26" i="104"/>
  <c r="AZ26" i="104"/>
  <c r="AZ23" i="104"/>
  <c r="AR23" i="104"/>
  <c r="AZ16" i="104"/>
  <c r="AR16" i="104"/>
  <c r="A11" i="104"/>
  <c r="B12" i="104"/>
  <c r="AR20" i="104"/>
  <c r="AZ20" i="104"/>
  <c r="BA10" i="104"/>
  <c r="AS10" i="104"/>
  <c r="AT23" i="104"/>
  <c r="BB23" i="104"/>
  <c r="BA12" i="104"/>
  <c r="AS12" i="104"/>
  <c r="AT10" i="104"/>
  <c r="BB10" i="104"/>
  <c r="BB26" i="104"/>
  <c r="AT26" i="104"/>
  <c r="AS22" i="104"/>
  <c r="BA22" i="104"/>
  <c r="AS24" i="104"/>
  <c r="BA24" i="104"/>
  <c r="AK9" i="104"/>
  <c r="AO9" i="104" s="1"/>
  <c r="AT25" i="104"/>
  <c r="BB25" i="104"/>
  <c r="AR12" i="104"/>
  <c r="AZ12" i="104"/>
  <c r="AT11" i="104"/>
  <c r="BB11" i="104"/>
  <c r="AJ25" i="104"/>
  <c r="AN25" i="104" s="1"/>
  <c r="AX18" i="104"/>
  <c r="BF18" i="104"/>
  <c r="AZ13" i="104"/>
  <c r="AR13" i="104"/>
  <c r="BA19" i="104"/>
  <c r="AS19" i="104"/>
  <c r="BB12" i="104"/>
  <c r="AT12" i="104"/>
  <c r="AZ9" i="104"/>
  <c r="AR9" i="104"/>
  <c r="BF14" i="104"/>
  <c r="AX14" i="104"/>
  <c r="AW17" i="104"/>
  <c r="BE17" i="104"/>
  <c r="AW20" i="104"/>
  <c r="BE20" i="104"/>
  <c r="BB9" i="104"/>
  <c r="AT9" i="104"/>
  <c r="AW18" i="104"/>
  <c r="BE18" i="104"/>
  <c r="AS26" i="104"/>
  <c r="BA26" i="104"/>
  <c r="BB22" i="104"/>
  <c r="AT22" i="104"/>
  <c r="BB24" i="104"/>
  <c r="AT24" i="104"/>
  <c r="AV17" i="104"/>
  <c r="BD17" i="104"/>
  <c r="AT21" i="104"/>
  <c r="BB21" i="104"/>
  <c r="BB13" i="104"/>
  <c r="AT13" i="104"/>
  <c r="BE15" i="104"/>
  <c r="AW15" i="104"/>
  <c r="AZ10" i="104"/>
  <c r="AR10" i="104"/>
  <c r="BE14" i="104"/>
  <c r="AW14" i="104"/>
  <c r="BD14" i="104"/>
  <c r="AV14" i="104"/>
  <c r="BE11" i="104"/>
  <c r="AW11" i="104"/>
  <c r="BB16" i="104"/>
  <c r="AT16" i="104"/>
  <c r="AS25" i="104"/>
  <c r="BA25" i="104"/>
  <c r="AS13" i="104"/>
  <c r="BA13" i="104"/>
  <c r="BB15" i="104"/>
  <c r="AT15" i="104"/>
  <c r="AZ11" i="104"/>
  <c r="AR11" i="104"/>
  <c r="BE25" i="104" l="1"/>
  <c r="AW25" i="104"/>
  <c r="AX21" i="104"/>
  <c r="BF21" i="104"/>
  <c r="AW26" i="104"/>
  <c r="BE26" i="104"/>
  <c r="BE13" i="104"/>
  <c r="AW13" i="104"/>
  <c r="AX26" i="104"/>
  <c r="BF26" i="104"/>
  <c r="BE12" i="104"/>
  <c r="AW12" i="104"/>
  <c r="AW10" i="104"/>
  <c r="BE10" i="104"/>
  <c r="A12" i="104"/>
  <c r="B13" i="104"/>
  <c r="BD23" i="104"/>
  <c r="AV23" i="104"/>
  <c r="AV15" i="104"/>
  <c r="BD15" i="104"/>
  <c r="AX20" i="104"/>
  <c r="BF20" i="104"/>
  <c r="BF15" i="104"/>
  <c r="AX15" i="104"/>
  <c r="AX24" i="104"/>
  <c r="BF24" i="104"/>
  <c r="AX9" i="104"/>
  <c r="BF9" i="104"/>
  <c r="BD9" i="104"/>
  <c r="AV9" i="104"/>
  <c r="BE19" i="104"/>
  <c r="AW19" i="104"/>
  <c r="AX11" i="104"/>
  <c r="BF11" i="104"/>
  <c r="AX25" i="104"/>
  <c r="BF25" i="104"/>
  <c r="AW24" i="104"/>
  <c r="BE24" i="104"/>
  <c r="BE16" i="104"/>
  <c r="AW16" i="104"/>
  <c r="BF19" i="104"/>
  <c r="AX19" i="104"/>
  <c r="BD24" i="104"/>
  <c r="AV24" i="104"/>
  <c r="BD16" i="104"/>
  <c r="AV16" i="104"/>
  <c r="BD21" i="104"/>
  <c r="AV21" i="104"/>
  <c r="AV19" i="104"/>
  <c r="BD19" i="104"/>
  <c r="BD11" i="104"/>
  <c r="AV11" i="104"/>
  <c r="AX16" i="104"/>
  <c r="BF16" i="104"/>
  <c r="AV10" i="104"/>
  <c r="BD10" i="104"/>
  <c r="AX13" i="104"/>
  <c r="BF13" i="104"/>
  <c r="AX22" i="104"/>
  <c r="BF22" i="104"/>
  <c r="BF12" i="104"/>
  <c r="AX12" i="104"/>
  <c r="BD13" i="104"/>
  <c r="AV13" i="104"/>
  <c r="AZ25" i="104"/>
  <c r="AR25" i="104"/>
  <c r="AV12" i="104"/>
  <c r="BD12" i="104"/>
  <c r="AS9" i="104"/>
  <c r="BA9" i="104"/>
  <c r="AW22" i="104"/>
  <c r="BE22" i="104"/>
  <c r="BF10" i="104"/>
  <c r="AX10" i="104"/>
  <c r="AX23" i="104"/>
  <c r="BF23" i="104"/>
  <c r="BD20" i="104"/>
  <c r="AV20" i="104"/>
  <c r="BD26" i="104"/>
  <c r="AV26" i="104"/>
  <c r="BE21" i="104"/>
  <c r="AW21" i="104"/>
  <c r="BE23" i="104"/>
  <c r="AW23" i="104"/>
  <c r="BD22" i="104"/>
  <c r="AV22" i="104"/>
  <c r="BE9" i="104" l="1"/>
  <c r="AW9" i="104"/>
  <c r="B14" i="104"/>
  <c r="A13" i="104"/>
  <c r="BD25" i="104"/>
  <c r="AV25" i="104"/>
  <c r="A14" i="104" l="1"/>
  <c r="B15" i="104"/>
  <c r="A15" i="104" l="1"/>
  <c r="B16" i="104"/>
  <c r="B17" i="104" l="1"/>
  <c r="A16" i="104"/>
  <c r="A17" i="104" l="1"/>
  <c r="B18" i="104"/>
  <c r="B19" i="104" l="1"/>
  <c r="A18" i="104"/>
  <c r="A19" i="104" l="1"/>
  <c r="B20" i="104"/>
  <c r="A20" i="104" l="1"/>
  <c r="B21" i="104"/>
  <c r="A21" i="104" l="1"/>
  <c r="B22" i="104"/>
  <c r="A22" i="104" l="1"/>
  <c r="B23" i="104"/>
  <c r="A23" i="104" l="1"/>
  <c r="B24" i="104"/>
  <c r="A24" i="104" l="1"/>
  <c r="B25" i="104"/>
  <c r="A25" i="104" l="1"/>
  <c r="B26" i="104"/>
  <c r="A26" i="104" l="1"/>
  <c r="B27" i="104"/>
  <c r="A27" i="104" l="1"/>
  <c r="B28" i="104"/>
  <c r="B29" i="104" l="1"/>
  <c r="A28" i="104"/>
  <c r="B30" i="104" l="1"/>
  <c r="A29" i="104"/>
  <c r="B31" i="104" l="1"/>
  <c r="A30" i="104"/>
  <c r="A31" i="104" l="1"/>
  <c r="B32" i="104"/>
  <c r="A32" i="104" l="1"/>
  <c r="AC7" i="104" l="1"/>
  <c r="X7" i="104"/>
  <c r="Y7" i="104"/>
  <c r="AT7" i="104"/>
  <c r="Z7" i="104"/>
  <c r="H7" i="104"/>
  <c r="AH7" i="104"/>
  <c r="AJ7" i="104" s="1"/>
  <c r="AB7" i="104"/>
  <c r="AS7" i="104"/>
  <c r="Q7" i="104"/>
  <c r="P7" i="104"/>
  <c r="I7" i="104"/>
  <c r="AR7" i="104"/>
  <c r="E7" i="104"/>
  <c r="F7" i="104"/>
  <c r="J7" i="104"/>
  <c r="D7" i="104"/>
  <c r="L7" i="104" s="1"/>
  <c r="AX7" i="104" l="1"/>
  <c r="BF7" i="104"/>
  <c r="N7" i="104"/>
  <c r="AN7" i="104"/>
  <c r="AZ7" i="104" s="1"/>
  <c r="AK7" i="104"/>
  <c r="AO7" i="104" s="1"/>
  <c r="BA7" i="104" s="1"/>
  <c r="M7" i="104"/>
  <c r="R7" i="104"/>
  <c r="U7" i="104" s="1"/>
  <c r="BH7" i="104"/>
  <c r="BD7" i="104"/>
  <c r="AV7" i="104"/>
  <c r="BE7" i="104"/>
  <c r="AW7" i="104"/>
  <c r="AL7" i="104"/>
  <c r="AP7" i="104" s="1"/>
  <c r="BB7" i="104" s="1"/>
  <c r="AD7" i="104"/>
  <c r="AF7" i="104" s="1"/>
  <c r="V7" i="104" l="1"/>
  <c r="T7" i="104"/>
  <c r="J40" i="103" l="1"/>
  <c r="M39" i="103"/>
  <c r="N39" i="103" s="1"/>
  <c r="O39" i="103" s="1"/>
  <c r="L39" i="103"/>
  <c r="K39" i="103"/>
  <c r="D39" i="103"/>
  <c r="E39" i="103" s="1"/>
  <c r="F39" i="103" s="1"/>
  <c r="G39" i="103" s="1"/>
  <c r="H39" i="103" s="1"/>
  <c r="I39" i="103" s="1"/>
  <c r="L38" i="103"/>
  <c r="M38" i="103" s="1"/>
  <c r="N38" i="103" s="1"/>
  <c r="O38" i="103" s="1"/>
  <c r="K38" i="103"/>
  <c r="D38" i="103"/>
  <c r="E38" i="103" s="1"/>
  <c r="F38" i="103" s="1"/>
  <c r="G38" i="103" s="1"/>
  <c r="H38" i="103" s="1"/>
  <c r="I38" i="103" s="1"/>
  <c r="K37" i="103"/>
  <c r="J37" i="103"/>
  <c r="D37" i="103"/>
  <c r="D34" i="103"/>
  <c r="K33" i="103"/>
  <c r="L33" i="103" s="1"/>
  <c r="M33" i="103" s="1"/>
  <c r="N33" i="103" s="1"/>
  <c r="O33" i="103" s="1"/>
  <c r="G33" i="103"/>
  <c r="H33" i="103" s="1"/>
  <c r="I33" i="103" s="1"/>
  <c r="F33" i="103"/>
  <c r="E33" i="103"/>
  <c r="D33" i="103"/>
  <c r="K32" i="103"/>
  <c r="L32" i="103" s="1"/>
  <c r="M32" i="103" s="1"/>
  <c r="N32" i="103" s="1"/>
  <c r="O32" i="103" s="1"/>
  <c r="F32" i="103"/>
  <c r="G32" i="103" s="1"/>
  <c r="H32" i="103" s="1"/>
  <c r="I32" i="103" s="1"/>
  <c r="E32" i="103"/>
  <c r="D32" i="103"/>
  <c r="J31" i="103"/>
  <c r="E31" i="103"/>
  <c r="E34" i="103" s="1"/>
  <c r="D31" i="103"/>
  <c r="J28" i="103"/>
  <c r="D28" i="103"/>
  <c r="M27" i="103"/>
  <c r="N27" i="103" s="1"/>
  <c r="O27" i="103" s="1"/>
  <c r="L27" i="103"/>
  <c r="K27" i="103"/>
  <c r="E27" i="103"/>
  <c r="F27" i="103" s="1"/>
  <c r="G27" i="103" s="1"/>
  <c r="H27" i="103" s="1"/>
  <c r="I27" i="103" s="1"/>
  <c r="K26" i="103"/>
  <c r="L26" i="103" s="1"/>
  <c r="M26" i="103" s="1"/>
  <c r="N26" i="103" s="1"/>
  <c r="O26" i="103" s="1"/>
  <c r="F26" i="103"/>
  <c r="G26" i="103" s="1"/>
  <c r="H26" i="103" s="1"/>
  <c r="I26" i="103" s="1"/>
  <c r="E26" i="103"/>
  <c r="M25" i="103"/>
  <c r="N25" i="103" s="1"/>
  <c r="L25" i="103"/>
  <c r="K25" i="103"/>
  <c r="E25" i="103"/>
  <c r="F25" i="103" s="1"/>
  <c r="G25" i="103" s="1"/>
  <c r="J22" i="103"/>
  <c r="D22" i="103"/>
  <c r="K21" i="103"/>
  <c r="L21" i="103" s="1"/>
  <c r="M21" i="103" s="1"/>
  <c r="N21" i="103" s="1"/>
  <c r="O21" i="103" s="1"/>
  <c r="F21" i="103"/>
  <c r="G21" i="103" s="1"/>
  <c r="H21" i="103" s="1"/>
  <c r="I21" i="103" s="1"/>
  <c r="E21" i="103"/>
  <c r="M20" i="103"/>
  <c r="N20" i="103" s="1"/>
  <c r="O20" i="103" s="1"/>
  <c r="L20" i="103"/>
  <c r="K20" i="103"/>
  <c r="E20" i="103"/>
  <c r="F20" i="103" s="1"/>
  <c r="G20" i="103" s="1"/>
  <c r="H20" i="103" s="1"/>
  <c r="I20" i="103" s="1"/>
  <c r="K19" i="103"/>
  <c r="K22" i="103" s="1"/>
  <c r="G19" i="103"/>
  <c r="H19" i="103" s="1"/>
  <c r="I19" i="103" s="1"/>
  <c r="F19" i="103"/>
  <c r="E19" i="103"/>
  <c r="L7" i="103"/>
  <c r="M7" i="103" s="1"/>
  <c r="N7" i="103" s="1"/>
  <c r="O7" i="103" s="1"/>
  <c r="K7" i="103"/>
  <c r="O25" i="103" l="1"/>
  <c r="O28" i="103" s="1"/>
  <c r="N28" i="103"/>
  <c r="I22" i="103"/>
  <c r="G28" i="103"/>
  <c r="L28" i="103"/>
  <c r="H25" i="103"/>
  <c r="E28" i="103"/>
  <c r="M28" i="103"/>
  <c r="F31" i="103"/>
  <c r="E22" i="103"/>
  <c r="L19" i="103"/>
  <c r="G22" i="103"/>
  <c r="F28" i="103"/>
  <c r="D40" i="103"/>
  <c r="E37" i="103"/>
  <c r="K40" i="103"/>
  <c r="L37" i="103"/>
  <c r="F22" i="103"/>
  <c r="H22" i="103"/>
  <c r="K28" i="103"/>
  <c r="J34" i="103"/>
  <c r="K31" i="103"/>
  <c r="L31" i="103" l="1"/>
  <c r="K34" i="103"/>
  <c r="F37" i="103"/>
  <c r="E40" i="103"/>
  <c r="M19" i="103"/>
  <c r="L22" i="103"/>
  <c r="L40" i="103"/>
  <c r="M37" i="103"/>
  <c r="H28" i="103"/>
  <c r="I25" i="103"/>
  <c r="I28" i="103" s="1"/>
  <c r="F34" i="103"/>
  <c r="G31" i="103"/>
  <c r="N19" i="103" l="1"/>
  <c r="M22" i="103"/>
  <c r="H31" i="103"/>
  <c r="G34" i="103"/>
  <c r="N37" i="103"/>
  <c r="M40" i="103"/>
  <c r="F40" i="103"/>
  <c r="G37" i="103"/>
  <c r="L34" i="103"/>
  <c r="M31" i="103"/>
  <c r="N40" i="103" l="1"/>
  <c r="O37" i="103"/>
  <c r="O40" i="103" s="1"/>
  <c r="G40" i="103"/>
  <c r="H37" i="103"/>
  <c r="H34" i="103"/>
  <c r="I31" i="103"/>
  <c r="I34" i="103" s="1"/>
  <c r="N22" i="103"/>
  <c r="O19" i="103"/>
  <c r="O22" i="103" s="1"/>
  <c r="M34" i="103"/>
  <c r="N31" i="103"/>
  <c r="N34" i="103" l="1"/>
  <c r="O31" i="103"/>
  <c r="O34" i="103" s="1"/>
  <c r="H40" i="103"/>
  <c r="I37" i="103"/>
  <c r="I40" i="103" s="1"/>
  <c r="G40" i="77" l="1"/>
  <c r="H40" i="77"/>
  <c r="I40" i="77"/>
  <c r="J40" i="77"/>
  <c r="K40" i="77"/>
  <c r="L40" i="77"/>
  <c r="M40" i="77"/>
  <c r="N40" i="77"/>
  <c r="O40" i="77"/>
  <c r="P40" i="77"/>
  <c r="Q40" i="77"/>
  <c r="F40" i="77"/>
  <c r="G27" i="96" l="1"/>
  <c r="G26" i="96"/>
  <c r="F28" i="96"/>
  <c r="G785" i="77" l="1"/>
  <c r="H785" i="77"/>
  <c r="I785" i="77"/>
  <c r="J785" i="77"/>
  <c r="K785" i="77"/>
  <c r="L785" i="77"/>
  <c r="M785" i="77"/>
  <c r="N785" i="77"/>
  <c r="O785" i="77"/>
  <c r="P785" i="77"/>
  <c r="Q785" i="77"/>
  <c r="F785" i="77"/>
  <c r="G739" i="77"/>
  <c r="H739" i="77"/>
  <c r="I739" i="77"/>
  <c r="J739" i="77"/>
  <c r="K739" i="77"/>
  <c r="L739" i="77"/>
  <c r="M739" i="77"/>
  <c r="N739" i="77"/>
  <c r="O739" i="77"/>
  <c r="P739" i="77"/>
  <c r="Q739" i="77"/>
  <c r="F739" i="77"/>
  <c r="G684" i="77"/>
  <c r="H684" i="77"/>
  <c r="I684" i="77"/>
  <c r="J684" i="77"/>
  <c r="K684" i="77"/>
  <c r="L684" i="77"/>
  <c r="M684" i="77"/>
  <c r="N684" i="77"/>
  <c r="O684" i="77"/>
  <c r="P684" i="77"/>
  <c r="Q684" i="77"/>
  <c r="F684" i="77"/>
  <c r="G589" i="77"/>
  <c r="H589" i="77"/>
  <c r="I589" i="77"/>
  <c r="J589" i="77"/>
  <c r="K589" i="77"/>
  <c r="L589" i="77"/>
  <c r="M589" i="77"/>
  <c r="N589" i="77"/>
  <c r="O589" i="77"/>
  <c r="P589" i="77"/>
  <c r="Q589" i="77"/>
  <c r="F589" i="77"/>
  <c r="G546" i="77"/>
  <c r="H546" i="77"/>
  <c r="I546" i="77"/>
  <c r="J546" i="77"/>
  <c r="K546" i="77"/>
  <c r="L546" i="77"/>
  <c r="M546" i="77"/>
  <c r="N546" i="77"/>
  <c r="O546" i="77"/>
  <c r="P546" i="77"/>
  <c r="Q546" i="77"/>
  <c r="F546" i="77"/>
  <c r="G428" i="77"/>
  <c r="G465" i="77" s="1"/>
  <c r="H428" i="77"/>
  <c r="H465" i="77" s="1"/>
  <c r="I428" i="77"/>
  <c r="I465" i="77" s="1"/>
  <c r="J428" i="77"/>
  <c r="J465" i="77" s="1"/>
  <c r="K428" i="77"/>
  <c r="K465" i="77" s="1"/>
  <c r="L428" i="77"/>
  <c r="L465" i="77" s="1"/>
  <c r="M428" i="77"/>
  <c r="M465" i="77" s="1"/>
  <c r="N428" i="77"/>
  <c r="N465" i="77" s="1"/>
  <c r="O428" i="77"/>
  <c r="O465" i="77" s="1"/>
  <c r="P428" i="77"/>
  <c r="P465" i="77" s="1"/>
  <c r="Q428" i="77"/>
  <c r="Q465" i="77" s="1"/>
  <c r="F428" i="77"/>
  <c r="F465" i="77" s="1"/>
  <c r="G382" i="77"/>
  <c r="H382" i="77"/>
  <c r="I382" i="77"/>
  <c r="J382" i="77"/>
  <c r="K382" i="77"/>
  <c r="L382" i="77"/>
  <c r="M382" i="77"/>
  <c r="N382" i="77"/>
  <c r="O382" i="77"/>
  <c r="P382" i="77"/>
  <c r="Q382" i="77"/>
  <c r="F382" i="77"/>
  <c r="G296" i="77"/>
  <c r="H296" i="77"/>
  <c r="I296" i="77"/>
  <c r="J296" i="77"/>
  <c r="K296" i="77"/>
  <c r="L296" i="77"/>
  <c r="M296" i="77"/>
  <c r="N296" i="77"/>
  <c r="O296" i="77"/>
  <c r="P296" i="77"/>
  <c r="Q296" i="77"/>
  <c r="F296" i="77"/>
  <c r="G258" i="77"/>
  <c r="H258" i="77"/>
  <c r="I258" i="77"/>
  <c r="J258" i="77"/>
  <c r="K258" i="77"/>
  <c r="L258" i="77"/>
  <c r="M258" i="77"/>
  <c r="N258" i="77"/>
  <c r="O258" i="77"/>
  <c r="P258" i="77"/>
  <c r="Q258" i="77"/>
  <c r="F258" i="77"/>
  <c r="G212" i="77"/>
  <c r="H212" i="77"/>
  <c r="I212" i="77"/>
  <c r="J212" i="77"/>
  <c r="K212" i="77"/>
  <c r="L212" i="77"/>
  <c r="M212" i="77"/>
  <c r="N212" i="77"/>
  <c r="O212" i="77"/>
  <c r="P212" i="77"/>
  <c r="Q212" i="77"/>
  <c r="F212" i="77"/>
  <c r="G142" i="77" l="1"/>
  <c r="H142" i="77"/>
  <c r="I142" i="77"/>
  <c r="J142" i="77"/>
  <c r="K142" i="77"/>
  <c r="L142" i="77"/>
  <c r="M142" i="77"/>
  <c r="N142" i="77"/>
  <c r="O142" i="77"/>
  <c r="P142" i="77"/>
  <c r="Q142" i="77"/>
  <c r="F142" i="77"/>
  <c r="G120" i="77"/>
  <c r="H120" i="77"/>
  <c r="I120" i="77"/>
  <c r="J120" i="77"/>
  <c r="K120" i="77"/>
  <c r="L120" i="77"/>
  <c r="M120" i="77"/>
  <c r="N120" i="77"/>
  <c r="O120" i="77"/>
  <c r="P120" i="77"/>
  <c r="Q120" i="77"/>
  <c r="F120" i="77"/>
  <c r="G98" i="77"/>
  <c r="H98" i="77"/>
  <c r="I98" i="77"/>
  <c r="J98" i="77"/>
  <c r="K98" i="77"/>
  <c r="L98" i="77"/>
  <c r="M98" i="77"/>
  <c r="N98" i="77"/>
  <c r="O98" i="77"/>
  <c r="P98" i="77"/>
  <c r="Q98" i="77"/>
  <c r="F98" i="77"/>
  <c r="E18" i="98" l="1"/>
  <c r="G701" i="77" l="1"/>
  <c r="G717" i="77" s="1"/>
  <c r="H701" i="77"/>
  <c r="H717" i="77" s="1"/>
  <c r="I701" i="77"/>
  <c r="I717" i="77" s="1"/>
  <c r="J701" i="77"/>
  <c r="J717" i="77" s="1"/>
  <c r="K701" i="77"/>
  <c r="K717" i="77" s="1"/>
  <c r="L701" i="77"/>
  <c r="L717" i="77" s="1"/>
  <c r="M701" i="77"/>
  <c r="M717" i="77" s="1"/>
  <c r="N701" i="77"/>
  <c r="N717" i="77" s="1"/>
  <c r="O701" i="77"/>
  <c r="O717" i="77" s="1"/>
  <c r="P701" i="77"/>
  <c r="P717" i="77" s="1"/>
  <c r="Q701" i="77"/>
  <c r="Q717" i="77" s="1"/>
  <c r="F701" i="77"/>
  <c r="F717" i="77" s="1"/>
  <c r="G559" i="77"/>
  <c r="G571" i="77" s="1"/>
  <c r="H559" i="77"/>
  <c r="H571" i="77" s="1"/>
  <c r="I559" i="77"/>
  <c r="I571" i="77" s="1"/>
  <c r="J559" i="77"/>
  <c r="J571" i="77" s="1"/>
  <c r="K559" i="77"/>
  <c r="K571" i="77" s="1"/>
  <c r="L559" i="77"/>
  <c r="L571" i="77" s="1"/>
  <c r="M559" i="77"/>
  <c r="M571" i="77" s="1"/>
  <c r="N559" i="77"/>
  <c r="N571" i="77" s="1"/>
  <c r="O559" i="77"/>
  <c r="O571" i="77" s="1"/>
  <c r="P559" i="77"/>
  <c r="P571" i="77" s="1"/>
  <c r="Q559" i="77"/>
  <c r="Q571" i="77" s="1"/>
  <c r="F559" i="77"/>
  <c r="F571" i="77" s="1"/>
  <c r="G396" i="77"/>
  <c r="G409" i="77" s="1"/>
  <c r="H396" i="77"/>
  <c r="H409" i="77" s="1"/>
  <c r="I396" i="77"/>
  <c r="I409" i="77" s="1"/>
  <c r="J396" i="77"/>
  <c r="J409" i="77" s="1"/>
  <c r="K396" i="77"/>
  <c r="K409" i="77" s="1"/>
  <c r="L396" i="77"/>
  <c r="L409" i="77" s="1"/>
  <c r="M396" i="77"/>
  <c r="M409" i="77" s="1"/>
  <c r="N396" i="77"/>
  <c r="N409" i="77" s="1"/>
  <c r="O396" i="77"/>
  <c r="O409" i="77" s="1"/>
  <c r="P396" i="77"/>
  <c r="P409" i="77" s="1"/>
  <c r="Q396" i="77"/>
  <c r="Q409" i="77" s="1"/>
  <c r="F396" i="77"/>
  <c r="F409" i="77" s="1"/>
  <c r="G798" i="77"/>
  <c r="G813" i="77" s="1"/>
  <c r="H798" i="77"/>
  <c r="H813" i="77" s="1"/>
  <c r="I798" i="77"/>
  <c r="I813" i="77" s="1"/>
  <c r="J798" i="77"/>
  <c r="J813" i="77" s="1"/>
  <c r="K798" i="77"/>
  <c r="K813" i="77" s="1"/>
  <c r="L798" i="77"/>
  <c r="L813" i="77" s="1"/>
  <c r="M798" i="77"/>
  <c r="M813" i="77" s="1"/>
  <c r="N798" i="77"/>
  <c r="N813" i="77" s="1"/>
  <c r="O798" i="77"/>
  <c r="O813" i="77" s="1"/>
  <c r="P798" i="77"/>
  <c r="P813" i="77" s="1"/>
  <c r="Q798" i="77"/>
  <c r="Q813" i="77" s="1"/>
  <c r="F798" i="77"/>
  <c r="F813" i="77" s="1"/>
  <c r="G598" i="77"/>
  <c r="G609" i="77" s="1"/>
  <c r="G1042" i="77" s="1"/>
  <c r="G1060" i="77" s="1"/>
  <c r="H598" i="77"/>
  <c r="H609" i="77" s="1"/>
  <c r="H1042" i="77" s="1"/>
  <c r="H1060" i="77" s="1"/>
  <c r="I598" i="77"/>
  <c r="I609" i="77" s="1"/>
  <c r="I1042" i="77" s="1"/>
  <c r="I1060" i="77" s="1"/>
  <c r="J598" i="77"/>
  <c r="J609" i="77" s="1"/>
  <c r="J1042" i="77" s="1"/>
  <c r="J1060" i="77" s="1"/>
  <c r="K598" i="77"/>
  <c r="K609" i="77" s="1"/>
  <c r="K1042" i="77" s="1"/>
  <c r="K1060" i="77" s="1"/>
  <c r="L598" i="77"/>
  <c r="L609" i="77" s="1"/>
  <c r="L1042" i="77" s="1"/>
  <c r="L1060" i="77" s="1"/>
  <c r="M598" i="77"/>
  <c r="M609" i="77" s="1"/>
  <c r="M1042" i="77" s="1"/>
  <c r="M1060" i="77" s="1"/>
  <c r="N598" i="77"/>
  <c r="N609" i="77" s="1"/>
  <c r="N1042" i="77" s="1"/>
  <c r="N1060" i="77" s="1"/>
  <c r="O598" i="77"/>
  <c r="O609" i="77" s="1"/>
  <c r="O1042" i="77" s="1"/>
  <c r="O1060" i="77" s="1"/>
  <c r="P598" i="77"/>
  <c r="P609" i="77" s="1"/>
  <c r="P1042" i="77" s="1"/>
  <c r="P1060" i="77" s="1"/>
  <c r="Q598" i="77"/>
  <c r="Q609" i="77" s="1"/>
  <c r="Q1042" i="77" s="1"/>
  <c r="Q1060" i="77" s="1"/>
  <c r="F598" i="77"/>
  <c r="F609" i="77" s="1"/>
  <c r="F1042" i="77" s="1"/>
  <c r="G475" i="77"/>
  <c r="G487" i="77" s="1"/>
  <c r="H475" i="77"/>
  <c r="H487" i="77" s="1"/>
  <c r="I475" i="77"/>
  <c r="I487" i="77" s="1"/>
  <c r="J475" i="77"/>
  <c r="J487" i="77" s="1"/>
  <c r="K475" i="77"/>
  <c r="K487" i="77" s="1"/>
  <c r="L475" i="77"/>
  <c r="L487" i="77" s="1"/>
  <c r="M475" i="77"/>
  <c r="M487" i="77" s="1"/>
  <c r="N475" i="77"/>
  <c r="N487" i="77" s="1"/>
  <c r="O475" i="77"/>
  <c r="O487" i="77" s="1"/>
  <c r="P475" i="77"/>
  <c r="P487" i="77" s="1"/>
  <c r="Q475" i="77"/>
  <c r="Q487" i="77" s="1"/>
  <c r="F475" i="77"/>
  <c r="F487" i="77" s="1"/>
  <c r="G306" i="77"/>
  <c r="G319" i="77" s="1"/>
  <c r="H306" i="77"/>
  <c r="H319" i="77" s="1"/>
  <c r="I306" i="77"/>
  <c r="I319" i="77" s="1"/>
  <c r="J306" i="77"/>
  <c r="J319" i="77" s="1"/>
  <c r="K306" i="77"/>
  <c r="K319" i="77" s="1"/>
  <c r="L306" i="77"/>
  <c r="L319" i="77" s="1"/>
  <c r="M306" i="77"/>
  <c r="M319" i="77" s="1"/>
  <c r="N306" i="77"/>
  <c r="N319" i="77" s="1"/>
  <c r="O306" i="77"/>
  <c r="O319" i="77" s="1"/>
  <c r="P306" i="77"/>
  <c r="P319" i="77" s="1"/>
  <c r="Q306" i="77"/>
  <c r="Q319" i="77" s="1"/>
  <c r="F306" i="77"/>
  <c r="F319" i="77" s="1"/>
  <c r="G124" i="77"/>
  <c r="G131" i="77" s="1"/>
  <c r="H124" i="77"/>
  <c r="H131" i="77" s="1"/>
  <c r="I124" i="77"/>
  <c r="I131" i="77" s="1"/>
  <c r="J124" i="77"/>
  <c r="J131" i="77" s="1"/>
  <c r="K124" i="77"/>
  <c r="K131" i="77" s="1"/>
  <c r="L124" i="77"/>
  <c r="L131" i="77" s="1"/>
  <c r="M124" i="77"/>
  <c r="M131" i="77" s="1"/>
  <c r="N124" i="77"/>
  <c r="N131" i="77" s="1"/>
  <c r="O124" i="77"/>
  <c r="O131" i="77" s="1"/>
  <c r="P124" i="77"/>
  <c r="P131" i="77" s="1"/>
  <c r="Q124" i="77"/>
  <c r="Q131" i="77" s="1"/>
  <c r="F124" i="77"/>
  <c r="F131" i="77" s="1"/>
  <c r="G57" i="77"/>
  <c r="G63" i="77" s="1"/>
  <c r="G1033" i="77" s="1"/>
  <c r="G1051" i="77" s="1"/>
  <c r="H57" i="77"/>
  <c r="H63" i="77" s="1"/>
  <c r="H1033" i="77" s="1"/>
  <c r="H1051" i="77" s="1"/>
  <c r="I57" i="77"/>
  <c r="I63" i="77" s="1"/>
  <c r="I1033" i="77" s="1"/>
  <c r="I1051" i="77" s="1"/>
  <c r="J57" i="77"/>
  <c r="J63" i="77" s="1"/>
  <c r="J1033" i="77" s="1"/>
  <c r="J1051" i="77" s="1"/>
  <c r="K57" i="77"/>
  <c r="K63" i="77" s="1"/>
  <c r="K1033" i="77" s="1"/>
  <c r="K1051" i="77" s="1"/>
  <c r="L57" i="77"/>
  <c r="L63" i="77" s="1"/>
  <c r="L1033" i="77" s="1"/>
  <c r="L1051" i="77" s="1"/>
  <c r="M57" i="77"/>
  <c r="M63" i="77" s="1"/>
  <c r="M1033" i="77" s="1"/>
  <c r="M1051" i="77" s="1"/>
  <c r="N57" i="77"/>
  <c r="N63" i="77" s="1"/>
  <c r="N1033" i="77" s="1"/>
  <c r="N1051" i="77" s="1"/>
  <c r="O57" i="77"/>
  <c r="O63" i="77" s="1"/>
  <c r="O1033" i="77" s="1"/>
  <c r="O1051" i="77" s="1"/>
  <c r="P57" i="77"/>
  <c r="P63" i="77" s="1"/>
  <c r="P1033" i="77" s="1"/>
  <c r="P1051" i="77" s="1"/>
  <c r="Q57" i="77"/>
  <c r="Q63" i="77" s="1"/>
  <c r="Q1033" i="77" s="1"/>
  <c r="Q1051" i="77" s="1"/>
  <c r="F57" i="77"/>
  <c r="F1060" i="77" l="1"/>
  <c r="R1042" i="77"/>
  <c r="F20" i="96" s="1"/>
  <c r="G20" i="96" s="1"/>
  <c r="R813" i="77"/>
  <c r="R717" i="77"/>
  <c r="R609" i="77"/>
  <c r="R571" i="77"/>
  <c r="R319" i="77"/>
  <c r="R487" i="77"/>
  <c r="R409" i="77"/>
  <c r="R131" i="77"/>
  <c r="F63" i="77"/>
  <c r="F66" i="77"/>
  <c r="O248" i="102"/>
  <c r="N248" i="102"/>
  <c r="M248" i="102"/>
  <c r="L248" i="102"/>
  <c r="K248" i="102"/>
  <c r="J248" i="102"/>
  <c r="I248" i="102"/>
  <c r="H248" i="102"/>
  <c r="G248" i="102"/>
  <c r="F248" i="102"/>
  <c r="E248" i="102"/>
  <c r="D248" i="102"/>
  <c r="P248" i="102" s="1"/>
  <c r="O247" i="102"/>
  <c r="N247" i="102"/>
  <c r="M247" i="102"/>
  <c r="L247" i="102"/>
  <c r="K247" i="102"/>
  <c r="J247" i="102"/>
  <c r="I247" i="102"/>
  <c r="H247" i="102"/>
  <c r="G247" i="102"/>
  <c r="F247" i="102"/>
  <c r="E247" i="102"/>
  <c r="D247" i="102"/>
  <c r="P247" i="102" s="1"/>
  <c r="O246" i="102"/>
  <c r="N246" i="102"/>
  <c r="M246" i="102"/>
  <c r="L246" i="102"/>
  <c r="K246" i="102"/>
  <c r="J246" i="102"/>
  <c r="I246" i="102"/>
  <c r="H246" i="102"/>
  <c r="G246" i="102"/>
  <c r="F246" i="102"/>
  <c r="E246" i="102"/>
  <c r="D246" i="102"/>
  <c r="O245" i="102"/>
  <c r="N245" i="102"/>
  <c r="M245" i="102"/>
  <c r="L245" i="102"/>
  <c r="K245" i="102"/>
  <c r="J245" i="102"/>
  <c r="I245" i="102"/>
  <c r="H245" i="102"/>
  <c r="H249" i="102" s="1"/>
  <c r="H250" i="102" s="1"/>
  <c r="G245" i="102"/>
  <c r="F245" i="102"/>
  <c r="E245" i="102"/>
  <c r="D245" i="102"/>
  <c r="P245" i="102" s="1"/>
  <c r="O244" i="102"/>
  <c r="N244" i="102"/>
  <c r="M244" i="102"/>
  <c r="L244" i="102"/>
  <c r="K244" i="102"/>
  <c r="J244" i="102"/>
  <c r="I244" i="102"/>
  <c r="H244" i="102"/>
  <c r="G244" i="102"/>
  <c r="F244" i="102"/>
  <c r="E244" i="102"/>
  <c r="D244" i="102"/>
  <c r="P244" i="102" s="1"/>
  <c r="O243" i="102"/>
  <c r="N243" i="102"/>
  <c r="M243" i="102"/>
  <c r="L243" i="102"/>
  <c r="K243" i="102"/>
  <c r="J243" i="102"/>
  <c r="I243" i="102"/>
  <c r="H243" i="102"/>
  <c r="G243" i="102"/>
  <c r="F243" i="102"/>
  <c r="E243" i="102"/>
  <c r="D243" i="102"/>
  <c r="P243" i="102" s="1"/>
  <c r="O242" i="102"/>
  <c r="N242" i="102"/>
  <c r="M242" i="102"/>
  <c r="L242" i="102"/>
  <c r="K242" i="102"/>
  <c r="J242" i="102"/>
  <c r="I242" i="102"/>
  <c r="H242" i="102"/>
  <c r="G242" i="102"/>
  <c r="F242" i="102"/>
  <c r="E242" i="102"/>
  <c r="D242" i="102"/>
  <c r="O241" i="102"/>
  <c r="N241" i="102"/>
  <c r="M241" i="102"/>
  <c r="L241" i="102"/>
  <c r="K241" i="102"/>
  <c r="J241" i="102"/>
  <c r="I241" i="102"/>
  <c r="H241" i="102"/>
  <c r="G241" i="102"/>
  <c r="F241" i="102"/>
  <c r="E241" i="102"/>
  <c r="D241" i="102"/>
  <c r="P241" i="102" s="1"/>
  <c r="O240" i="102"/>
  <c r="N240" i="102"/>
  <c r="M240" i="102"/>
  <c r="L240" i="102"/>
  <c r="K240" i="102"/>
  <c r="J240" i="102"/>
  <c r="I240" i="102"/>
  <c r="H240" i="102"/>
  <c r="G240" i="102"/>
  <c r="F240" i="102"/>
  <c r="E240" i="102"/>
  <c r="D240" i="102"/>
  <c r="O239" i="102"/>
  <c r="N239" i="102"/>
  <c r="M239" i="102"/>
  <c r="L239" i="102"/>
  <c r="K239" i="102"/>
  <c r="J239" i="102"/>
  <c r="I239" i="102"/>
  <c r="H239" i="102"/>
  <c r="G239" i="102"/>
  <c r="F239" i="102"/>
  <c r="E239" i="102"/>
  <c r="D239" i="102"/>
  <c r="P239" i="102" s="1"/>
  <c r="O238" i="102"/>
  <c r="N238" i="102"/>
  <c r="M238" i="102"/>
  <c r="L238" i="102"/>
  <c r="K238" i="102"/>
  <c r="J238" i="102"/>
  <c r="I238" i="102"/>
  <c r="H238" i="102"/>
  <c r="G238" i="102"/>
  <c r="F238" i="102"/>
  <c r="E238" i="102"/>
  <c r="D238" i="102"/>
  <c r="P238" i="102" s="1"/>
  <c r="O237" i="102"/>
  <c r="N237" i="102"/>
  <c r="M237" i="102"/>
  <c r="L237" i="102"/>
  <c r="K237" i="102"/>
  <c r="J237" i="102"/>
  <c r="I237" i="102"/>
  <c r="H237" i="102"/>
  <c r="G237" i="102"/>
  <c r="F237" i="102"/>
  <c r="E237" i="102"/>
  <c r="D237" i="102"/>
  <c r="O236" i="102"/>
  <c r="N236" i="102"/>
  <c r="M236" i="102"/>
  <c r="M249" i="102" s="1"/>
  <c r="M250" i="102" s="1"/>
  <c r="L236" i="102"/>
  <c r="K236" i="102"/>
  <c r="J236" i="102"/>
  <c r="I236" i="102"/>
  <c r="I249" i="102" s="1"/>
  <c r="H236" i="102"/>
  <c r="G236" i="102"/>
  <c r="F236" i="102"/>
  <c r="E236" i="102"/>
  <c r="E249" i="102" s="1"/>
  <c r="D236" i="102"/>
  <c r="L228" i="102"/>
  <c r="L262" i="102" s="1"/>
  <c r="I228" i="102"/>
  <c r="I262" i="102" s="1"/>
  <c r="E228" i="102"/>
  <c r="E262" i="102" s="1"/>
  <c r="P221" i="102"/>
  <c r="O217" i="102"/>
  <c r="H217" i="102"/>
  <c r="P210" i="102"/>
  <c r="P203" i="102"/>
  <c r="P199" i="102"/>
  <c r="O194" i="102"/>
  <c r="N194" i="102"/>
  <c r="M194" i="102"/>
  <c r="L194" i="102"/>
  <c r="K194" i="102"/>
  <c r="J194" i="102"/>
  <c r="I194" i="102"/>
  <c r="H194" i="102"/>
  <c r="G194" i="102"/>
  <c r="F194" i="102"/>
  <c r="E194" i="102"/>
  <c r="D194" i="102"/>
  <c r="P194" i="102" s="1"/>
  <c r="O193" i="102"/>
  <c r="O228" i="102" s="1"/>
  <c r="O262" i="102" s="1"/>
  <c r="N193" i="102"/>
  <c r="N228" i="102" s="1"/>
  <c r="N262" i="102" s="1"/>
  <c r="M193" i="102"/>
  <c r="M228" i="102" s="1"/>
  <c r="M262" i="102" s="1"/>
  <c r="L193" i="102"/>
  <c r="K193" i="102"/>
  <c r="K228" i="102" s="1"/>
  <c r="K262" i="102" s="1"/>
  <c r="J193" i="102"/>
  <c r="J228" i="102" s="1"/>
  <c r="J262" i="102" s="1"/>
  <c r="I193" i="102"/>
  <c r="H193" i="102"/>
  <c r="H228" i="102" s="1"/>
  <c r="H262" i="102" s="1"/>
  <c r="G193" i="102"/>
  <c r="G228" i="102" s="1"/>
  <c r="G262" i="102" s="1"/>
  <c r="F193" i="102"/>
  <c r="F228" i="102" s="1"/>
  <c r="F262" i="102" s="1"/>
  <c r="E193" i="102"/>
  <c r="D193" i="102"/>
  <c r="D228" i="102" s="1"/>
  <c r="D262" i="102" s="1"/>
  <c r="O192" i="102"/>
  <c r="N192" i="102"/>
  <c r="M192" i="102"/>
  <c r="L192" i="102"/>
  <c r="K192" i="102"/>
  <c r="J192" i="102"/>
  <c r="I192" i="102"/>
  <c r="H192" i="102"/>
  <c r="G192" i="102"/>
  <c r="F192" i="102"/>
  <c r="E192" i="102"/>
  <c r="D192" i="102"/>
  <c r="P192" i="102" s="1"/>
  <c r="O191" i="102"/>
  <c r="N191" i="102"/>
  <c r="M191" i="102"/>
  <c r="L191" i="102"/>
  <c r="K191" i="102"/>
  <c r="J191" i="102"/>
  <c r="I191" i="102"/>
  <c r="H191" i="102"/>
  <c r="G191" i="102"/>
  <c r="F191" i="102"/>
  <c r="E191" i="102"/>
  <c r="D191" i="102"/>
  <c r="P191" i="102" s="1"/>
  <c r="O190" i="102"/>
  <c r="N190" i="102"/>
  <c r="M190" i="102"/>
  <c r="L190" i="102"/>
  <c r="K190" i="102"/>
  <c r="J190" i="102"/>
  <c r="I190" i="102"/>
  <c r="H190" i="102"/>
  <c r="G190" i="102"/>
  <c r="F190" i="102"/>
  <c r="E190" i="102"/>
  <c r="D190" i="102"/>
  <c r="C190" i="102"/>
  <c r="B190" i="102"/>
  <c r="O189" i="102"/>
  <c r="N189" i="102"/>
  <c r="M189" i="102"/>
  <c r="L189" i="102"/>
  <c r="K189" i="102"/>
  <c r="J189" i="102"/>
  <c r="I189" i="102"/>
  <c r="H189" i="102"/>
  <c r="G189" i="102"/>
  <c r="F189" i="102"/>
  <c r="E189" i="102"/>
  <c r="D189" i="102"/>
  <c r="P189" i="102" s="1"/>
  <c r="C189" i="102"/>
  <c r="B189" i="102"/>
  <c r="O188" i="102"/>
  <c r="N188" i="102"/>
  <c r="M188" i="102"/>
  <c r="L188" i="102"/>
  <c r="K188" i="102"/>
  <c r="J188" i="102"/>
  <c r="I188" i="102"/>
  <c r="H188" i="102"/>
  <c r="G188" i="102"/>
  <c r="F188" i="102"/>
  <c r="E188" i="102"/>
  <c r="D188" i="102"/>
  <c r="C188" i="102"/>
  <c r="B188" i="102"/>
  <c r="O187" i="102"/>
  <c r="N187" i="102"/>
  <c r="N195" i="102" s="1"/>
  <c r="M187" i="102"/>
  <c r="L187" i="102"/>
  <c r="L195" i="102" s="1"/>
  <c r="K187" i="102"/>
  <c r="J187" i="102"/>
  <c r="I187" i="102"/>
  <c r="H187" i="102"/>
  <c r="G187" i="102"/>
  <c r="F187" i="102"/>
  <c r="E187" i="102"/>
  <c r="D187" i="102"/>
  <c r="O186" i="102"/>
  <c r="N186" i="102"/>
  <c r="M186" i="102"/>
  <c r="L186" i="102"/>
  <c r="K186" i="102"/>
  <c r="J186" i="102"/>
  <c r="I186" i="102"/>
  <c r="I195" i="102" s="1"/>
  <c r="H186" i="102"/>
  <c r="G186" i="102"/>
  <c r="F186" i="102"/>
  <c r="E186" i="102"/>
  <c r="D186" i="102"/>
  <c r="P186" i="102" s="1"/>
  <c r="C186" i="102"/>
  <c r="B186" i="102"/>
  <c r="O185" i="102"/>
  <c r="N185" i="102"/>
  <c r="N217" i="102" s="1"/>
  <c r="M185" i="102"/>
  <c r="M217" i="102" s="1"/>
  <c r="L185" i="102"/>
  <c r="L217" i="102" s="1"/>
  <c r="K185" i="102"/>
  <c r="J185" i="102"/>
  <c r="I185" i="102"/>
  <c r="I217" i="102" s="1"/>
  <c r="H185" i="102"/>
  <c r="G185" i="102"/>
  <c r="F185" i="102"/>
  <c r="F217" i="102" s="1"/>
  <c r="E185" i="102"/>
  <c r="E217" i="102" s="1"/>
  <c r="D185" i="102"/>
  <c r="D217" i="102" s="1"/>
  <c r="O150" i="102"/>
  <c r="G150" i="102"/>
  <c r="L150" i="102"/>
  <c r="H150" i="102"/>
  <c r="D150" i="102"/>
  <c r="N150" i="102"/>
  <c r="J150" i="102"/>
  <c r="F150" i="102"/>
  <c r="P147" i="102"/>
  <c r="P113" i="102"/>
  <c r="P112" i="102"/>
  <c r="N82" i="102"/>
  <c r="N108" i="102" s="1"/>
  <c r="N123" i="102" s="1"/>
  <c r="N139" i="102" s="1"/>
  <c r="K82" i="102"/>
  <c r="K103" i="102" s="1"/>
  <c r="K118" i="102" s="1"/>
  <c r="K134" i="102" s="1"/>
  <c r="H82" i="102"/>
  <c r="H102" i="102" s="1"/>
  <c r="H117" i="102" s="1"/>
  <c r="H133" i="102" s="1"/>
  <c r="F82" i="102"/>
  <c r="F104" i="102" s="1"/>
  <c r="F119" i="102" s="1"/>
  <c r="F135" i="102" s="1"/>
  <c r="O82" i="102"/>
  <c r="O103" i="102" s="1"/>
  <c r="O118" i="102" s="1"/>
  <c r="O134" i="102" s="1"/>
  <c r="G82" i="102"/>
  <c r="G107" i="102" s="1"/>
  <c r="G122" i="102" s="1"/>
  <c r="G138" i="102" s="1"/>
  <c r="P81" i="102"/>
  <c r="M82" i="102"/>
  <c r="L82" i="102"/>
  <c r="L106" i="102" s="1"/>
  <c r="L121" i="102" s="1"/>
  <c r="L137" i="102" s="1"/>
  <c r="J82" i="102"/>
  <c r="J108" i="102" s="1"/>
  <c r="J123" i="102" s="1"/>
  <c r="J139" i="102" s="1"/>
  <c r="I82" i="102"/>
  <c r="I105" i="102" s="1"/>
  <c r="I120" i="102" s="1"/>
  <c r="I136" i="102" s="1"/>
  <c r="E82" i="102"/>
  <c r="E109" i="102" s="1"/>
  <c r="E124" i="102" s="1"/>
  <c r="E140" i="102" s="1"/>
  <c r="D82" i="102"/>
  <c r="D106" i="102" s="1"/>
  <c r="D121" i="102" s="1"/>
  <c r="D137" i="102" s="1"/>
  <c r="O77" i="102"/>
  <c r="O111" i="102" s="1"/>
  <c r="O126" i="102" s="1"/>
  <c r="O142" i="102" s="1"/>
  <c r="N77" i="102"/>
  <c r="M77" i="102"/>
  <c r="M111" i="102" s="1"/>
  <c r="M126" i="102" s="1"/>
  <c r="M142" i="102" s="1"/>
  <c r="L77" i="102"/>
  <c r="K77" i="102"/>
  <c r="K111" i="102" s="1"/>
  <c r="K126" i="102" s="1"/>
  <c r="K142" i="102" s="1"/>
  <c r="J77" i="102"/>
  <c r="I77" i="102"/>
  <c r="I111" i="102" s="1"/>
  <c r="I126" i="102" s="1"/>
  <c r="I142" i="102" s="1"/>
  <c r="H77" i="102"/>
  <c r="G77" i="102"/>
  <c r="G111" i="102" s="1"/>
  <c r="G126" i="102" s="1"/>
  <c r="G142" i="102" s="1"/>
  <c r="F77" i="102"/>
  <c r="E77" i="102"/>
  <c r="E111" i="102" s="1"/>
  <c r="E126" i="102" s="1"/>
  <c r="E142" i="102" s="1"/>
  <c r="D77" i="102"/>
  <c r="O76" i="102"/>
  <c r="N76" i="102"/>
  <c r="M76" i="102"/>
  <c r="L76" i="102"/>
  <c r="L109" i="102" s="1"/>
  <c r="L124" i="102" s="1"/>
  <c r="L140" i="102" s="1"/>
  <c r="K76" i="102"/>
  <c r="J76" i="102"/>
  <c r="I76" i="102"/>
  <c r="H76" i="102"/>
  <c r="H109" i="102" s="1"/>
  <c r="H124" i="102" s="1"/>
  <c r="H140" i="102" s="1"/>
  <c r="G76" i="102"/>
  <c r="F76" i="102"/>
  <c r="E76" i="102"/>
  <c r="D76" i="102"/>
  <c r="D109" i="102" s="1"/>
  <c r="O75" i="102"/>
  <c r="N75" i="102"/>
  <c r="M75" i="102"/>
  <c r="L75" i="102"/>
  <c r="K75" i="102"/>
  <c r="J75" i="102"/>
  <c r="I75" i="102"/>
  <c r="H75" i="102"/>
  <c r="H108" i="102" s="1"/>
  <c r="H123" i="102" s="1"/>
  <c r="H139" i="102" s="1"/>
  <c r="G75" i="102"/>
  <c r="F75" i="102"/>
  <c r="E75" i="102"/>
  <c r="D75" i="102"/>
  <c r="P75" i="102" s="1"/>
  <c r="O74" i="102"/>
  <c r="N74" i="102"/>
  <c r="M74" i="102"/>
  <c r="L74" i="102"/>
  <c r="L107" i="102" s="1"/>
  <c r="L122" i="102" s="1"/>
  <c r="L138" i="102" s="1"/>
  <c r="K74" i="102"/>
  <c r="J74" i="102"/>
  <c r="I74" i="102"/>
  <c r="H74" i="102"/>
  <c r="H107" i="102" s="1"/>
  <c r="H122" i="102" s="1"/>
  <c r="H138" i="102" s="1"/>
  <c r="G74" i="102"/>
  <c r="F74" i="102"/>
  <c r="E74" i="102"/>
  <c r="D74" i="102"/>
  <c r="D107" i="102" s="1"/>
  <c r="O73" i="102"/>
  <c r="O106" i="102" s="1"/>
  <c r="O121" i="102" s="1"/>
  <c r="O137" i="102" s="1"/>
  <c r="N73" i="102"/>
  <c r="M73" i="102"/>
  <c r="L73" i="102"/>
  <c r="K73" i="102"/>
  <c r="J73" i="102"/>
  <c r="I73" i="102"/>
  <c r="H73" i="102"/>
  <c r="G73" i="102"/>
  <c r="G106" i="102" s="1"/>
  <c r="G121" i="102" s="1"/>
  <c r="G137" i="102" s="1"/>
  <c r="F73" i="102"/>
  <c r="E73" i="102"/>
  <c r="D73" i="102"/>
  <c r="P73" i="102" s="1"/>
  <c r="O72" i="102"/>
  <c r="O105" i="102" s="1"/>
  <c r="O120" i="102" s="1"/>
  <c r="O136" i="102" s="1"/>
  <c r="N72" i="102"/>
  <c r="M72" i="102"/>
  <c r="L72" i="102"/>
  <c r="L105" i="102" s="1"/>
  <c r="L120" i="102" s="1"/>
  <c r="L136" i="102" s="1"/>
  <c r="K72" i="102"/>
  <c r="K105" i="102" s="1"/>
  <c r="K120" i="102" s="1"/>
  <c r="K136" i="102" s="1"/>
  <c r="J72" i="102"/>
  <c r="I72" i="102"/>
  <c r="H72" i="102"/>
  <c r="G72" i="102"/>
  <c r="G105" i="102" s="1"/>
  <c r="G120" i="102" s="1"/>
  <c r="G136" i="102" s="1"/>
  <c r="G159" i="102" s="1"/>
  <c r="G11" i="103" s="1"/>
  <c r="G51" i="103" s="1"/>
  <c r="F72" i="102"/>
  <c r="E72" i="102"/>
  <c r="D72" i="102"/>
  <c r="D105" i="102" s="1"/>
  <c r="D120" i="102" s="1"/>
  <c r="D136" i="102" s="1"/>
  <c r="O71" i="102"/>
  <c r="N71" i="102"/>
  <c r="M71" i="102"/>
  <c r="L71" i="102"/>
  <c r="L104" i="102" s="1"/>
  <c r="L119" i="102" s="1"/>
  <c r="L135" i="102" s="1"/>
  <c r="K71" i="102"/>
  <c r="J71" i="102"/>
  <c r="I71" i="102"/>
  <c r="H71" i="102"/>
  <c r="H104" i="102" s="1"/>
  <c r="H119" i="102" s="1"/>
  <c r="H135" i="102" s="1"/>
  <c r="G71" i="102"/>
  <c r="F71" i="102"/>
  <c r="E71" i="102"/>
  <c r="D71" i="102"/>
  <c r="D104" i="102" s="1"/>
  <c r="D119" i="102" s="1"/>
  <c r="O70" i="102"/>
  <c r="N70" i="102"/>
  <c r="M70" i="102"/>
  <c r="M103" i="102" s="1"/>
  <c r="M118" i="102" s="1"/>
  <c r="M134" i="102" s="1"/>
  <c r="L70" i="102"/>
  <c r="K70" i="102"/>
  <c r="J70" i="102"/>
  <c r="I70" i="102"/>
  <c r="H70" i="102"/>
  <c r="G70" i="102"/>
  <c r="F70" i="102"/>
  <c r="E70" i="102"/>
  <c r="D70" i="102"/>
  <c r="O69" i="102"/>
  <c r="O102" i="102" s="1"/>
  <c r="O117" i="102" s="1"/>
  <c r="O133" i="102" s="1"/>
  <c r="N69" i="102"/>
  <c r="M69" i="102"/>
  <c r="L69" i="102"/>
  <c r="K69" i="102"/>
  <c r="J69" i="102"/>
  <c r="I69" i="102"/>
  <c r="H69" i="102"/>
  <c r="G69" i="102"/>
  <c r="F69" i="102"/>
  <c r="E69" i="102"/>
  <c r="D69" i="102"/>
  <c r="O68" i="102"/>
  <c r="N68" i="102"/>
  <c r="M68" i="102"/>
  <c r="L68" i="102"/>
  <c r="L110" i="102" s="1"/>
  <c r="L125" i="102" s="1"/>
  <c r="L141" i="102" s="1"/>
  <c r="K68" i="102"/>
  <c r="K110" i="102" s="1"/>
  <c r="K125" i="102" s="1"/>
  <c r="K141" i="102" s="1"/>
  <c r="J68" i="102"/>
  <c r="I68" i="102"/>
  <c r="H68" i="102"/>
  <c r="H110" i="102" s="1"/>
  <c r="H125" i="102" s="1"/>
  <c r="H141" i="102" s="1"/>
  <c r="G68" i="102"/>
  <c r="F68" i="102"/>
  <c r="E68" i="102"/>
  <c r="D68" i="102"/>
  <c r="P68" i="102" s="1"/>
  <c r="O67" i="102"/>
  <c r="O101" i="102" s="1"/>
  <c r="O116" i="102" s="1"/>
  <c r="O132" i="102" s="1"/>
  <c r="N67" i="102"/>
  <c r="M67" i="102"/>
  <c r="M101" i="102" s="1"/>
  <c r="M116" i="102" s="1"/>
  <c r="M132" i="102" s="1"/>
  <c r="L67" i="102"/>
  <c r="K67" i="102"/>
  <c r="K101" i="102" s="1"/>
  <c r="K116" i="102" s="1"/>
  <c r="K132" i="102" s="1"/>
  <c r="J67" i="102"/>
  <c r="I67" i="102"/>
  <c r="I101" i="102" s="1"/>
  <c r="I116" i="102" s="1"/>
  <c r="I132" i="102" s="1"/>
  <c r="H67" i="102"/>
  <c r="H101" i="102" s="1"/>
  <c r="H116" i="102" s="1"/>
  <c r="H132" i="102" s="1"/>
  <c r="G67" i="102"/>
  <c r="G101" i="102" s="1"/>
  <c r="G116" i="102" s="1"/>
  <c r="G132" i="102" s="1"/>
  <c r="F67" i="102"/>
  <c r="E67" i="102"/>
  <c r="E101" i="102" s="1"/>
  <c r="E116" i="102" s="1"/>
  <c r="E132" i="102" s="1"/>
  <c r="D67" i="102"/>
  <c r="O66" i="102"/>
  <c r="N66" i="102"/>
  <c r="M66" i="102"/>
  <c r="L66" i="102"/>
  <c r="L100" i="102" s="1"/>
  <c r="L115" i="102" s="1"/>
  <c r="L131" i="102" s="1"/>
  <c r="K66" i="102"/>
  <c r="J66" i="102"/>
  <c r="I66" i="102"/>
  <c r="H66" i="102"/>
  <c r="H100" i="102" s="1"/>
  <c r="H115" i="102" s="1"/>
  <c r="H131" i="102" s="1"/>
  <c r="G66" i="102"/>
  <c r="F66" i="102"/>
  <c r="E66" i="102"/>
  <c r="D66" i="102"/>
  <c r="D100" i="102" s="1"/>
  <c r="O65" i="102"/>
  <c r="N65" i="102"/>
  <c r="M65" i="102"/>
  <c r="L65" i="102"/>
  <c r="L99" i="102" s="1"/>
  <c r="L114" i="102" s="1"/>
  <c r="K65" i="102"/>
  <c r="J65" i="102"/>
  <c r="I65" i="102"/>
  <c r="H65" i="102"/>
  <c r="H99" i="102" s="1"/>
  <c r="H114" i="102" s="1"/>
  <c r="G65" i="102"/>
  <c r="F65" i="102"/>
  <c r="E65" i="102"/>
  <c r="D65" i="102"/>
  <c r="D99" i="102" s="1"/>
  <c r="O62" i="102"/>
  <c r="N62" i="102"/>
  <c r="M62" i="102"/>
  <c r="L62" i="102"/>
  <c r="K62" i="102"/>
  <c r="J62" i="102"/>
  <c r="I62" i="102"/>
  <c r="H62" i="102"/>
  <c r="G62" i="102"/>
  <c r="F62" i="102"/>
  <c r="E62" i="102"/>
  <c r="D62" i="102"/>
  <c r="P62" i="102" s="1"/>
  <c r="P61" i="102"/>
  <c r="P60" i="102"/>
  <c r="P59" i="102"/>
  <c r="P58" i="102"/>
  <c r="P57" i="102"/>
  <c r="P56" i="102"/>
  <c r="P55" i="102"/>
  <c r="P54" i="102"/>
  <c r="P53" i="102"/>
  <c r="P52" i="102"/>
  <c r="P51" i="102"/>
  <c r="P50" i="102"/>
  <c r="P49" i="102"/>
  <c r="P48" i="102"/>
  <c r="P47" i="102"/>
  <c r="P46" i="102"/>
  <c r="P45" i="102"/>
  <c r="P44" i="102"/>
  <c r="P43" i="102"/>
  <c r="P42" i="102"/>
  <c r="P41" i="102"/>
  <c r="P40" i="102"/>
  <c r="P39" i="102"/>
  <c r="P38" i="102"/>
  <c r="P37" i="102"/>
  <c r="P36" i="102"/>
  <c r="O33" i="102"/>
  <c r="N33" i="102"/>
  <c r="M33" i="102"/>
  <c r="L33" i="102"/>
  <c r="K33" i="102"/>
  <c r="J33" i="102"/>
  <c r="I33" i="102"/>
  <c r="H33" i="102"/>
  <c r="G33" i="102"/>
  <c r="F33" i="102"/>
  <c r="E33" i="102"/>
  <c r="D33" i="102"/>
  <c r="P33" i="102" s="1"/>
  <c r="O32" i="102"/>
  <c r="N32" i="102"/>
  <c r="M32" i="102"/>
  <c r="L32" i="102"/>
  <c r="K32" i="102"/>
  <c r="J32" i="102"/>
  <c r="I32" i="102"/>
  <c r="H32" i="102"/>
  <c r="G32" i="102"/>
  <c r="F32" i="102"/>
  <c r="E32" i="102"/>
  <c r="D32" i="102"/>
  <c r="O31" i="102"/>
  <c r="N31" i="102"/>
  <c r="M31" i="102"/>
  <c r="L31" i="102"/>
  <c r="K31" i="102"/>
  <c r="J31" i="102"/>
  <c r="I31" i="102"/>
  <c r="H31" i="102"/>
  <c r="G31" i="102"/>
  <c r="F31" i="102"/>
  <c r="E31" i="102"/>
  <c r="D31" i="102"/>
  <c r="P31" i="102" s="1"/>
  <c r="P30" i="102"/>
  <c r="P29" i="102"/>
  <c r="P28" i="102"/>
  <c r="P27" i="102"/>
  <c r="P26" i="102"/>
  <c r="P25" i="102"/>
  <c r="P24" i="102"/>
  <c r="P23" i="102"/>
  <c r="P22" i="102"/>
  <c r="P21" i="102"/>
  <c r="P20" i="102"/>
  <c r="P19" i="102"/>
  <c r="P18" i="102"/>
  <c r="P17" i="102"/>
  <c r="P16" i="102"/>
  <c r="P15" i="102"/>
  <c r="P14" i="102"/>
  <c r="P13" i="102"/>
  <c r="P12" i="102"/>
  <c r="P11" i="102"/>
  <c r="P10" i="102"/>
  <c r="P9" i="102"/>
  <c r="P8" i="102"/>
  <c r="R63" i="77" l="1"/>
  <c r="F1033" i="77"/>
  <c r="L102" i="102"/>
  <c r="L117" i="102" s="1"/>
  <c r="L133" i="102" s="1"/>
  <c r="N106" i="102"/>
  <c r="N121" i="102" s="1"/>
  <c r="N137" i="102" s="1"/>
  <c r="F102" i="102"/>
  <c r="F117" i="102" s="1"/>
  <c r="F133" i="102" s="1"/>
  <c r="F109" i="102"/>
  <c r="F124" i="102" s="1"/>
  <c r="F140" i="102" s="1"/>
  <c r="F99" i="102"/>
  <c r="F114" i="102" s="1"/>
  <c r="F100" i="102"/>
  <c r="F115" i="102" s="1"/>
  <c r="F131" i="102" s="1"/>
  <c r="F103" i="102"/>
  <c r="F118" i="102" s="1"/>
  <c r="F134" i="102" s="1"/>
  <c r="F106" i="102"/>
  <c r="F121" i="102" s="1"/>
  <c r="F137" i="102" s="1"/>
  <c r="L101" i="102"/>
  <c r="L116" i="102" s="1"/>
  <c r="L132" i="102" s="1"/>
  <c r="J110" i="102"/>
  <c r="J125" i="102" s="1"/>
  <c r="J141" i="102" s="1"/>
  <c r="J103" i="102"/>
  <c r="J118" i="102" s="1"/>
  <c r="J134" i="102" s="1"/>
  <c r="J99" i="102"/>
  <c r="J114" i="102" s="1"/>
  <c r="J130" i="102" s="1"/>
  <c r="N99" i="102"/>
  <c r="N114" i="102" s="1"/>
  <c r="J100" i="102"/>
  <c r="J115" i="102" s="1"/>
  <c r="J131" i="102" s="1"/>
  <c r="N100" i="102"/>
  <c r="N115" i="102" s="1"/>
  <c r="N131" i="102" s="1"/>
  <c r="N110" i="102"/>
  <c r="N125" i="102" s="1"/>
  <c r="N141" i="102" s="1"/>
  <c r="N102" i="102"/>
  <c r="N117" i="102" s="1"/>
  <c r="N133" i="102" s="1"/>
  <c r="N103" i="102"/>
  <c r="N118" i="102" s="1"/>
  <c r="N134" i="102" s="1"/>
  <c r="J106" i="102"/>
  <c r="J121" i="102" s="1"/>
  <c r="J137" i="102" s="1"/>
  <c r="N107" i="102"/>
  <c r="N122" i="102" s="1"/>
  <c r="N138" i="102" s="1"/>
  <c r="J109" i="102"/>
  <c r="J124" i="102" s="1"/>
  <c r="J140" i="102" s="1"/>
  <c r="N109" i="102"/>
  <c r="N124" i="102" s="1"/>
  <c r="N140" i="102" s="1"/>
  <c r="G102" i="102"/>
  <c r="G117" i="102" s="1"/>
  <c r="G133" i="102" s="1"/>
  <c r="H106" i="102"/>
  <c r="H121" i="102" s="1"/>
  <c r="H137" i="102" s="1"/>
  <c r="D110" i="102"/>
  <c r="D125" i="102" s="1"/>
  <c r="D101" i="102"/>
  <c r="D116" i="102" s="1"/>
  <c r="D108" i="102"/>
  <c r="D123" i="102" s="1"/>
  <c r="F130" i="102"/>
  <c r="N130" i="102"/>
  <c r="G204" i="102"/>
  <c r="G176" i="102"/>
  <c r="I349" i="77" s="1"/>
  <c r="I362" i="77" s="1"/>
  <c r="I1036" i="77" s="1"/>
  <c r="H130" i="102"/>
  <c r="D115" i="102"/>
  <c r="D124" i="102"/>
  <c r="D114" i="102"/>
  <c r="L130" i="102"/>
  <c r="P66" i="102"/>
  <c r="E107" i="102"/>
  <c r="E122" i="102" s="1"/>
  <c r="E138" i="102" s="1"/>
  <c r="P76" i="102"/>
  <c r="O107" i="102"/>
  <c r="O122" i="102" s="1"/>
  <c r="O138" i="102" s="1"/>
  <c r="O160" i="102" s="1"/>
  <c r="O99" i="102"/>
  <c r="O114" i="102" s="1"/>
  <c r="I99" i="102"/>
  <c r="I114" i="102" s="1"/>
  <c r="E105" i="102"/>
  <c r="K107" i="102"/>
  <c r="K122" i="102" s="1"/>
  <c r="K138" i="102" s="1"/>
  <c r="I108" i="102"/>
  <c r="I123" i="102" s="1"/>
  <c r="I139" i="102" s="1"/>
  <c r="G109" i="102"/>
  <c r="G124" i="102" s="1"/>
  <c r="G140" i="102" s="1"/>
  <c r="O110" i="102"/>
  <c r="O125" i="102" s="1"/>
  <c r="O141" i="102" s="1"/>
  <c r="P32" i="102"/>
  <c r="E99" i="102"/>
  <c r="E114" i="102" s="1"/>
  <c r="M99" i="102"/>
  <c r="M114" i="102" s="1"/>
  <c r="E100" i="102"/>
  <c r="E115" i="102" s="1"/>
  <c r="E131" i="102" s="1"/>
  <c r="M100" i="102"/>
  <c r="M115" i="102" s="1"/>
  <c r="M131" i="102" s="1"/>
  <c r="P67" i="102"/>
  <c r="K102" i="102"/>
  <c r="K117" i="102" s="1"/>
  <c r="K133" i="102" s="1"/>
  <c r="J107" i="102"/>
  <c r="J122" i="102" s="1"/>
  <c r="J138" i="102" s="1"/>
  <c r="E108" i="102"/>
  <c r="E123" i="102" s="1"/>
  <c r="E139" i="102" s="1"/>
  <c r="M108" i="102"/>
  <c r="M123" i="102" s="1"/>
  <c r="M139" i="102" s="1"/>
  <c r="N111" i="102"/>
  <c r="N126" i="102" s="1"/>
  <c r="N142" i="102" s="1"/>
  <c r="N104" i="102"/>
  <c r="N119" i="102" s="1"/>
  <c r="N135" i="102" s="1"/>
  <c r="K99" i="102"/>
  <c r="K114" i="102" s="1"/>
  <c r="I100" i="102"/>
  <c r="I115" i="102" s="1"/>
  <c r="I131" i="102" s="1"/>
  <c r="D102" i="102"/>
  <c r="J104" i="102"/>
  <c r="J119" i="102" s="1"/>
  <c r="J135" i="102" s="1"/>
  <c r="H105" i="102"/>
  <c r="H120" i="102" s="1"/>
  <c r="H136" i="102" s="1"/>
  <c r="L108" i="102"/>
  <c r="L123" i="102" s="1"/>
  <c r="L139" i="102" s="1"/>
  <c r="I109" i="102"/>
  <c r="I124" i="102" s="1"/>
  <c r="I140" i="102" s="1"/>
  <c r="G110" i="102"/>
  <c r="G125" i="102" s="1"/>
  <c r="G141" i="102" s="1"/>
  <c r="K150" i="102"/>
  <c r="D135" i="102"/>
  <c r="P71" i="102"/>
  <c r="G160" i="102"/>
  <c r="G161" i="102"/>
  <c r="G12" i="103" s="1"/>
  <c r="G52" i="103" s="1"/>
  <c r="M109" i="102"/>
  <c r="M124" i="102" s="1"/>
  <c r="M140" i="102" s="1"/>
  <c r="M107" i="102"/>
  <c r="M122" i="102" s="1"/>
  <c r="M138" i="102" s="1"/>
  <c r="E103" i="102"/>
  <c r="E118" i="102" s="1"/>
  <c r="E134" i="102" s="1"/>
  <c r="M104" i="102"/>
  <c r="M119" i="102" s="1"/>
  <c r="M135" i="102" s="1"/>
  <c r="F107" i="102"/>
  <c r="F122" i="102" s="1"/>
  <c r="F138" i="102" s="1"/>
  <c r="P148" i="102"/>
  <c r="P228" i="102"/>
  <c r="G99" i="102"/>
  <c r="G114" i="102" s="1"/>
  <c r="F110" i="102"/>
  <c r="F125" i="102" s="1"/>
  <c r="F141" i="102" s="1"/>
  <c r="E102" i="102"/>
  <c r="E117" i="102" s="1"/>
  <c r="E133" i="102" s="1"/>
  <c r="I102" i="102"/>
  <c r="I117" i="102" s="1"/>
  <c r="I133" i="102" s="1"/>
  <c r="M102" i="102"/>
  <c r="M117" i="102" s="1"/>
  <c r="M133" i="102" s="1"/>
  <c r="I103" i="102"/>
  <c r="I118" i="102" s="1"/>
  <c r="I134" i="102" s="1"/>
  <c r="I104" i="102"/>
  <c r="I119" i="102" s="1"/>
  <c r="I135" i="102" s="1"/>
  <c r="L161" i="102"/>
  <c r="L12" i="103" s="1"/>
  <c r="L52" i="103" s="1"/>
  <c r="L159" i="102"/>
  <c r="L11" i="103" s="1"/>
  <c r="L51" i="103" s="1"/>
  <c r="L160" i="102"/>
  <c r="D122" i="102"/>
  <c r="P74" i="102"/>
  <c r="G108" i="102"/>
  <c r="G123" i="102" s="1"/>
  <c r="G139" i="102" s="1"/>
  <c r="K108" i="102"/>
  <c r="K123" i="102" s="1"/>
  <c r="K139" i="102" s="1"/>
  <c r="O108" i="102"/>
  <c r="O123" i="102" s="1"/>
  <c r="O139" i="102" s="1"/>
  <c r="K109" i="102"/>
  <c r="K124" i="102" s="1"/>
  <c r="K140" i="102" s="1"/>
  <c r="F111" i="102"/>
  <c r="F126" i="102" s="1"/>
  <c r="F142" i="102" s="1"/>
  <c r="J102" i="102"/>
  <c r="J117" i="102" s="1"/>
  <c r="J133" i="102" s="1"/>
  <c r="G103" i="102"/>
  <c r="G118" i="102" s="1"/>
  <c r="G134" i="102" s="1"/>
  <c r="E104" i="102"/>
  <c r="E119" i="102" s="1"/>
  <c r="E135" i="102" s="1"/>
  <c r="M105" i="102"/>
  <c r="M120" i="102" s="1"/>
  <c r="M136" i="102" s="1"/>
  <c r="K106" i="102"/>
  <c r="K121" i="102" s="1"/>
  <c r="K137" i="102" s="1"/>
  <c r="I107" i="102"/>
  <c r="I122" i="102" s="1"/>
  <c r="I138" i="102" s="1"/>
  <c r="F108" i="102"/>
  <c r="F123" i="102" s="1"/>
  <c r="F139" i="102" s="1"/>
  <c r="O109" i="102"/>
  <c r="O124" i="102" s="1"/>
  <c r="O140" i="102" s="1"/>
  <c r="J111" i="102"/>
  <c r="J126" i="102" s="1"/>
  <c r="J142" i="102" s="1"/>
  <c r="P149" i="102"/>
  <c r="P187" i="102"/>
  <c r="E250" i="102"/>
  <c r="I250" i="102"/>
  <c r="P72" i="102"/>
  <c r="D111" i="102"/>
  <c r="H111" i="102"/>
  <c r="H126" i="102" s="1"/>
  <c r="H142" i="102" s="1"/>
  <c r="L111" i="102"/>
  <c r="L126" i="102" s="1"/>
  <c r="L142" i="102" s="1"/>
  <c r="P80" i="102"/>
  <c r="P82" i="102" s="1"/>
  <c r="E150" i="102"/>
  <c r="I150" i="102"/>
  <c r="M150" i="102"/>
  <c r="H195" i="102"/>
  <c r="P185" i="102"/>
  <c r="E195" i="102"/>
  <c r="M195" i="102"/>
  <c r="P262" i="102"/>
  <c r="D195" i="102"/>
  <c r="F195" i="102"/>
  <c r="G100" i="102"/>
  <c r="G115" i="102" s="1"/>
  <c r="G131" i="102" s="1"/>
  <c r="K100" i="102"/>
  <c r="K115" i="102" s="1"/>
  <c r="K131" i="102" s="1"/>
  <c r="O100" i="102"/>
  <c r="O115" i="102" s="1"/>
  <c r="O131" i="102" s="1"/>
  <c r="F101" i="102"/>
  <c r="F116" i="102" s="1"/>
  <c r="F132" i="102" s="1"/>
  <c r="J101" i="102"/>
  <c r="J116" i="102" s="1"/>
  <c r="J132" i="102" s="1"/>
  <c r="N101" i="102"/>
  <c r="N116" i="102" s="1"/>
  <c r="N132" i="102" s="1"/>
  <c r="E110" i="102"/>
  <c r="E125" i="102" s="1"/>
  <c r="E141" i="102" s="1"/>
  <c r="I110" i="102"/>
  <c r="I125" i="102" s="1"/>
  <c r="I141" i="102" s="1"/>
  <c r="M110" i="102"/>
  <c r="M125" i="102" s="1"/>
  <c r="M141" i="102" s="1"/>
  <c r="P69" i="102"/>
  <c r="D103" i="102"/>
  <c r="H103" i="102"/>
  <c r="H118" i="102" s="1"/>
  <c r="H134" i="102" s="1"/>
  <c r="H162" i="102" s="1"/>
  <c r="L103" i="102"/>
  <c r="L118" i="102" s="1"/>
  <c r="L134" i="102" s="1"/>
  <c r="L157" i="102" s="1"/>
  <c r="L9" i="103" s="1"/>
  <c r="P70" i="102"/>
  <c r="G104" i="102"/>
  <c r="G119" i="102" s="1"/>
  <c r="G135" i="102" s="1"/>
  <c r="K104" i="102"/>
  <c r="K119" i="102" s="1"/>
  <c r="K135" i="102" s="1"/>
  <c r="O104" i="102"/>
  <c r="O119" i="102" s="1"/>
  <c r="O135" i="102" s="1"/>
  <c r="F105" i="102"/>
  <c r="F120" i="102" s="1"/>
  <c r="F136" i="102" s="1"/>
  <c r="J105" i="102"/>
  <c r="J120" i="102" s="1"/>
  <c r="J136" i="102" s="1"/>
  <c r="N105" i="102"/>
  <c r="N120" i="102" s="1"/>
  <c r="N136" i="102" s="1"/>
  <c r="E106" i="102"/>
  <c r="E121" i="102" s="1"/>
  <c r="I106" i="102"/>
  <c r="I121" i="102" s="1"/>
  <c r="I137" i="102" s="1"/>
  <c r="I160" i="102" s="1"/>
  <c r="M106" i="102"/>
  <c r="M121" i="102" s="1"/>
  <c r="M137" i="102" s="1"/>
  <c r="J217" i="102"/>
  <c r="J195" i="102"/>
  <c r="M282" i="102"/>
  <c r="I282" i="102"/>
  <c r="E282" i="102"/>
  <c r="M278" i="102"/>
  <c r="I278" i="102"/>
  <c r="E278" i="102"/>
  <c r="N277" i="102"/>
  <c r="J277" i="102"/>
  <c r="F277" i="102"/>
  <c r="O282" i="102"/>
  <c r="K282" i="102"/>
  <c r="G282" i="102"/>
  <c r="O278" i="102"/>
  <c r="K278" i="102"/>
  <c r="G278" i="102"/>
  <c r="L277" i="102"/>
  <c r="H277" i="102"/>
  <c r="D277" i="102"/>
  <c r="L282" i="102"/>
  <c r="D282" i="102"/>
  <c r="H278" i="102"/>
  <c r="M277" i="102"/>
  <c r="E277" i="102"/>
  <c r="H282" i="102"/>
  <c r="L278" i="102"/>
  <c r="D278" i="102"/>
  <c r="I277" i="102"/>
  <c r="J282" i="102"/>
  <c r="N278" i="102"/>
  <c r="K277" i="102"/>
  <c r="F278" i="102"/>
  <c r="J278" i="102"/>
  <c r="F282" i="102"/>
  <c r="G277" i="102"/>
  <c r="P188" i="102"/>
  <c r="D249" i="102"/>
  <c r="L249" i="102"/>
  <c r="L250" i="102" s="1"/>
  <c r="O277" i="102"/>
  <c r="N282" i="102"/>
  <c r="G195" i="102"/>
  <c r="K217" i="102"/>
  <c r="K195" i="102"/>
  <c r="O195" i="102"/>
  <c r="P193" i="102"/>
  <c r="G217" i="102"/>
  <c r="P217" i="102" s="1"/>
  <c r="P236" i="102"/>
  <c r="P237" i="102"/>
  <c r="P246" i="102"/>
  <c r="P65" i="102"/>
  <c r="P77" i="102"/>
  <c r="P190" i="102"/>
  <c r="F249" i="102"/>
  <c r="F250" i="102" s="1"/>
  <c r="J249" i="102"/>
  <c r="J250" i="102" s="1"/>
  <c r="N249" i="102"/>
  <c r="N250" i="102" s="1"/>
  <c r="P240" i="102"/>
  <c r="G249" i="102"/>
  <c r="G250" i="102" s="1"/>
  <c r="K249" i="102"/>
  <c r="K250" i="102" s="1"/>
  <c r="O249" i="102"/>
  <c r="O250" i="102" s="1"/>
  <c r="P242" i="102"/>
  <c r="F1051" i="77" l="1"/>
  <c r="R1033" i="77"/>
  <c r="P150" i="102"/>
  <c r="N162" i="102"/>
  <c r="N207" i="102" s="1"/>
  <c r="K161" i="102"/>
  <c r="K12" i="103" s="1"/>
  <c r="K52" i="103" s="1"/>
  <c r="G165" i="102"/>
  <c r="G13" i="103" s="1"/>
  <c r="G158" i="102"/>
  <c r="G10" i="103" s="1"/>
  <c r="G50" i="103" s="1"/>
  <c r="F156" i="102"/>
  <c r="F173" i="102" s="1"/>
  <c r="H268" i="77" s="1"/>
  <c r="H281" i="77" s="1"/>
  <c r="H1040" i="77" s="1"/>
  <c r="I161" i="102"/>
  <c r="I12" i="103" s="1"/>
  <c r="I52" i="103" s="1"/>
  <c r="G156" i="102"/>
  <c r="G208" i="102" s="1"/>
  <c r="F158" i="102"/>
  <c r="F10" i="103" s="1"/>
  <c r="F50" i="103" s="1"/>
  <c r="O159" i="102"/>
  <c r="O11" i="103" s="1"/>
  <c r="O51" i="103" s="1"/>
  <c r="F162" i="102"/>
  <c r="F207" i="102" s="1"/>
  <c r="H158" i="102"/>
  <c r="H10" i="103" s="1"/>
  <c r="H50" i="103" s="1"/>
  <c r="H165" i="102"/>
  <c r="H13" i="103" s="1"/>
  <c r="P107" i="102"/>
  <c r="H127" i="102"/>
  <c r="O158" i="102"/>
  <c r="O10" i="103" s="1"/>
  <c r="O50" i="103" s="1"/>
  <c r="L49" i="103"/>
  <c r="J163" i="102"/>
  <c r="J180" i="102" s="1"/>
  <c r="L102" i="77" s="1"/>
  <c r="L109" i="77" s="1"/>
  <c r="K159" i="102"/>
  <c r="K11" i="103" s="1"/>
  <c r="K51" i="103" s="1"/>
  <c r="O161" i="102"/>
  <c r="O12" i="103" s="1"/>
  <c r="O52" i="103" s="1"/>
  <c r="F165" i="102"/>
  <c r="F13" i="103" s="1"/>
  <c r="I177" i="102"/>
  <c r="K515" i="77" s="1"/>
  <c r="K527" i="77" s="1"/>
  <c r="K1037" i="77" s="1"/>
  <c r="I205" i="102"/>
  <c r="G173" i="102"/>
  <c r="I268" i="77" s="1"/>
  <c r="I281" i="77" s="1"/>
  <c r="I1040" i="77" s="1"/>
  <c r="O205" i="102"/>
  <c r="O177" i="102"/>
  <c r="Q515" i="77" s="1"/>
  <c r="Q527" i="77" s="1"/>
  <c r="Q1037" i="77" s="1"/>
  <c r="L209" i="102"/>
  <c r="L174" i="102"/>
  <c r="N438" i="77" s="1"/>
  <c r="N450" i="77" s="1"/>
  <c r="N1041" i="77" s="1"/>
  <c r="N179" i="102"/>
  <c r="P146" i="77" s="1"/>
  <c r="P153" i="77" s="1"/>
  <c r="P1039" i="77" s="1"/>
  <c r="H207" i="102"/>
  <c r="H179" i="102"/>
  <c r="J146" i="77" s="1"/>
  <c r="J153" i="77" s="1"/>
  <c r="J1039" i="77" s="1"/>
  <c r="G212" i="102"/>
  <c r="E137" i="102"/>
  <c r="P137" i="102" s="1"/>
  <c r="P121" i="102"/>
  <c r="M160" i="102"/>
  <c r="M159" i="102"/>
  <c r="M11" i="103" s="1"/>
  <c r="M51" i="103" s="1"/>
  <c r="M161" i="102"/>
  <c r="M12" i="103" s="1"/>
  <c r="M52" i="103" s="1"/>
  <c r="J165" i="102"/>
  <c r="J13" i="103" s="1"/>
  <c r="J157" i="102"/>
  <c r="J9" i="103" s="1"/>
  <c r="J158" i="102"/>
  <c r="J10" i="103" s="1"/>
  <c r="J50" i="103" s="1"/>
  <c r="J156" i="102"/>
  <c r="J162" i="102"/>
  <c r="E156" i="102"/>
  <c r="E162" i="102"/>
  <c r="E158" i="102"/>
  <c r="E10" i="103" s="1"/>
  <c r="E50" i="103" s="1"/>
  <c r="E165" i="102"/>
  <c r="E13" i="103" s="1"/>
  <c r="E157" i="102"/>
  <c r="E9" i="103" s="1"/>
  <c r="G178" i="102"/>
  <c r="I645" i="77" s="1"/>
  <c r="I661" i="77" s="1"/>
  <c r="I1038" i="77" s="1"/>
  <c r="G206" i="102"/>
  <c r="P119" i="102"/>
  <c r="J127" i="102"/>
  <c r="P101" i="102"/>
  <c r="N157" i="102"/>
  <c r="N9" i="103" s="1"/>
  <c r="L127" i="102"/>
  <c r="D140" i="102"/>
  <c r="P140" i="102" s="1"/>
  <c r="P124" i="102"/>
  <c r="P115" i="102"/>
  <c r="D131" i="102"/>
  <c r="P131" i="102" s="1"/>
  <c r="K206" i="102"/>
  <c r="N163" i="102"/>
  <c r="N155" i="102"/>
  <c r="N172" i="102" s="1"/>
  <c r="P180" i="77" s="1"/>
  <c r="P193" i="77" s="1"/>
  <c r="N143" i="102"/>
  <c r="N144" i="102" s="1"/>
  <c r="N154" i="102"/>
  <c r="N171" i="102" s="1"/>
  <c r="P79" i="77" s="1"/>
  <c r="P86" i="77" s="1"/>
  <c r="N153" i="102"/>
  <c r="N164" i="102"/>
  <c r="J164" i="102"/>
  <c r="L158" i="102"/>
  <c r="L10" i="103" s="1"/>
  <c r="L50" i="103" s="1"/>
  <c r="L165" i="102"/>
  <c r="L13" i="103" s="1"/>
  <c r="O157" i="102"/>
  <c r="O9" i="103" s="1"/>
  <c r="O162" i="102"/>
  <c r="F163" i="102"/>
  <c r="F155" i="102"/>
  <c r="F172" i="102" s="1"/>
  <c r="H180" i="77" s="1"/>
  <c r="H193" i="77" s="1"/>
  <c r="F143" i="102"/>
  <c r="F144" i="102" s="1"/>
  <c r="F154" i="102"/>
  <c r="F171" i="102" s="1"/>
  <c r="H79" i="77" s="1"/>
  <c r="H86" i="77" s="1"/>
  <c r="F153" i="102"/>
  <c r="F164" i="102"/>
  <c r="D250" i="102"/>
  <c r="P250" i="102" s="1"/>
  <c r="P249" i="102"/>
  <c r="P278" i="102"/>
  <c r="P277" i="102"/>
  <c r="N159" i="102"/>
  <c r="N11" i="103" s="1"/>
  <c r="N51" i="103" s="1"/>
  <c r="N161" i="102"/>
  <c r="N12" i="103" s="1"/>
  <c r="N52" i="103" s="1"/>
  <c r="N160" i="102"/>
  <c r="P104" i="102"/>
  <c r="H156" i="102"/>
  <c r="L177" i="102"/>
  <c r="N515" i="77" s="1"/>
  <c r="N527" i="77" s="1"/>
  <c r="N1037" i="77" s="1"/>
  <c r="L205" i="102"/>
  <c r="I159" i="102"/>
  <c r="I11" i="103" s="1"/>
  <c r="I51" i="103" s="1"/>
  <c r="G205" i="102"/>
  <c r="G177" i="102"/>
  <c r="I515" i="77" s="1"/>
  <c r="I527" i="77" s="1"/>
  <c r="I1037" i="77" s="1"/>
  <c r="D141" i="102"/>
  <c r="P141" i="102" s="1"/>
  <c r="P125" i="102"/>
  <c r="P102" i="102"/>
  <c r="D117" i="102"/>
  <c r="N156" i="102"/>
  <c r="I127" i="102"/>
  <c r="I130" i="102"/>
  <c r="N165" i="102"/>
  <c r="N13" i="103" s="1"/>
  <c r="D130" i="102"/>
  <c r="P114" i="102"/>
  <c r="P109" i="102"/>
  <c r="H153" i="102"/>
  <c r="H163" i="102"/>
  <c r="H155" i="102"/>
  <c r="H172" i="102" s="1"/>
  <c r="J180" i="77" s="1"/>
  <c r="J193" i="77" s="1"/>
  <c r="H143" i="102"/>
  <c r="H144" i="102" s="1"/>
  <c r="H164" i="102"/>
  <c r="H154" i="102"/>
  <c r="H171" i="102" s="1"/>
  <c r="J79" i="77" s="1"/>
  <c r="J86" i="77" s="1"/>
  <c r="K160" i="102"/>
  <c r="N127" i="102"/>
  <c r="J143" i="102"/>
  <c r="J144" i="102" s="1"/>
  <c r="L162" i="102"/>
  <c r="O204" i="102"/>
  <c r="O165" i="102"/>
  <c r="O13" i="103" s="1"/>
  <c r="G157" i="102"/>
  <c r="G9" i="103" s="1"/>
  <c r="G162" i="102"/>
  <c r="F157" i="102"/>
  <c r="F9" i="103" s="1"/>
  <c r="J159" i="102"/>
  <c r="J11" i="103" s="1"/>
  <c r="J51" i="103" s="1"/>
  <c r="J161" i="102"/>
  <c r="J12" i="103" s="1"/>
  <c r="J52" i="103" s="1"/>
  <c r="J160" i="102"/>
  <c r="P103" i="102"/>
  <c r="D118" i="102"/>
  <c r="P195" i="102"/>
  <c r="P111" i="102"/>
  <c r="D126" i="102"/>
  <c r="L204" i="102"/>
  <c r="L176" i="102"/>
  <c r="N349" i="77" s="1"/>
  <c r="N362" i="77" s="1"/>
  <c r="N1036" i="77" s="1"/>
  <c r="M156" i="102"/>
  <c r="M162" i="102"/>
  <c r="M158" i="102"/>
  <c r="M10" i="103" s="1"/>
  <c r="M50" i="103" s="1"/>
  <c r="M165" i="102"/>
  <c r="M13" i="103" s="1"/>
  <c r="M157" i="102"/>
  <c r="M9" i="103" s="1"/>
  <c r="G130" i="102"/>
  <c r="G127" i="102"/>
  <c r="P108" i="102"/>
  <c r="D132" i="102"/>
  <c r="P132" i="102" s="1"/>
  <c r="P116" i="102"/>
  <c r="P106" i="102"/>
  <c r="K162" i="102"/>
  <c r="K158" i="102"/>
  <c r="K10" i="103" s="1"/>
  <c r="K50" i="103" s="1"/>
  <c r="K156" i="102"/>
  <c r="K165" i="102"/>
  <c r="K13" i="103" s="1"/>
  <c r="K157" i="102"/>
  <c r="K9" i="103" s="1"/>
  <c r="M130" i="102"/>
  <c r="M127" i="102"/>
  <c r="O130" i="102"/>
  <c r="O127" i="102"/>
  <c r="N158" i="102"/>
  <c r="N10" i="103" s="1"/>
  <c r="N50" i="103" s="1"/>
  <c r="P99" i="102"/>
  <c r="G284" i="102"/>
  <c r="G222" i="102"/>
  <c r="J153" i="102"/>
  <c r="J155" i="102"/>
  <c r="J172" i="102" s="1"/>
  <c r="L180" i="77" s="1"/>
  <c r="L193" i="77" s="1"/>
  <c r="L156" i="102"/>
  <c r="O178" i="102"/>
  <c r="Q645" i="77" s="1"/>
  <c r="Q661" i="77" s="1"/>
  <c r="Q1038" i="77" s="1"/>
  <c r="O156" i="102"/>
  <c r="F208" i="102"/>
  <c r="P282" i="102"/>
  <c r="F159" i="102"/>
  <c r="F11" i="103" s="1"/>
  <c r="F51" i="103" s="1"/>
  <c r="F161" i="102"/>
  <c r="F12" i="103" s="1"/>
  <c r="F52" i="103" s="1"/>
  <c r="F160" i="102"/>
  <c r="H157" i="102"/>
  <c r="H9" i="103" s="1"/>
  <c r="D138" i="102"/>
  <c r="P122" i="102"/>
  <c r="L178" i="102"/>
  <c r="N645" i="77" s="1"/>
  <c r="N661" i="77" s="1"/>
  <c r="N1038" i="77" s="1"/>
  <c r="L206" i="102"/>
  <c r="I156" i="102"/>
  <c r="I162" i="102"/>
  <c r="I158" i="102"/>
  <c r="I10" i="103" s="1"/>
  <c r="I50" i="103" s="1"/>
  <c r="I165" i="102"/>
  <c r="I13" i="103" s="1"/>
  <c r="I157" i="102"/>
  <c r="I9" i="103" s="1"/>
  <c r="P123" i="102"/>
  <c r="D139" i="102"/>
  <c r="P139" i="102" s="1"/>
  <c r="P135" i="102"/>
  <c r="H161" i="102"/>
  <c r="H12" i="103" s="1"/>
  <c r="H52" i="103" s="1"/>
  <c r="H159" i="102"/>
  <c r="H11" i="103" s="1"/>
  <c r="H51" i="103" s="1"/>
  <c r="H160" i="102"/>
  <c r="K130" i="102"/>
  <c r="K127" i="102"/>
  <c r="E127" i="102"/>
  <c r="E130" i="102"/>
  <c r="P110" i="102"/>
  <c r="E120" i="102"/>
  <c r="P105" i="102"/>
  <c r="L153" i="102"/>
  <c r="L163" i="102"/>
  <c r="L155" i="102"/>
  <c r="L172" i="102" s="1"/>
  <c r="N180" i="77" s="1"/>
  <c r="N193" i="77" s="1"/>
  <c r="L164" i="102"/>
  <c r="L154" i="102"/>
  <c r="L171" i="102" s="1"/>
  <c r="N79" i="77" s="1"/>
  <c r="N86" i="77" s="1"/>
  <c r="L143" i="102"/>
  <c r="L144" i="102" s="1"/>
  <c r="P100" i="102"/>
  <c r="J154" i="102"/>
  <c r="J171" i="102" s="1"/>
  <c r="F127" i="102"/>
  <c r="O211" i="102" l="1"/>
  <c r="H175" i="102"/>
  <c r="J752" i="77" s="1"/>
  <c r="J767" i="77" s="1"/>
  <c r="J1043" i="77" s="1"/>
  <c r="H211" i="102"/>
  <c r="O175" i="102"/>
  <c r="Q752" i="77" s="1"/>
  <c r="Q767" i="77" s="1"/>
  <c r="Q1043" i="77" s="1"/>
  <c r="O206" i="102"/>
  <c r="G211" i="102"/>
  <c r="F179" i="102"/>
  <c r="H146" i="77" s="1"/>
  <c r="H153" i="77" s="1"/>
  <c r="H1039" i="77" s="1"/>
  <c r="K178" i="102"/>
  <c r="M645" i="77" s="1"/>
  <c r="M661" i="77" s="1"/>
  <c r="M1038" i="77" s="1"/>
  <c r="K204" i="102"/>
  <c r="F212" i="102"/>
  <c r="G175" i="102"/>
  <c r="I752" i="77" s="1"/>
  <c r="I767" i="77" s="1"/>
  <c r="I1043" i="77" s="1"/>
  <c r="L54" i="103"/>
  <c r="K176" i="102"/>
  <c r="M349" i="77" s="1"/>
  <c r="M362" i="77" s="1"/>
  <c r="M1036" i="77" s="1"/>
  <c r="I206" i="102"/>
  <c r="I178" i="102"/>
  <c r="K645" i="77" s="1"/>
  <c r="K661" i="77" s="1"/>
  <c r="K1038" i="77" s="1"/>
  <c r="H212" i="102"/>
  <c r="G182" i="102"/>
  <c r="I842" i="77" s="1"/>
  <c r="I1044" i="77" s="1"/>
  <c r="F182" i="102"/>
  <c r="H842" i="77" s="1"/>
  <c r="H1044" i="77" s="1"/>
  <c r="N14" i="103"/>
  <c r="N15" i="103" s="1"/>
  <c r="N49" i="103"/>
  <c r="N54" i="103" s="1"/>
  <c r="J14" i="103"/>
  <c r="J15" i="103" s="1"/>
  <c r="J49" i="103"/>
  <c r="J54" i="103" s="1"/>
  <c r="G14" i="103"/>
  <c r="G15" i="103" s="1"/>
  <c r="G49" i="103"/>
  <c r="G54" i="103" s="1"/>
  <c r="J275" i="102"/>
  <c r="L79" i="77"/>
  <c r="L86" i="77" s="1"/>
  <c r="L1034" i="77" s="1"/>
  <c r="M14" i="103"/>
  <c r="M15" i="103" s="1"/>
  <c r="M49" i="103"/>
  <c r="E49" i="103"/>
  <c r="F211" i="102"/>
  <c r="H14" i="103"/>
  <c r="H15" i="103" s="1"/>
  <c r="H49" i="103"/>
  <c r="H54" i="103" s="1"/>
  <c r="L14" i="103"/>
  <c r="L15" i="103" s="1"/>
  <c r="I14" i="103"/>
  <c r="I15" i="103" s="1"/>
  <c r="I49" i="103"/>
  <c r="I54" i="103" s="1"/>
  <c r="K14" i="103"/>
  <c r="K15" i="103" s="1"/>
  <c r="K49" i="103"/>
  <c r="K54" i="103" s="1"/>
  <c r="F14" i="103"/>
  <c r="F15" i="103" s="1"/>
  <c r="F49" i="103"/>
  <c r="F54" i="103" s="1"/>
  <c r="O176" i="102"/>
  <c r="Q349" i="77" s="1"/>
  <c r="Q362" i="77" s="1"/>
  <c r="Q1036" i="77" s="1"/>
  <c r="O14" i="103"/>
  <c r="O15" i="103" s="1"/>
  <c r="O49" i="103"/>
  <c r="O54" i="103" s="1"/>
  <c r="H182" i="102"/>
  <c r="J842" i="77" s="1"/>
  <c r="J1044" i="77" s="1"/>
  <c r="M54" i="103"/>
  <c r="F175" i="102"/>
  <c r="H752" i="77" s="1"/>
  <c r="H767" i="77" s="1"/>
  <c r="H1043" i="77" s="1"/>
  <c r="D127" i="102"/>
  <c r="P127" i="102" s="1"/>
  <c r="H177" i="102"/>
  <c r="J515" i="77" s="1"/>
  <c r="J527" i="77" s="1"/>
  <c r="J1037" i="77" s="1"/>
  <c r="H205" i="102"/>
  <c r="F177" i="102"/>
  <c r="H515" i="77" s="1"/>
  <c r="H527" i="77" s="1"/>
  <c r="H1037" i="77" s="1"/>
  <c r="F205" i="102"/>
  <c r="F280" i="102"/>
  <c r="F226" i="102"/>
  <c r="F260" i="102" s="1"/>
  <c r="G256" i="102"/>
  <c r="K209" i="102"/>
  <c r="K174" i="102"/>
  <c r="M438" i="77" s="1"/>
  <c r="M450" i="77" s="1"/>
  <c r="M1041" i="77" s="1"/>
  <c r="K207" i="102"/>
  <c r="K179" i="102"/>
  <c r="M146" i="77" s="1"/>
  <c r="M153" i="77" s="1"/>
  <c r="M1039" i="77" s="1"/>
  <c r="M182" i="102"/>
  <c r="O842" i="77" s="1"/>
  <c r="O1044" i="77" s="1"/>
  <c r="M212" i="102"/>
  <c r="L222" i="102"/>
  <c r="L284" i="102"/>
  <c r="P126" i="102"/>
  <c r="D142" i="102"/>
  <c r="P142" i="102" s="1"/>
  <c r="G209" i="102"/>
  <c r="G174" i="102"/>
  <c r="I438" i="77" s="1"/>
  <c r="I450" i="77" s="1"/>
  <c r="I1041" i="77" s="1"/>
  <c r="L179" i="102"/>
  <c r="N146" i="77" s="1"/>
  <c r="N153" i="77" s="1"/>
  <c r="N1039" i="77" s="1"/>
  <c r="L207" i="102"/>
  <c r="H201" i="102"/>
  <c r="H180" i="102"/>
  <c r="D153" i="102"/>
  <c r="D163" i="102"/>
  <c r="D155" i="102"/>
  <c r="D164" i="102"/>
  <c r="D154" i="102"/>
  <c r="P130" i="102"/>
  <c r="I176" i="102"/>
  <c r="K349" i="77" s="1"/>
  <c r="K362" i="77" s="1"/>
  <c r="K1036" i="77" s="1"/>
  <c r="I204" i="102"/>
  <c r="F202" i="102"/>
  <c r="F181" i="102"/>
  <c r="H226" i="77" s="1"/>
  <c r="H239" i="77" s="1"/>
  <c r="H1035" i="77" s="1"/>
  <c r="G283" i="102"/>
  <c r="L212" i="102"/>
  <c r="L182" i="102"/>
  <c r="N842" i="77" s="1"/>
  <c r="N1044" i="77" s="1"/>
  <c r="N200" i="102"/>
  <c r="N170" i="102"/>
  <c r="P37" i="77" s="1"/>
  <c r="N166" i="102"/>
  <c r="N167" i="102" s="1"/>
  <c r="N180" i="102"/>
  <c r="N201" i="102"/>
  <c r="N209" i="102"/>
  <c r="N174" i="102"/>
  <c r="P438" i="77" s="1"/>
  <c r="P450" i="77" s="1"/>
  <c r="P1041" i="77" s="1"/>
  <c r="E211" i="102"/>
  <c r="E175" i="102"/>
  <c r="G752" i="77" s="1"/>
  <c r="G767" i="77" s="1"/>
  <c r="G1043" i="77" s="1"/>
  <c r="J174" i="102"/>
  <c r="L438" i="77" s="1"/>
  <c r="L450" i="77" s="1"/>
  <c r="L1041" i="77" s="1"/>
  <c r="J209" i="102"/>
  <c r="M205" i="102"/>
  <c r="M177" i="102"/>
  <c r="O515" i="77" s="1"/>
  <c r="O527" i="77" s="1"/>
  <c r="O1037" i="77" s="1"/>
  <c r="G280" i="102"/>
  <c r="G226" i="102"/>
  <c r="G260" i="102" s="1"/>
  <c r="I285" i="102"/>
  <c r="I223" i="102"/>
  <c r="I257" i="102" s="1"/>
  <c r="L181" i="102"/>
  <c r="N226" i="77" s="1"/>
  <c r="N239" i="77" s="1"/>
  <c r="N1035" i="77" s="1"/>
  <c r="L202" i="102"/>
  <c r="H204" i="102"/>
  <c r="H176" i="102"/>
  <c r="J349" i="77" s="1"/>
  <c r="J362" i="77" s="1"/>
  <c r="J1036" i="77" s="1"/>
  <c r="F206" i="102"/>
  <c r="F178" i="102"/>
  <c r="H645" i="77" s="1"/>
  <c r="H661" i="77" s="1"/>
  <c r="H1038" i="77" s="1"/>
  <c r="O154" i="102"/>
  <c r="O171" i="102" s="1"/>
  <c r="Q79" i="77" s="1"/>
  <c r="Q86" i="77" s="1"/>
  <c r="O164" i="102"/>
  <c r="O163" i="102"/>
  <c r="O155" i="102"/>
  <c r="O172" i="102" s="1"/>
  <c r="Q180" i="77" s="1"/>
  <c r="Q193" i="77" s="1"/>
  <c r="O153" i="102"/>
  <c r="O143" i="102"/>
  <c r="O144" i="102" s="1"/>
  <c r="K182" i="102"/>
  <c r="M842" i="77" s="1"/>
  <c r="M1044" i="77" s="1"/>
  <c r="K212" i="102"/>
  <c r="M211" i="102"/>
  <c r="M175" i="102"/>
  <c r="O752" i="77" s="1"/>
  <c r="O767" i="77" s="1"/>
  <c r="O1043" i="77" s="1"/>
  <c r="J205" i="102"/>
  <c r="J177" i="102"/>
  <c r="L515" i="77" s="1"/>
  <c r="L527" i="77" s="1"/>
  <c r="L1037" i="77" s="1"/>
  <c r="O182" i="102"/>
  <c r="Q842" i="77" s="1"/>
  <c r="Q1044" i="77" s="1"/>
  <c r="O212" i="102"/>
  <c r="H181" i="102"/>
  <c r="J226" i="77" s="1"/>
  <c r="J239" i="77" s="1"/>
  <c r="J1035" i="77" s="1"/>
  <c r="H202" i="102"/>
  <c r="H200" i="102"/>
  <c r="H170" i="102"/>
  <c r="J37" i="77" s="1"/>
  <c r="H166" i="102"/>
  <c r="H167" i="102" s="1"/>
  <c r="N208" i="102"/>
  <c r="N173" i="102"/>
  <c r="P268" i="77" s="1"/>
  <c r="P281" i="77" s="1"/>
  <c r="P1040" i="77" s="1"/>
  <c r="N177" i="102"/>
  <c r="P515" i="77" s="1"/>
  <c r="P527" i="77" s="1"/>
  <c r="P1037" i="77" s="1"/>
  <c r="N205" i="102"/>
  <c r="F170" i="102"/>
  <c r="H37" i="77" s="1"/>
  <c r="F166" i="102"/>
  <c r="F167" i="102" s="1"/>
  <c r="F200" i="102"/>
  <c r="F180" i="102"/>
  <c r="F275" i="102" s="1"/>
  <c r="F201" i="102"/>
  <c r="L211" i="102"/>
  <c r="L175" i="102"/>
  <c r="N752" i="77" s="1"/>
  <c r="N767" i="77" s="1"/>
  <c r="N1043" i="77" s="1"/>
  <c r="N275" i="102"/>
  <c r="G286" i="102"/>
  <c r="G224" i="102"/>
  <c r="G258" i="102" s="1"/>
  <c r="E207" i="102"/>
  <c r="E179" i="102"/>
  <c r="G146" i="77" s="1"/>
  <c r="G153" i="77" s="1"/>
  <c r="G1039" i="77" s="1"/>
  <c r="J179" i="102"/>
  <c r="L146" i="77" s="1"/>
  <c r="L153" i="77" s="1"/>
  <c r="L1039" i="77" s="1"/>
  <c r="J207" i="102"/>
  <c r="J182" i="102"/>
  <c r="L842" i="77" s="1"/>
  <c r="L1044" i="77" s="1"/>
  <c r="J212" i="102"/>
  <c r="J201" i="102"/>
  <c r="L200" i="102"/>
  <c r="L170" i="102"/>
  <c r="N37" i="77" s="1"/>
  <c r="L166" i="102"/>
  <c r="L167" i="102" s="1"/>
  <c r="E164" i="102"/>
  <c r="E154" i="102"/>
  <c r="E171" i="102" s="1"/>
  <c r="G79" i="77" s="1"/>
  <c r="G86" i="77" s="1"/>
  <c r="E163" i="102"/>
  <c r="E155" i="102"/>
  <c r="E172" i="102" s="1"/>
  <c r="G180" i="77" s="1"/>
  <c r="G193" i="77" s="1"/>
  <c r="E153" i="102"/>
  <c r="I211" i="102"/>
  <c r="I175" i="102"/>
  <c r="K752" i="77" s="1"/>
  <c r="K767" i="77" s="1"/>
  <c r="K1043" i="77" s="1"/>
  <c r="L286" i="102"/>
  <c r="L224" i="102"/>
  <c r="L258" i="102" s="1"/>
  <c r="O286" i="102"/>
  <c r="O224" i="102"/>
  <c r="O258" i="102" s="1"/>
  <c r="I207" i="102"/>
  <c r="I179" i="102"/>
  <c r="K146" i="77" s="1"/>
  <c r="K153" i="77" s="1"/>
  <c r="K1039" i="77" s="1"/>
  <c r="L208" i="102"/>
  <c r="L173" i="102"/>
  <c r="N268" i="77" s="1"/>
  <c r="N281" i="77" s="1"/>
  <c r="N1040" i="77" s="1"/>
  <c r="E136" i="102"/>
  <c r="E143" i="102" s="1"/>
  <c r="E144" i="102" s="1"/>
  <c r="P120" i="102"/>
  <c r="H206" i="102"/>
  <c r="H178" i="102"/>
  <c r="J645" i="77" s="1"/>
  <c r="J661" i="77" s="1"/>
  <c r="J1038" i="77" s="1"/>
  <c r="I209" i="102"/>
  <c r="I174" i="102"/>
  <c r="K438" i="77" s="1"/>
  <c r="K450" i="77" s="1"/>
  <c r="K1041" i="77" s="1"/>
  <c r="I208" i="102"/>
  <c r="I173" i="102"/>
  <c r="K268" i="77" s="1"/>
  <c r="K281" i="77" s="1"/>
  <c r="K1040" i="77" s="1"/>
  <c r="P138" i="102"/>
  <c r="D160" i="102"/>
  <c r="D161" i="102"/>
  <c r="D12" i="103" s="1"/>
  <c r="D159" i="102"/>
  <c r="D11" i="103" s="1"/>
  <c r="F176" i="102"/>
  <c r="H349" i="77" s="1"/>
  <c r="H362" i="77" s="1"/>
  <c r="H1036" i="77" s="1"/>
  <c r="F204" i="102"/>
  <c r="O173" i="102"/>
  <c r="Q268" i="77" s="1"/>
  <c r="Q281" i="77" s="1"/>
  <c r="Q1040" i="77" s="1"/>
  <c r="O208" i="102"/>
  <c r="K208" i="102"/>
  <c r="K173" i="102"/>
  <c r="M268" i="77" s="1"/>
  <c r="M281" i="77" s="1"/>
  <c r="M1040" i="77" s="1"/>
  <c r="G154" i="102"/>
  <c r="G171" i="102" s="1"/>
  <c r="I79" i="77" s="1"/>
  <c r="I86" i="77" s="1"/>
  <c r="G164" i="102"/>
  <c r="G163" i="102"/>
  <c r="G155" i="102"/>
  <c r="G172" i="102" s="1"/>
  <c r="I180" i="77" s="1"/>
  <c r="I193" i="77" s="1"/>
  <c r="G153" i="102"/>
  <c r="G143" i="102"/>
  <c r="G144" i="102" s="1"/>
  <c r="M207" i="102"/>
  <c r="M179" i="102"/>
  <c r="O146" i="77" s="1"/>
  <c r="O153" i="77" s="1"/>
  <c r="O1039" i="77" s="1"/>
  <c r="H283" i="102"/>
  <c r="J206" i="102"/>
  <c r="J178" i="102"/>
  <c r="L645" i="77" s="1"/>
  <c r="L661" i="77" s="1"/>
  <c r="L1038" i="77" s="1"/>
  <c r="F209" i="102"/>
  <c r="F174" i="102"/>
  <c r="H438" i="77" s="1"/>
  <c r="H450" i="77" s="1"/>
  <c r="H1041" i="77" s="1"/>
  <c r="O284" i="102"/>
  <c r="N212" i="102"/>
  <c r="N182" i="102"/>
  <c r="P842" i="77" s="1"/>
  <c r="P1044" i="77" s="1"/>
  <c r="D133" i="102"/>
  <c r="P117" i="102"/>
  <c r="G223" i="102"/>
  <c r="G257" i="102" s="1"/>
  <c r="G285" i="102"/>
  <c r="L285" i="102"/>
  <c r="L223" i="102"/>
  <c r="L257" i="102" s="1"/>
  <c r="N206" i="102"/>
  <c r="N178" i="102"/>
  <c r="P645" i="77" s="1"/>
  <c r="P661" i="77" s="1"/>
  <c r="P1038" i="77" s="1"/>
  <c r="O179" i="102"/>
  <c r="Q146" i="77" s="1"/>
  <c r="Q153" i="77" s="1"/>
  <c r="Q1039" i="77" s="1"/>
  <c r="O207" i="102"/>
  <c r="J202" i="102"/>
  <c r="J181" i="102"/>
  <c r="K286" i="102"/>
  <c r="E174" i="102"/>
  <c r="G438" i="77" s="1"/>
  <c r="G450" i="77" s="1"/>
  <c r="G1041" i="77" s="1"/>
  <c r="E209" i="102"/>
  <c r="E173" i="102"/>
  <c r="G268" i="77" s="1"/>
  <c r="G281" i="77" s="1"/>
  <c r="G1040" i="77" s="1"/>
  <c r="E208" i="102"/>
  <c r="J173" i="102"/>
  <c r="L268" i="77" s="1"/>
  <c r="L281" i="77" s="1"/>
  <c r="L1040" i="77" s="1"/>
  <c r="J208" i="102"/>
  <c r="M206" i="102"/>
  <c r="M178" i="102"/>
  <c r="O645" i="77" s="1"/>
  <c r="O661" i="77" s="1"/>
  <c r="O1038" i="77" s="1"/>
  <c r="N279" i="102"/>
  <c r="N225" i="102"/>
  <c r="N259" i="102" s="1"/>
  <c r="J219" i="102"/>
  <c r="J254" i="102" s="1"/>
  <c r="F283" i="102"/>
  <c r="I286" i="102"/>
  <c r="L180" i="102"/>
  <c r="L201" i="102"/>
  <c r="K154" i="102"/>
  <c r="K171" i="102" s="1"/>
  <c r="M79" i="77" s="1"/>
  <c r="M86" i="77" s="1"/>
  <c r="K164" i="102"/>
  <c r="K153" i="102"/>
  <c r="K143" i="102"/>
  <c r="K144" i="102" s="1"/>
  <c r="K163" i="102"/>
  <c r="K155" i="102"/>
  <c r="K172" i="102" s="1"/>
  <c r="M180" i="77" s="1"/>
  <c r="M193" i="77" s="1"/>
  <c r="I212" i="102"/>
  <c r="I182" i="102"/>
  <c r="K842" i="77" s="1"/>
  <c r="K1044" i="77" s="1"/>
  <c r="H174" i="102"/>
  <c r="J438" i="77" s="1"/>
  <c r="J450" i="77" s="1"/>
  <c r="J1041" i="77" s="1"/>
  <c r="H209" i="102"/>
  <c r="J200" i="102"/>
  <c r="J166" i="102"/>
  <c r="J167" i="102" s="1"/>
  <c r="J170" i="102"/>
  <c r="L37" i="77" s="1"/>
  <c r="N175" i="102"/>
  <c r="P752" i="77" s="1"/>
  <c r="P767" i="77" s="1"/>
  <c r="P1043" i="77" s="1"/>
  <c r="N211" i="102"/>
  <c r="M164" i="102"/>
  <c r="M154" i="102"/>
  <c r="M171" i="102" s="1"/>
  <c r="O79" i="77" s="1"/>
  <c r="O86" i="77" s="1"/>
  <c r="M143" i="102"/>
  <c r="M144" i="102" s="1"/>
  <c r="M153" i="102"/>
  <c r="M163" i="102"/>
  <c r="M155" i="102"/>
  <c r="M172" i="102" s="1"/>
  <c r="O180" i="77" s="1"/>
  <c r="O193" i="77" s="1"/>
  <c r="K175" i="102"/>
  <c r="M752" i="77" s="1"/>
  <c r="M767" i="77" s="1"/>
  <c r="M1043" i="77" s="1"/>
  <c r="K211" i="102"/>
  <c r="M174" i="102"/>
  <c r="O438" i="77" s="1"/>
  <c r="O450" i="77" s="1"/>
  <c r="O1041" i="77" s="1"/>
  <c r="M209" i="102"/>
  <c r="M173" i="102"/>
  <c r="O268" i="77" s="1"/>
  <c r="O281" i="77" s="1"/>
  <c r="O1040" i="77" s="1"/>
  <c r="M208" i="102"/>
  <c r="P118" i="102"/>
  <c r="D134" i="102"/>
  <c r="P134" i="102" s="1"/>
  <c r="J204" i="102"/>
  <c r="J176" i="102"/>
  <c r="L349" i="77" s="1"/>
  <c r="L362" i="77" s="1"/>
  <c r="L1036" i="77" s="1"/>
  <c r="G179" i="102"/>
  <c r="I146" i="77" s="1"/>
  <c r="I153" i="77" s="1"/>
  <c r="I1039" i="77" s="1"/>
  <c r="G207" i="102"/>
  <c r="K205" i="102"/>
  <c r="K177" i="102"/>
  <c r="M515" i="77" s="1"/>
  <c r="M527" i="77" s="1"/>
  <c r="M1037" i="77" s="1"/>
  <c r="I164" i="102"/>
  <c r="I154" i="102"/>
  <c r="I171" i="102" s="1"/>
  <c r="K79" i="77" s="1"/>
  <c r="K86" i="77" s="1"/>
  <c r="I163" i="102"/>
  <c r="I155" i="102"/>
  <c r="I172" i="102" s="1"/>
  <c r="K180" i="77" s="1"/>
  <c r="K193" i="77" s="1"/>
  <c r="I153" i="102"/>
  <c r="I143" i="102"/>
  <c r="I144" i="102" s="1"/>
  <c r="H208" i="102"/>
  <c r="H173" i="102"/>
  <c r="J268" i="77" s="1"/>
  <c r="J281" i="77" s="1"/>
  <c r="J1040" i="77" s="1"/>
  <c r="N176" i="102"/>
  <c r="P349" i="77" s="1"/>
  <c r="P362" i="77" s="1"/>
  <c r="P1036" i="77" s="1"/>
  <c r="N204" i="102"/>
  <c r="F225" i="102"/>
  <c r="F259" i="102" s="1"/>
  <c r="O209" i="102"/>
  <c r="O174" i="102"/>
  <c r="Q438" i="77" s="1"/>
  <c r="Q450" i="77" s="1"/>
  <c r="Q1041" i="77" s="1"/>
  <c r="N202" i="102"/>
  <c r="N181" i="102"/>
  <c r="P226" i="77" s="1"/>
  <c r="P239" i="77" s="1"/>
  <c r="P1035" i="77" s="1"/>
  <c r="E182" i="102"/>
  <c r="G842" i="77" s="1"/>
  <c r="G1044" i="77" s="1"/>
  <c r="E212" i="102"/>
  <c r="J175" i="102"/>
  <c r="L752" i="77" s="1"/>
  <c r="L767" i="77" s="1"/>
  <c r="L1043" i="77" s="1"/>
  <c r="J211" i="102"/>
  <c r="M176" i="102"/>
  <c r="O349" i="77" s="1"/>
  <c r="O362" i="77" s="1"/>
  <c r="O1036" i="77" s="1"/>
  <c r="M204" i="102"/>
  <c r="H279" i="102"/>
  <c r="H225" i="102"/>
  <c r="H259" i="102" s="1"/>
  <c r="L281" i="102"/>
  <c r="L227" i="102"/>
  <c r="L261" i="102" s="1"/>
  <c r="O223" i="102"/>
  <c r="O257" i="102" s="1"/>
  <c r="O285" i="102"/>
  <c r="H229" i="102" l="1"/>
  <c r="H263" i="102" s="1"/>
  <c r="H287" i="102"/>
  <c r="F279" i="102"/>
  <c r="O283" i="102"/>
  <c r="O229" i="102"/>
  <c r="O263" i="102" s="1"/>
  <c r="O222" i="102"/>
  <c r="L220" i="102"/>
  <c r="L255" i="102" s="1"/>
  <c r="L276" i="102"/>
  <c r="K222" i="102"/>
  <c r="K256" i="102" s="1"/>
  <c r="K224" i="102"/>
  <c r="K258" i="102" s="1"/>
  <c r="G230" i="102"/>
  <c r="G264" i="102" s="1"/>
  <c r="F230" i="102"/>
  <c r="F264" i="102" s="1"/>
  <c r="F287" i="102"/>
  <c r="H230" i="102"/>
  <c r="H264" i="102" s="1"/>
  <c r="N220" i="102"/>
  <c r="N255" i="102" s="1"/>
  <c r="F229" i="102"/>
  <c r="F263" i="102" s="1"/>
  <c r="K284" i="102"/>
  <c r="G229" i="102"/>
  <c r="G263" i="102" s="1"/>
  <c r="I224" i="102"/>
  <c r="I258" i="102" s="1"/>
  <c r="G287" i="102"/>
  <c r="F276" i="102"/>
  <c r="N276" i="102"/>
  <c r="L219" i="102"/>
  <c r="L254" i="102" s="1"/>
  <c r="N102" i="77"/>
  <c r="N109" i="77" s="1"/>
  <c r="N1034" i="77" s="1"/>
  <c r="J276" i="102"/>
  <c r="L226" i="77"/>
  <c r="L239" i="77" s="1"/>
  <c r="L1035" i="77" s="1"/>
  <c r="N41" i="77"/>
  <c r="N42" i="77"/>
  <c r="N43" i="77"/>
  <c r="N1032" i="77" s="1"/>
  <c r="H42" i="77"/>
  <c r="H43" i="77"/>
  <c r="H1032" i="77" s="1"/>
  <c r="H41" i="77"/>
  <c r="J220" i="102"/>
  <c r="J255" i="102" s="1"/>
  <c r="H219" i="102"/>
  <c r="H254" i="102" s="1"/>
  <c r="J102" i="77"/>
  <c r="J109" i="77" s="1"/>
  <c r="J1034" i="77" s="1"/>
  <c r="H220" i="102"/>
  <c r="H255" i="102" s="1"/>
  <c r="L42" i="77"/>
  <c r="L41" i="77"/>
  <c r="L43" i="77"/>
  <c r="L1032" i="77" s="1"/>
  <c r="H275" i="102"/>
  <c r="J43" i="77"/>
  <c r="J1032" i="77" s="1"/>
  <c r="J41" i="77"/>
  <c r="J42" i="77"/>
  <c r="F220" i="102"/>
  <c r="F255" i="102" s="1"/>
  <c r="L275" i="102"/>
  <c r="F219" i="102"/>
  <c r="F254" i="102" s="1"/>
  <c r="H102" i="77"/>
  <c r="H109" i="77" s="1"/>
  <c r="H1034" i="77" s="1"/>
  <c r="N219" i="102"/>
  <c r="N254" i="102" s="1"/>
  <c r="P102" i="77"/>
  <c r="P109" i="77" s="1"/>
  <c r="P1034" i="77" s="1"/>
  <c r="H276" i="102"/>
  <c r="P42" i="77"/>
  <c r="P43" i="77"/>
  <c r="P1032" i="77" s="1"/>
  <c r="P41" i="77"/>
  <c r="D143" i="102"/>
  <c r="D51" i="103"/>
  <c r="D52" i="103"/>
  <c r="J283" i="102"/>
  <c r="J229" i="102"/>
  <c r="J263" i="102" s="1"/>
  <c r="E287" i="102"/>
  <c r="E230" i="102"/>
  <c r="E264" i="102" s="1"/>
  <c r="I180" i="102"/>
  <c r="I275" i="102" s="1"/>
  <c r="I201" i="102"/>
  <c r="G279" i="102"/>
  <c r="G225" i="102"/>
  <c r="G259" i="102" s="1"/>
  <c r="M180" i="102"/>
  <c r="M201" i="102"/>
  <c r="O279" i="102"/>
  <c r="O225" i="102"/>
  <c r="O259" i="102" s="1"/>
  <c r="O256" i="102"/>
  <c r="J224" i="102"/>
  <c r="J258" i="102" s="1"/>
  <c r="J286" i="102"/>
  <c r="M279" i="102"/>
  <c r="M225" i="102"/>
  <c r="M259" i="102" s="1"/>
  <c r="K280" i="102"/>
  <c r="K226" i="102"/>
  <c r="K260" i="102" s="1"/>
  <c r="D177" i="102"/>
  <c r="F515" i="77" s="1"/>
  <c r="F527" i="77" s="1"/>
  <c r="D205" i="102"/>
  <c r="I281" i="102"/>
  <c r="I227" i="102"/>
  <c r="I261" i="102" s="1"/>
  <c r="L226" i="102"/>
  <c r="L260" i="102" s="1"/>
  <c r="L280" i="102"/>
  <c r="E202" i="102"/>
  <c r="E181" i="102"/>
  <c r="J287" i="102"/>
  <c r="J230" i="102"/>
  <c r="J264" i="102" s="1"/>
  <c r="L283" i="102"/>
  <c r="L229" i="102"/>
  <c r="L263" i="102" s="1"/>
  <c r="F213" i="102"/>
  <c r="F214" i="102" s="1"/>
  <c r="N285" i="102"/>
  <c r="N223" i="102"/>
  <c r="N257" i="102" s="1"/>
  <c r="H218" i="102"/>
  <c r="H274" i="102"/>
  <c r="H183" i="102"/>
  <c r="H196" i="102" s="1"/>
  <c r="H288" i="102" s="1"/>
  <c r="M229" i="102"/>
  <c r="M263" i="102" s="1"/>
  <c r="M283" i="102"/>
  <c r="O181" i="102"/>
  <c r="Q226" i="77" s="1"/>
  <c r="Q239" i="77" s="1"/>
  <c r="Q1035" i="77" s="1"/>
  <c r="O202" i="102"/>
  <c r="H222" i="102"/>
  <c r="H284" i="102"/>
  <c r="N281" i="102"/>
  <c r="N227" i="102"/>
  <c r="N261" i="102" s="1"/>
  <c r="I284" i="102"/>
  <c r="I222" i="102"/>
  <c r="D181" i="102"/>
  <c r="F226" i="77" s="1"/>
  <c r="F239" i="77" s="1"/>
  <c r="D202" i="102"/>
  <c r="P164" i="102"/>
  <c r="G227" i="102"/>
  <c r="G261" i="102" s="1"/>
  <c r="G281" i="102"/>
  <c r="K279" i="102"/>
  <c r="K225" i="102"/>
  <c r="K259" i="102" s="1"/>
  <c r="O227" i="102"/>
  <c r="O261" i="102" s="1"/>
  <c r="O281" i="102"/>
  <c r="K223" i="102"/>
  <c r="K257" i="102" s="1"/>
  <c r="K285" i="102"/>
  <c r="J284" i="102"/>
  <c r="J222" i="102"/>
  <c r="M170" i="102"/>
  <c r="O37" i="77" s="1"/>
  <c r="M200" i="102"/>
  <c r="M166" i="102"/>
  <c r="M167" i="102" s="1"/>
  <c r="J213" i="102"/>
  <c r="J214" i="102" s="1"/>
  <c r="K166" i="102"/>
  <c r="K167" i="102" s="1"/>
  <c r="K170" i="102"/>
  <c r="M37" i="77" s="1"/>
  <c r="K200" i="102"/>
  <c r="D165" i="102"/>
  <c r="D13" i="103" s="1"/>
  <c r="D157" i="102"/>
  <c r="D9" i="103" s="1"/>
  <c r="P133" i="102"/>
  <c r="D156" i="102"/>
  <c r="D162" i="102"/>
  <c r="D158" i="102"/>
  <c r="D10" i="103" s="1"/>
  <c r="G201" i="102"/>
  <c r="G180" i="102"/>
  <c r="O280" i="102"/>
  <c r="O226" i="102"/>
  <c r="O260" i="102" s="1"/>
  <c r="F284" i="102"/>
  <c r="F222" i="102"/>
  <c r="E160" i="102"/>
  <c r="P160" i="102" s="1"/>
  <c r="E159" i="102"/>
  <c r="E11" i="103" s="1"/>
  <c r="E161" i="102"/>
  <c r="E12" i="103" s="1"/>
  <c r="E52" i="103" s="1"/>
  <c r="P136" i="102"/>
  <c r="I229" i="102"/>
  <c r="I263" i="102" s="1"/>
  <c r="I283" i="102"/>
  <c r="E276" i="102"/>
  <c r="N280" i="102"/>
  <c r="N226" i="102"/>
  <c r="N260" i="102" s="1"/>
  <c r="H213" i="102"/>
  <c r="H214" i="102" s="1"/>
  <c r="O287" i="102"/>
  <c r="O230" i="102"/>
  <c r="O264" i="102" s="1"/>
  <c r="O200" i="102"/>
  <c r="O166" i="102"/>
  <c r="O167" i="102" s="1"/>
  <c r="O170" i="102"/>
  <c r="Q37" i="77" s="1"/>
  <c r="J281" i="102"/>
  <c r="J227" i="102"/>
  <c r="J261" i="102" s="1"/>
  <c r="N218" i="102"/>
  <c r="N183" i="102"/>
  <c r="N196" i="102" s="1"/>
  <c r="N288" i="102" s="1"/>
  <c r="N274" i="102"/>
  <c r="P155" i="102"/>
  <c r="D172" i="102"/>
  <c r="F180" i="77" s="1"/>
  <c r="F193" i="77" s="1"/>
  <c r="L256" i="102"/>
  <c r="F285" i="102"/>
  <c r="F223" i="102"/>
  <c r="F257" i="102" s="1"/>
  <c r="M281" i="102"/>
  <c r="M227" i="102"/>
  <c r="M261" i="102" s="1"/>
  <c r="M181" i="102"/>
  <c r="O226" i="77" s="1"/>
  <c r="O239" i="77" s="1"/>
  <c r="O1035" i="77" s="1"/>
  <c r="M202" i="102"/>
  <c r="I287" i="102"/>
  <c r="I230" i="102"/>
  <c r="I264" i="102" s="1"/>
  <c r="E280" i="102"/>
  <c r="E226" i="102"/>
  <c r="E260" i="102" s="1"/>
  <c r="M284" i="102"/>
  <c r="M222" i="102"/>
  <c r="N284" i="102"/>
  <c r="N222" i="102"/>
  <c r="I170" i="102"/>
  <c r="K37" i="77" s="1"/>
  <c r="I166" i="102"/>
  <c r="I167" i="102" s="1"/>
  <c r="I200" i="102"/>
  <c r="I202" i="102"/>
  <c r="I181" i="102"/>
  <c r="K226" i="77" s="1"/>
  <c r="K239" i="77" s="1"/>
  <c r="K1035" i="77" s="1"/>
  <c r="M280" i="102"/>
  <c r="M226" i="102"/>
  <c r="M260" i="102" s="1"/>
  <c r="K283" i="102"/>
  <c r="K229" i="102"/>
  <c r="K263" i="102" s="1"/>
  <c r="N283" i="102"/>
  <c r="N229" i="102"/>
  <c r="N263" i="102" s="1"/>
  <c r="K202" i="102"/>
  <c r="K181" i="102"/>
  <c r="M226" i="77" s="1"/>
  <c r="M239" i="77" s="1"/>
  <c r="M1035" i="77" s="1"/>
  <c r="J280" i="102"/>
  <c r="J226" i="102"/>
  <c r="J260" i="102" s="1"/>
  <c r="E281" i="102"/>
  <c r="E227" i="102"/>
  <c r="E261" i="102" s="1"/>
  <c r="N224" i="102"/>
  <c r="N258" i="102" s="1"/>
  <c r="N286" i="102"/>
  <c r="N287" i="102"/>
  <c r="N230" i="102"/>
  <c r="N264" i="102" s="1"/>
  <c r="F281" i="102"/>
  <c r="F227" i="102"/>
  <c r="F261" i="102" s="1"/>
  <c r="F269" i="102" s="1"/>
  <c r="G181" i="102"/>
  <c r="G202" i="102"/>
  <c r="D204" i="102"/>
  <c r="P159" i="102"/>
  <c r="D176" i="102"/>
  <c r="F349" i="77" s="1"/>
  <c r="F362" i="77" s="1"/>
  <c r="I280" i="102"/>
  <c r="I226" i="102"/>
  <c r="I260" i="102" s="1"/>
  <c r="H286" i="102"/>
  <c r="H224" i="102"/>
  <c r="H258" i="102" s="1"/>
  <c r="I279" i="102"/>
  <c r="I225" i="102"/>
  <c r="I259" i="102" s="1"/>
  <c r="E180" i="102"/>
  <c r="E201" i="102"/>
  <c r="L274" i="102"/>
  <c r="L218" i="102"/>
  <c r="L183" i="102"/>
  <c r="L196" i="102" s="1"/>
  <c r="L288" i="102" s="1"/>
  <c r="J279" i="102"/>
  <c r="J225" i="102"/>
  <c r="J259" i="102" s="1"/>
  <c r="F183" i="102"/>
  <c r="F196" i="102" s="1"/>
  <c r="F288" i="102" s="1"/>
  <c r="F218" i="102"/>
  <c r="F274" i="102"/>
  <c r="J285" i="102"/>
  <c r="J223" i="102"/>
  <c r="J257" i="102" s="1"/>
  <c r="F224" i="102"/>
  <c r="F258" i="102" s="1"/>
  <c r="F286" i="102"/>
  <c r="M285" i="102"/>
  <c r="M223" i="102"/>
  <c r="M257" i="102" s="1"/>
  <c r="E229" i="102"/>
  <c r="E263" i="102" s="1"/>
  <c r="E283" i="102"/>
  <c r="N213" i="102"/>
  <c r="N214" i="102" s="1"/>
  <c r="D144" i="102"/>
  <c r="P144" i="102" s="1"/>
  <c r="P143" i="102"/>
  <c r="D180" i="102"/>
  <c r="F102" i="77" s="1"/>
  <c r="F109" i="77" s="1"/>
  <c r="P163" i="102"/>
  <c r="D201" i="102"/>
  <c r="K227" i="102"/>
  <c r="K261" i="102" s="1"/>
  <c r="K281" i="102"/>
  <c r="H226" i="102"/>
  <c r="H260" i="102" s="1"/>
  <c r="H280" i="102"/>
  <c r="J183" i="102"/>
  <c r="J196" i="102" s="1"/>
  <c r="J288" i="102" s="1"/>
  <c r="J274" i="102"/>
  <c r="J218" i="102"/>
  <c r="H281" i="102"/>
  <c r="H227" i="102"/>
  <c r="H261" i="102" s="1"/>
  <c r="K201" i="102"/>
  <c r="K180" i="102"/>
  <c r="M286" i="102"/>
  <c r="M224" i="102"/>
  <c r="M258" i="102" s="1"/>
  <c r="G166" i="102"/>
  <c r="G167" i="102" s="1"/>
  <c r="G200" i="102"/>
  <c r="G170" i="102"/>
  <c r="I37" i="77" s="1"/>
  <c r="G275" i="102"/>
  <c r="D178" i="102"/>
  <c r="F645" i="77" s="1"/>
  <c r="F661" i="77" s="1"/>
  <c r="D206" i="102"/>
  <c r="E200" i="102"/>
  <c r="E170" i="102"/>
  <c r="G37" i="77" s="1"/>
  <c r="L213" i="102"/>
  <c r="L214" i="102" s="1"/>
  <c r="E279" i="102"/>
  <c r="E225" i="102"/>
  <c r="E259" i="102" s="1"/>
  <c r="K287" i="102"/>
  <c r="K230" i="102"/>
  <c r="K264" i="102" s="1"/>
  <c r="O201" i="102"/>
  <c r="O180" i="102"/>
  <c r="L287" i="102"/>
  <c r="L230" i="102"/>
  <c r="L264" i="102" s="1"/>
  <c r="D171" i="102"/>
  <c r="F79" i="77" s="1"/>
  <c r="F86" i="77" s="1"/>
  <c r="P154" i="102"/>
  <c r="D200" i="102"/>
  <c r="P153" i="102"/>
  <c r="D170" i="102"/>
  <c r="F37" i="77" s="1"/>
  <c r="L279" i="102"/>
  <c r="L225" i="102"/>
  <c r="L259" i="102" s="1"/>
  <c r="M230" i="102"/>
  <c r="M264" i="102" s="1"/>
  <c r="M287" i="102"/>
  <c r="H285" i="102"/>
  <c r="H223" i="102"/>
  <c r="H257" i="102" s="1"/>
  <c r="N269" i="102" l="1"/>
  <c r="M220" i="102"/>
  <c r="M255" i="102" s="1"/>
  <c r="O276" i="102"/>
  <c r="K220" i="102"/>
  <c r="K255" i="102" s="1"/>
  <c r="D166" i="102"/>
  <c r="M276" i="102"/>
  <c r="K276" i="102"/>
  <c r="I220" i="102"/>
  <c r="I255" i="102" s="1"/>
  <c r="I269" i="102"/>
  <c r="H269" i="102"/>
  <c r="E219" i="102"/>
  <c r="E254" i="102" s="1"/>
  <c r="G102" i="77"/>
  <c r="G109" i="77" s="1"/>
  <c r="G1034" i="77" s="1"/>
  <c r="K43" i="77"/>
  <c r="K1032" i="77" s="1"/>
  <c r="K41" i="77"/>
  <c r="K42" i="77"/>
  <c r="Q41" i="77"/>
  <c r="Q43" i="77"/>
  <c r="Q1032" i="77" s="1"/>
  <c r="Q42" i="77"/>
  <c r="E275" i="102"/>
  <c r="I41" i="77"/>
  <c r="I43" i="77"/>
  <c r="I1032" i="77" s="1"/>
  <c r="I42" i="77"/>
  <c r="E51" i="103"/>
  <c r="E54" i="103" s="1"/>
  <c r="E14" i="103"/>
  <c r="E15" i="103" s="1"/>
  <c r="O43" i="77"/>
  <c r="O1032" i="77" s="1"/>
  <c r="O42" i="77"/>
  <c r="O41" i="77"/>
  <c r="E220" i="102"/>
  <c r="E255" i="102" s="1"/>
  <c r="G226" i="77"/>
  <c r="G239" i="77" s="1"/>
  <c r="G1035" i="77" s="1"/>
  <c r="P12" i="103"/>
  <c r="O219" i="102"/>
  <c r="O254" i="102" s="1"/>
  <c r="Q102" i="77"/>
  <c r="Q109" i="77" s="1"/>
  <c r="Q1034" i="77" s="1"/>
  <c r="E269" i="102"/>
  <c r="E166" i="102"/>
  <c r="E167" i="102" s="1"/>
  <c r="P161" i="102"/>
  <c r="G213" i="102"/>
  <c r="G214" i="102" s="1"/>
  <c r="M41" i="77"/>
  <c r="M42" i="77"/>
  <c r="M43" i="77"/>
  <c r="M1032" i="77" s="1"/>
  <c r="L269" i="102"/>
  <c r="I276" i="102"/>
  <c r="G43" i="77"/>
  <c r="G1032" i="77" s="1"/>
  <c r="G42" i="77"/>
  <c r="G41" i="77"/>
  <c r="K219" i="102"/>
  <c r="K254" i="102" s="1"/>
  <c r="M102" i="77"/>
  <c r="M109" i="77" s="1"/>
  <c r="M1034" i="77" s="1"/>
  <c r="P201" i="102"/>
  <c r="E11" i="98" s="1"/>
  <c r="O220" i="102"/>
  <c r="O255" i="102" s="1"/>
  <c r="G276" i="102"/>
  <c r="I226" i="77"/>
  <c r="I239" i="77" s="1"/>
  <c r="I1035" i="77" s="1"/>
  <c r="G233" i="102"/>
  <c r="G219" i="102"/>
  <c r="G254" i="102" s="1"/>
  <c r="I102" i="77"/>
  <c r="I109" i="77" s="1"/>
  <c r="I1034" i="77" s="1"/>
  <c r="M219" i="102"/>
  <c r="M254" i="102" s="1"/>
  <c r="O102" i="77"/>
  <c r="O109" i="77" s="1"/>
  <c r="O1034" i="77" s="1"/>
  <c r="I219" i="102"/>
  <c r="I254" i="102" s="1"/>
  <c r="K102" i="77"/>
  <c r="K109" i="77" s="1"/>
  <c r="K1034" i="77" s="1"/>
  <c r="P11" i="103"/>
  <c r="F43" i="77"/>
  <c r="F42" i="77"/>
  <c r="F41" i="77"/>
  <c r="F1034" i="77"/>
  <c r="R86" i="77"/>
  <c r="F1037" i="77"/>
  <c r="P52" i="103"/>
  <c r="F1035" i="77"/>
  <c r="R193" i="77"/>
  <c r="P10" i="103"/>
  <c r="D50" i="103"/>
  <c r="P50" i="103" s="1"/>
  <c r="P9" i="103"/>
  <c r="D14" i="103"/>
  <c r="D15" i="103" s="1"/>
  <c r="D49" i="103"/>
  <c r="P49" i="103" s="1"/>
  <c r="P13" i="103"/>
  <c r="P53" i="103"/>
  <c r="F1038" i="77"/>
  <c r="F1036" i="77"/>
  <c r="D167" i="102"/>
  <c r="D222" i="102"/>
  <c r="D284" i="102"/>
  <c r="M233" i="102"/>
  <c r="M256" i="102"/>
  <c r="E206" i="102"/>
  <c r="P206" i="102" s="1"/>
  <c r="E19" i="98" s="1"/>
  <c r="E178" i="102"/>
  <c r="G645" i="77" s="1"/>
  <c r="G661" i="77" s="1"/>
  <c r="G1038" i="77" s="1"/>
  <c r="K274" i="102"/>
  <c r="K218" i="102"/>
  <c r="K183" i="102"/>
  <c r="K196" i="102" s="1"/>
  <c r="K288" i="102" s="1"/>
  <c r="M213" i="102"/>
  <c r="M214" i="102" s="1"/>
  <c r="I233" i="102"/>
  <c r="I256" i="102"/>
  <c r="O233" i="102"/>
  <c r="D274" i="102"/>
  <c r="D218" i="102"/>
  <c r="P170" i="102"/>
  <c r="D275" i="102"/>
  <c r="P171" i="102"/>
  <c r="E274" i="102"/>
  <c r="E218" i="102"/>
  <c r="D286" i="102"/>
  <c r="D224" i="102"/>
  <c r="K275" i="102"/>
  <c r="M275" i="102"/>
  <c r="F253" i="102"/>
  <c r="F231" i="102"/>
  <c r="I274" i="102"/>
  <c r="I218" i="102"/>
  <c r="I183" i="102"/>
  <c r="I196" i="102" s="1"/>
  <c r="I288" i="102" s="1"/>
  <c r="L233" i="102"/>
  <c r="O213" i="102"/>
  <c r="O214" i="102" s="1"/>
  <c r="E176" i="102"/>
  <c r="E204" i="102"/>
  <c r="P204" i="102" s="1"/>
  <c r="E15" i="98" s="1"/>
  <c r="P158" i="102"/>
  <c r="D211" i="102"/>
  <c r="P211" i="102" s="1"/>
  <c r="E20" i="98" s="1"/>
  <c r="D175" i="102"/>
  <c r="F752" i="77" s="1"/>
  <c r="F767" i="77" s="1"/>
  <c r="P157" i="102"/>
  <c r="D209" i="102"/>
  <c r="P209" i="102" s="1"/>
  <c r="E16" i="98" s="1"/>
  <c r="D174" i="102"/>
  <c r="F438" i="77" s="1"/>
  <c r="F450" i="77" s="1"/>
  <c r="M274" i="102"/>
  <c r="M183" i="102"/>
  <c r="M196" i="102" s="1"/>
  <c r="M288" i="102" s="1"/>
  <c r="M218" i="102"/>
  <c r="K269" i="102"/>
  <c r="K233" i="102"/>
  <c r="G220" i="102"/>
  <c r="G255" i="102" s="1"/>
  <c r="O269" i="102"/>
  <c r="G269" i="102"/>
  <c r="J253" i="102"/>
  <c r="J231" i="102"/>
  <c r="D219" i="102"/>
  <c r="P180" i="102"/>
  <c r="L253" i="102"/>
  <c r="L231" i="102"/>
  <c r="N256" i="102"/>
  <c r="N233" i="102"/>
  <c r="O275" i="102"/>
  <c r="E205" i="102"/>
  <c r="P205" i="102" s="1"/>
  <c r="E17" i="98" s="1"/>
  <c r="E177" i="102"/>
  <c r="D179" i="102"/>
  <c r="F146" i="77" s="1"/>
  <c r="F153" i="77" s="1"/>
  <c r="D207" i="102"/>
  <c r="P207" i="102" s="1"/>
  <c r="E12" i="98" s="1"/>
  <c r="P162" i="102"/>
  <c r="D212" i="102"/>
  <c r="P212" i="102" s="1"/>
  <c r="E21" i="98" s="1"/>
  <c r="P165" i="102"/>
  <c r="D182" i="102"/>
  <c r="F842" i="77" s="1"/>
  <c r="F1044" i="77" s="1"/>
  <c r="R1044" i="77" s="1"/>
  <c r="J256" i="102"/>
  <c r="J233" i="102"/>
  <c r="P202" i="102"/>
  <c r="E13" i="98" s="1"/>
  <c r="H231" i="102"/>
  <c r="H253" i="102"/>
  <c r="D285" i="102"/>
  <c r="D223" i="102"/>
  <c r="P200" i="102"/>
  <c r="E10" i="98" s="1"/>
  <c r="G274" i="102"/>
  <c r="G218" i="102"/>
  <c r="G183" i="102"/>
  <c r="G196" i="102" s="1"/>
  <c r="G288" i="102" s="1"/>
  <c r="J269" i="102"/>
  <c r="I213" i="102"/>
  <c r="I214" i="102" s="1"/>
  <c r="D220" i="102"/>
  <c r="D276" i="102"/>
  <c r="P172" i="102"/>
  <c r="N253" i="102"/>
  <c r="N231" i="102"/>
  <c r="O274" i="102"/>
  <c r="O218" i="102"/>
  <c r="O183" i="102"/>
  <c r="O196" i="102" s="1"/>
  <c r="O288" i="102" s="1"/>
  <c r="F256" i="102"/>
  <c r="F233" i="102"/>
  <c r="D208" i="102"/>
  <c r="P208" i="102" s="1"/>
  <c r="E14" i="98" s="1"/>
  <c r="D173" i="102"/>
  <c r="F268" i="77" s="1"/>
  <c r="F281" i="77" s="1"/>
  <c r="P156" i="102"/>
  <c r="K213" i="102"/>
  <c r="K214" i="102" s="1"/>
  <c r="P181" i="102"/>
  <c r="H256" i="102"/>
  <c r="H233" i="102"/>
  <c r="M269" i="102"/>
  <c r="R1034" i="77" l="1"/>
  <c r="F13" i="96" s="1"/>
  <c r="P276" i="102"/>
  <c r="E213" i="102"/>
  <c r="E214" i="102" s="1"/>
  <c r="R661" i="77"/>
  <c r="P51" i="103"/>
  <c r="P166" i="102"/>
  <c r="P167" i="102"/>
  <c r="E183" i="102"/>
  <c r="E196" i="102" s="1"/>
  <c r="E288" i="102" s="1"/>
  <c r="G515" i="77"/>
  <c r="G527" i="77" s="1"/>
  <c r="R239" i="77"/>
  <c r="L232" i="102"/>
  <c r="N1086" i="77"/>
  <c r="J232" i="102"/>
  <c r="L1086" i="77"/>
  <c r="R109" i="77"/>
  <c r="P176" i="102"/>
  <c r="G349" i="77"/>
  <c r="G362" i="77" s="1"/>
  <c r="N232" i="102"/>
  <c r="P1086" i="77"/>
  <c r="P177" i="102"/>
  <c r="H232" i="102"/>
  <c r="J1086" i="77"/>
  <c r="F232" i="102"/>
  <c r="H1086" i="77"/>
  <c r="P14" i="103"/>
  <c r="P15" i="103" s="1"/>
  <c r="D54" i="103"/>
  <c r="P54" i="103" s="1"/>
  <c r="F1040" i="77"/>
  <c r="R281" i="77"/>
  <c r="F1039" i="77"/>
  <c r="R1039" i="77" s="1"/>
  <c r="F14" i="96" s="1"/>
  <c r="R153" i="77"/>
  <c r="F1041" i="77"/>
  <c r="R450" i="77"/>
  <c r="F1043" i="77"/>
  <c r="R767" i="77"/>
  <c r="F1032" i="77"/>
  <c r="R43" i="77"/>
  <c r="D226" i="102"/>
  <c r="D280" i="102"/>
  <c r="P280" i="102" s="1"/>
  <c r="P173" i="102"/>
  <c r="N265" i="102"/>
  <c r="N266" i="102" s="1"/>
  <c r="N268" i="102"/>
  <c r="N270" i="102" s="1"/>
  <c r="D287" i="102"/>
  <c r="P287" i="102" s="1"/>
  <c r="D230" i="102"/>
  <c r="P182" i="102"/>
  <c r="D281" i="102"/>
  <c r="P281" i="102" s="1"/>
  <c r="P174" i="102"/>
  <c r="D227" i="102"/>
  <c r="P275" i="102"/>
  <c r="P274" i="102"/>
  <c r="E286" i="102"/>
  <c r="P286" i="102" s="1"/>
  <c r="E224" i="102"/>
  <c r="E258" i="102" s="1"/>
  <c r="O231" i="102"/>
  <c r="O253" i="102"/>
  <c r="D257" i="102"/>
  <c r="D279" i="102"/>
  <c r="P279" i="102" s="1"/>
  <c r="P179" i="102"/>
  <c r="D225" i="102"/>
  <c r="L268" i="102"/>
  <c r="L270" i="102" s="1"/>
  <c r="L265" i="102"/>
  <c r="L266" i="102" s="1"/>
  <c r="J265" i="102"/>
  <c r="J266" i="102" s="1"/>
  <c r="J268" i="102"/>
  <c r="J270" i="102" s="1"/>
  <c r="M231" i="102"/>
  <c r="M253" i="102"/>
  <c r="P178" i="102"/>
  <c r="E253" i="102"/>
  <c r="D183" i="102"/>
  <c r="D213" i="102"/>
  <c r="E285" i="102"/>
  <c r="P285" i="102" s="1"/>
  <c r="E223" i="102"/>
  <c r="E257" i="102" s="1"/>
  <c r="F265" i="102"/>
  <c r="F266" i="102" s="1"/>
  <c r="F268" i="102"/>
  <c r="F270" i="102" s="1"/>
  <c r="D258" i="102"/>
  <c r="K231" i="102"/>
  <c r="K253" i="102"/>
  <c r="D256" i="102"/>
  <c r="D255" i="102"/>
  <c r="P255" i="102" s="1"/>
  <c r="P220" i="102"/>
  <c r="G253" i="102"/>
  <c r="G231" i="102"/>
  <c r="H268" i="102"/>
  <c r="H270" i="102" s="1"/>
  <c r="H265" i="102"/>
  <c r="H266" i="102" s="1"/>
  <c r="D254" i="102"/>
  <c r="P254" i="102" s="1"/>
  <c r="P219" i="102"/>
  <c r="D283" i="102"/>
  <c r="P283" i="102" s="1"/>
  <c r="P175" i="102"/>
  <c r="D229" i="102"/>
  <c r="E284" i="102"/>
  <c r="P284" i="102" s="1"/>
  <c r="E222" i="102"/>
  <c r="P222" i="102" s="1"/>
  <c r="I253" i="102"/>
  <c r="I231" i="102"/>
  <c r="P218" i="102"/>
  <c r="D253" i="102"/>
  <c r="N271" i="102" l="1"/>
  <c r="J271" i="102"/>
  <c r="H271" i="102"/>
  <c r="I232" i="102"/>
  <c r="K1086" i="77"/>
  <c r="K232" i="102"/>
  <c r="M1086" i="77"/>
  <c r="M232" i="102"/>
  <c r="O1086" i="77"/>
  <c r="P257" i="102"/>
  <c r="G1036" i="77"/>
  <c r="R362" i="77"/>
  <c r="G1037" i="77"/>
  <c r="R527" i="77"/>
  <c r="G232" i="102"/>
  <c r="I1086" i="77"/>
  <c r="F271" i="102"/>
  <c r="O232" i="102"/>
  <c r="Q1086" i="77"/>
  <c r="K265" i="102"/>
  <c r="K266" i="102" s="1"/>
  <c r="K268" i="102"/>
  <c r="K270" i="102" s="1"/>
  <c r="E231" i="102"/>
  <c r="D259" i="102"/>
  <c r="P225" i="102"/>
  <c r="D261" i="102"/>
  <c r="P261" i="102" s="1"/>
  <c r="P227" i="102"/>
  <c r="D264" i="102"/>
  <c r="P264" i="102" s="1"/>
  <c r="P230" i="102"/>
  <c r="D231" i="102"/>
  <c r="F1086" i="77" s="1"/>
  <c r="D263" i="102"/>
  <c r="P263" i="102" s="1"/>
  <c r="P229" i="102"/>
  <c r="G265" i="102"/>
  <c r="G266" i="102" s="1"/>
  <c r="G268" i="102"/>
  <c r="G270" i="102" s="1"/>
  <c r="P224" i="102"/>
  <c r="P183" i="102"/>
  <c r="D196" i="102"/>
  <c r="M268" i="102"/>
  <c r="M270" i="102" s="1"/>
  <c r="M265" i="102"/>
  <c r="M266" i="102" s="1"/>
  <c r="D260" i="102"/>
  <c r="P260" i="102" s="1"/>
  <c r="P226" i="102"/>
  <c r="D268" i="102"/>
  <c r="P253" i="102"/>
  <c r="I268" i="102"/>
  <c r="I270" i="102" s="1"/>
  <c r="I265" i="102"/>
  <c r="I266" i="102" s="1"/>
  <c r="P258" i="102"/>
  <c r="L271" i="102"/>
  <c r="P223" i="102"/>
  <c r="E233" i="102"/>
  <c r="E256" i="102"/>
  <c r="E265" i="102" s="1"/>
  <c r="D233" i="102"/>
  <c r="P213" i="102"/>
  <c r="D214" i="102"/>
  <c r="P214" i="102" s="1"/>
  <c r="O265" i="102"/>
  <c r="O266" i="102" s="1"/>
  <c r="O268" i="102"/>
  <c r="O270" i="102" s="1"/>
  <c r="E266" i="102" l="1"/>
  <c r="E268" i="102"/>
  <c r="E270" i="102" s="1"/>
  <c r="E271" i="102" s="1"/>
  <c r="P256" i="102"/>
  <c r="E232" i="102"/>
  <c r="G1086" i="77"/>
  <c r="O271" i="102"/>
  <c r="D265" i="102"/>
  <c r="P265" i="102" s="1"/>
  <c r="D269" i="102"/>
  <c r="P269" i="102" s="1"/>
  <c r="P259" i="102"/>
  <c r="P233" i="102"/>
  <c r="M271" i="102"/>
  <c r="I271" i="102"/>
  <c r="D288" i="102"/>
  <c r="P288" i="102" s="1"/>
  <c r="P196" i="102"/>
  <c r="G271" i="102"/>
  <c r="D232" i="102"/>
  <c r="P231" i="102"/>
  <c r="K271" i="102"/>
  <c r="D270" i="102" l="1"/>
  <c r="P270" i="102" s="1"/>
  <c r="D266" i="102"/>
  <c r="P266" i="102" s="1"/>
  <c r="P232" i="102"/>
  <c r="P268" i="102"/>
  <c r="D271" i="102"/>
  <c r="P271" i="102" s="1"/>
  <c r="G123" i="77" l="1"/>
  <c r="H123" i="77"/>
  <c r="I123" i="77"/>
  <c r="J123" i="77"/>
  <c r="K123" i="77"/>
  <c r="L123" i="77"/>
  <c r="M123" i="77"/>
  <c r="N123" i="77"/>
  <c r="O123" i="77"/>
  <c r="P123" i="77"/>
  <c r="Q123" i="77"/>
  <c r="F123" i="77"/>
  <c r="G927" i="77"/>
  <c r="H927" i="77"/>
  <c r="I927" i="77"/>
  <c r="J927" i="77"/>
  <c r="K927" i="77"/>
  <c r="L927" i="77"/>
  <c r="M927" i="77"/>
  <c r="N927" i="77"/>
  <c r="O927" i="77"/>
  <c r="P927" i="77"/>
  <c r="Q927" i="77"/>
  <c r="F927" i="77"/>
  <c r="G145" i="77"/>
  <c r="G877" i="77" s="1"/>
  <c r="H145" i="77"/>
  <c r="H877" i="77" s="1"/>
  <c r="I145" i="77"/>
  <c r="I877" i="77" s="1"/>
  <c r="J145" i="77"/>
  <c r="J877" i="77" s="1"/>
  <c r="K145" i="77"/>
  <c r="K877" i="77" s="1"/>
  <c r="L145" i="77"/>
  <c r="L877" i="77" s="1"/>
  <c r="M145" i="77"/>
  <c r="M877" i="77" s="1"/>
  <c r="N145" i="77"/>
  <c r="N877" i="77" s="1"/>
  <c r="O145" i="77"/>
  <c r="O877" i="77" s="1"/>
  <c r="P145" i="77"/>
  <c r="P877" i="77" s="1"/>
  <c r="Q145" i="77"/>
  <c r="Q877" i="77" s="1"/>
  <c r="F145" i="77"/>
  <c r="F877" i="77" s="1"/>
  <c r="Q141" i="77"/>
  <c r="P141" i="77"/>
  <c r="O141" i="77"/>
  <c r="N141" i="77"/>
  <c r="M141" i="77"/>
  <c r="L141" i="77"/>
  <c r="K141" i="77"/>
  <c r="J141" i="77"/>
  <c r="I141" i="77"/>
  <c r="H141" i="77"/>
  <c r="G141" i="77"/>
  <c r="F141" i="77"/>
  <c r="Q140" i="77"/>
  <c r="P140" i="77"/>
  <c r="O140" i="77"/>
  <c r="N140" i="77"/>
  <c r="M140" i="77"/>
  <c r="L140" i="77"/>
  <c r="K140" i="77"/>
  <c r="J140" i="77"/>
  <c r="I140" i="77"/>
  <c r="H140" i="77"/>
  <c r="G140" i="77"/>
  <c r="F140" i="77"/>
  <c r="Q139" i="77"/>
  <c r="P139" i="77"/>
  <c r="O139" i="77"/>
  <c r="N139" i="77"/>
  <c r="M139" i="77"/>
  <c r="L139" i="77"/>
  <c r="K139" i="77"/>
  <c r="J139" i="77"/>
  <c r="I139" i="77"/>
  <c r="H139" i="77"/>
  <c r="G139" i="77"/>
  <c r="F139" i="77"/>
  <c r="Q138" i="77"/>
  <c r="P138" i="77"/>
  <c r="O138" i="77"/>
  <c r="N138" i="77"/>
  <c r="M138" i="77"/>
  <c r="L138" i="77"/>
  <c r="K138" i="77"/>
  <c r="J138" i="77"/>
  <c r="I138" i="77"/>
  <c r="H138" i="77"/>
  <c r="G138" i="77"/>
  <c r="F138" i="77"/>
  <c r="R927" i="77" l="1"/>
  <c r="R877" i="77"/>
  <c r="G149" i="77"/>
  <c r="K149" i="77"/>
  <c r="O149" i="77"/>
  <c r="G150" i="77"/>
  <c r="K150" i="77"/>
  <c r="O150" i="77"/>
  <c r="G151" i="77"/>
  <c r="G156" i="77" s="1"/>
  <c r="K151" i="77"/>
  <c r="K156" i="77" s="1"/>
  <c r="O151" i="77"/>
  <c r="O156" i="77" s="1"/>
  <c r="I149" i="77"/>
  <c r="M149" i="77"/>
  <c r="Q149" i="77"/>
  <c r="F150" i="77"/>
  <c r="J150" i="77"/>
  <c r="N150" i="77"/>
  <c r="J151" i="77"/>
  <c r="J156" i="77" s="1"/>
  <c r="N151" i="77"/>
  <c r="N156" i="77" s="1"/>
  <c r="J152" i="77"/>
  <c r="N152" i="77"/>
  <c r="I151" i="77"/>
  <c r="I156" i="77" s="1"/>
  <c r="M151" i="77"/>
  <c r="M156" i="77" s="1"/>
  <c r="Q151" i="77"/>
  <c r="Q156" i="77" s="1"/>
  <c r="H150" i="77"/>
  <c r="L150" i="77"/>
  <c r="P150" i="77"/>
  <c r="H151" i="77"/>
  <c r="H156" i="77" s="1"/>
  <c r="L151" i="77"/>
  <c r="L156" i="77" s="1"/>
  <c r="P151" i="77"/>
  <c r="P156" i="77" s="1"/>
  <c r="H152" i="77"/>
  <c r="L152" i="77"/>
  <c r="P152" i="77"/>
  <c r="F151" i="77"/>
  <c r="F152" i="77"/>
  <c r="J149" i="77"/>
  <c r="N149" i="77"/>
  <c r="H149" i="77"/>
  <c r="L149" i="77"/>
  <c r="P149" i="77"/>
  <c r="F149" i="77"/>
  <c r="I150" i="77"/>
  <c r="M150" i="77"/>
  <c r="Q150" i="77"/>
  <c r="R145" i="77"/>
  <c r="R146" i="77"/>
  <c r="G152" i="77"/>
  <c r="K152" i="77"/>
  <c r="O152" i="77"/>
  <c r="F156" i="77"/>
  <c r="I152" i="77"/>
  <c r="M152" i="77"/>
  <c r="Q152" i="77"/>
  <c r="H154" i="77" l="1"/>
  <c r="Q154" i="77"/>
  <c r="N154" i="77"/>
  <c r="M154" i="77"/>
  <c r="F154" i="77"/>
  <c r="O154" i="77"/>
  <c r="I154" i="77"/>
  <c r="K154" i="77"/>
  <c r="P154" i="77"/>
  <c r="J154" i="77"/>
  <c r="L154" i="77"/>
  <c r="G154" i="77"/>
  <c r="R150" i="77"/>
  <c r="R151" i="77"/>
  <c r="R152" i="77"/>
  <c r="R149" i="77"/>
  <c r="R154" i="77" l="1"/>
  <c r="Q18" i="73"/>
  <c r="G164" i="77" l="1"/>
  <c r="G210" i="77" s="1"/>
  <c r="H164" i="77"/>
  <c r="H210" i="77" s="1"/>
  <c r="I164" i="77"/>
  <c r="I210" i="77" s="1"/>
  <c r="J164" i="77"/>
  <c r="J210" i="77" s="1"/>
  <c r="K164" i="77"/>
  <c r="K210" i="77" s="1"/>
  <c r="L164" i="77"/>
  <c r="L210" i="77" s="1"/>
  <c r="M164" i="77"/>
  <c r="M210" i="77" s="1"/>
  <c r="N164" i="77"/>
  <c r="N210" i="77" s="1"/>
  <c r="O164" i="77"/>
  <c r="O210" i="77" s="1"/>
  <c r="P164" i="77"/>
  <c r="P210" i="77" s="1"/>
  <c r="Q164" i="77"/>
  <c r="Q210" i="77" s="1"/>
  <c r="F164" i="77"/>
  <c r="F210" i="77" s="1"/>
  <c r="G72" i="77"/>
  <c r="G95" i="77" s="1"/>
  <c r="H72" i="77"/>
  <c r="H95" i="77" s="1"/>
  <c r="I72" i="77"/>
  <c r="I95" i="77" s="1"/>
  <c r="J72" i="77"/>
  <c r="J95" i="77" s="1"/>
  <c r="K72" i="77"/>
  <c r="K95" i="77" s="1"/>
  <c r="L72" i="77"/>
  <c r="L95" i="77" s="1"/>
  <c r="M72" i="77"/>
  <c r="M95" i="77" s="1"/>
  <c r="N72" i="77"/>
  <c r="N95" i="77" s="1"/>
  <c r="O72" i="77"/>
  <c r="O95" i="77" s="1"/>
  <c r="P72" i="77"/>
  <c r="P95" i="77" s="1"/>
  <c r="Q72" i="77"/>
  <c r="Q95" i="77" s="1"/>
  <c r="F72" i="77"/>
  <c r="F95" i="77" s="1"/>
  <c r="K237" i="77" l="1"/>
  <c r="F237" i="77"/>
  <c r="N237" i="77"/>
  <c r="Q237" i="77"/>
  <c r="M237" i="77"/>
  <c r="I237" i="77"/>
  <c r="O237" i="77"/>
  <c r="G237" i="77"/>
  <c r="J237" i="77"/>
  <c r="P237" i="77"/>
  <c r="L237" i="77"/>
  <c r="H237" i="77"/>
  <c r="R237" i="77" l="1"/>
  <c r="B11" i="98"/>
  <c r="B12" i="98" s="1"/>
  <c r="B13" i="98" s="1"/>
  <c r="B14" i="98" s="1"/>
  <c r="B15" i="98" s="1"/>
  <c r="B16" i="98" s="1"/>
  <c r="B17" i="98" s="1"/>
  <c r="B18" i="98" s="1"/>
  <c r="B19" i="98" s="1"/>
  <c r="B20" i="98" s="1"/>
  <c r="B21" i="98" s="1"/>
  <c r="B22" i="98" s="1"/>
  <c r="B13" i="97"/>
  <c r="B14" i="97" s="1"/>
  <c r="B15" i="97" s="1"/>
  <c r="B16" i="97" s="1"/>
  <c r="B17" i="97" s="1"/>
  <c r="B18" i="97" s="1"/>
  <c r="B19" i="97" s="1"/>
  <c r="B20" i="97" s="1"/>
  <c r="B21" i="97" s="1"/>
  <c r="B22" i="97" s="1"/>
  <c r="B23" i="97" s="1"/>
  <c r="B24" i="97" s="1"/>
  <c r="B12" i="97"/>
  <c r="E22" i="98" l="1"/>
  <c r="E27" i="98" s="1"/>
  <c r="B17" i="96" l="1"/>
  <c r="B18" i="96" s="1"/>
  <c r="B19" i="96" s="1"/>
  <c r="B20" i="96" s="1"/>
  <c r="B21" i="96" s="1"/>
  <c r="B22" i="96" s="1"/>
  <c r="B23" i="96" s="1"/>
  <c r="B24" i="96" s="1"/>
  <c r="B25" i="96" s="1"/>
  <c r="B26" i="96" s="1"/>
  <c r="B27" i="96" s="1"/>
  <c r="B28" i="96" s="1"/>
  <c r="B29" i="96" s="1"/>
  <c r="E28" i="96"/>
  <c r="B14" i="96"/>
  <c r="B15" i="96" s="1"/>
  <c r="B16" i="96" s="1"/>
  <c r="B13" i="96"/>
  <c r="Q107" i="77" l="1"/>
  <c r="P107" i="77"/>
  <c r="O107" i="77"/>
  <c r="N107" i="77"/>
  <c r="M107" i="77"/>
  <c r="L107" i="77"/>
  <c r="K107" i="77"/>
  <c r="J107" i="77"/>
  <c r="I107" i="77"/>
  <c r="H107" i="77"/>
  <c r="G107" i="77"/>
  <c r="F107" i="77"/>
  <c r="Q191" i="77"/>
  <c r="P191" i="77"/>
  <c r="O191" i="77"/>
  <c r="N191" i="77"/>
  <c r="M191" i="77"/>
  <c r="L191" i="77"/>
  <c r="K191" i="77"/>
  <c r="J191" i="77"/>
  <c r="I191" i="77"/>
  <c r="H191" i="77"/>
  <c r="G191" i="77"/>
  <c r="F191" i="77"/>
  <c r="Q84" i="77"/>
  <c r="P84" i="77"/>
  <c r="O84" i="77"/>
  <c r="N84" i="77"/>
  <c r="M84" i="77"/>
  <c r="L84" i="77"/>
  <c r="K84" i="77"/>
  <c r="J84" i="77"/>
  <c r="I84" i="77"/>
  <c r="H84" i="77"/>
  <c r="G84" i="77"/>
  <c r="F84" i="77"/>
  <c r="R107" i="77" l="1"/>
  <c r="R191" i="77"/>
  <c r="R84" i="77"/>
  <c r="E37" i="73" l="1"/>
  <c r="G695" i="77" l="1"/>
  <c r="H695" i="77"/>
  <c r="I695" i="77"/>
  <c r="J695" i="77"/>
  <c r="K695" i="77"/>
  <c r="L695" i="77"/>
  <c r="M695" i="77"/>
  <c r="N695" i="77"/>
  <c r="O695" i="77"/>
  <c r="P695" i="77"/>
  <c r="Q695" i="77"/>
  <c r="G696" i="77"/>
  <c r="H696" i="77"/>
  <c r="I696" i="77"/>
  <c r="J696" i="77"/>
  <c r="K696" i="77"/>
  <c r="L696" i="77"/>
  <c r="M696" i="77"/>
  <c r="N696" i="77"/>
  <c r="O696" i="77"/>
  <c r="P696" i="77"/>
  <c r="Q696" i="77"/>
  <c r="G697" i="77"/>
  <c r="H697" i="77"/>
  <c r="I697" i="77"/>
  <c r="J697" i="77"/>
  <c r="K697" i="77"/>
  <c r="L697" i="77"/>
  <c r="M697" i="77"/>
  <c r="N697" i="77"/>
  <c r="O697" i="77"/>
  <c r="P697" i="77"/>
  <c r="Q697" i="77"/>
  <c r="G698" i="77"/>
  <c r="H698" i="77"/>
  <c r="I698" i="77"/>
  <c r="J698" i="77"/>
  <c r="K698" i="77"/>
  <c r="L698" i="77"/>
  <c r="M698" i="77"/>
  <c r="N698" i="77"/>
  <c r="O698" i="77"/>
  <c r="P698" i="77"/>
  <c r="Q698" i="77"/>
  <c r="G699" i="77"/>
  <c r="H699" i="77"/>
  <c r="I699" i="77"/>
  <c r="J699" i="77"/>
  <c r="K699" i="77"/>
  <c r="L699" i="77"/>
  <c r="M699" i="77"/>
  <c r="N699" i="77"/>
  <c r="O699" i="77"/>
  <c r="P699" i="77"/>
  <c r="Q699" i="77"/>
  <c r="F696" i="77"/>
  <c r="F697" i="77"/>
  <c r="F698" i="77"/>
  <c r="F699" i="77"/>
  <c r="F695" i="77"/>
  <c r="G557" i="77"/>
  <c r="H557" i="77"/>
  <c r="I557" i="77"/>
  <c r="J557" i="77"/>
  <c r="K557" i="77"/>
  <c r="L557" i="77"/>
  <c r="M557" i="77"/>
  <c r="N557" i="77"/>
  <c r="O557" i="77"/>
  <c r="P557" i="77"/>
  <c r="Q557" i="77"/>
  <c r="F557" i="77"/>
  <c r="Q397" i="77"/>
  <c r="P397" i="77"/>
  <c r="O397" i="77"/>
  <c r="N397" i="77"/>
  <c r="M397" i="77"/>
  <c r="L397" i="77"/>
  <c r="K397" i="77"/>
  <c r="J397" i="77"/>
  <c r="I397" i="77"/>
  <c r="H397" i="77"/>
  <c r="G397" i="77"/>
  <c r="F397" i="77"/>
  <c r="G393" i="77"/>
  <c r="H393" i="77"/>
  <c r="I393" i="77"/>
  <c r="J393" i="77"/>
  <c r="K393" i="77"/>
  <c r="L393" i="77"/>
  <c r="M393" i="77"/>
  <c r="N393" i="77"/>
  <c r="O393" i="77"/>
  <c r="P393" i="77"/>
  <c r="Q393" i="77"/>
  <c r="G394" i="77"/>
  <c r="H394" i="77"/>
  <c r="I394" i="77"/>
  <c r="J394" i="77"/>
  <c r="K394" i="77"/>
  <c r="L394" i="77"/>
  <c r="M394" i="77"/>
  <c r="N394" i="77"/>
  <c r="O394" i="77"/>
  <c r="P394" i="77"/>
  <c r="Q394" i="77"/>
  <c r="F394" i="77"/>
  <c r="F393" i="77"/>
  <c r="Q391" i="77"/>
  <c r="P391" i="77"/>
  <c r="O391" i="77"/>
  <c r="N391" i="77"/>
  <c r="M391" i="77"/>
  <c r="L391" i="77"/>
  <c r="K391" i="77"/>
  <c r="J391" i="77"/>
  <c r="I391" i="77"/>
  <c r="H391" i="77"/>
  <c r="G391" i="77"/>
  <c r="F391" i="77"/>
  <c r="G792" i="77"/>
  <c r="H792" i="77"/>
  <c r="I792" i="77"/>
  <c r="J792" i="77"/>
  <c r="K792" i="77"/>
  <c r="L792" i="77"/>
  <c r="M792" i="77"/>
  <c r="N792" i="77"/>
  <c r="O792" i="77"/>
  <c r="P792" i="77"/>
  <c r="Q792" i="77"/>
  <c r="G793" i="77"/>
  <c r="H793" i="77"/>
  <c r="I793" i="77"/>
  <c r="J793" i="77"/>
  <c r="K793" i="77"/>
  <c r="L793" i="77"/>
  <c r="M793" i="77"/>
  <c r="N793" i="77"/>
  <c r="O793" i="77"/>
  <c r="P793" i="77"/>
  <c r="Q793" i="77"/>
  <c r="G794" i="77"/>
  <c r="H794" i="77"/>
  <c r="I794" i="77"/>
  <c r="J794" i="77"/>
  <c r="K794" i="77"/>
  <c r="L794" i="77"/>
  <c r="M794" i="77"/>
  <c r="N794" i="77"/>
  <c r="O794" i="77"/>
  <c r="P794" i="77"/>
  <c r="Q794" i="77"/>
  <c r="G795" i="77"/>
  <c r="H795" i="77"/>
  <c r="I795" i="77"/>
  <c r="J795" i="77"/>
  <c r="K795" i="77"/>
  <c r="L795" i="77"/>
  <c r="M795" i="77"/>
  <c r="N795" i="77"/>
  <c r="O795" i="77"/>
  <c r="P795" i="77"/>
  <c r="Q795" i="77"/>
  <c r="G796" i="77"/>
  <c r="H796" i="77"/>
  <c r="I796" i="77"/>
  <c r="J796" i="77"/>
  <c r="K796" i="77"/>
  <c r="L796" i="77"/>
  <c r="M796" i="77"/>
  <c r="N796" i="77"/>
  <c r="O796" i="77"/>
  <c r="P796" i="77"/>
  <c r="Q796" i="77"/>
  <c r="F793" i="77"/>
  <c r="F794" i="77"/>
  <c r="F795" i="77"/>
  <c r="F796" i="77"/>
  <c r="F792" i="77"/>
  <c r="G596" i="77"/>
  <c r="H596" i="77"/>
  <c r="I596" i="77"/>
  <c r="J596" i="77"/>
  <c r="K596" i="77"/>
  <c r="L596" i="77"/>
  <c r="M596" i="77"/>
  <c r="N596" i="77"/>
  <c r="O596" i="77"/>
  <c r="P596" i="77"/>
  <c r="Q596" i="77"/>
  <c r="F596" i="77"/>
  <c r="G590" i="77"/>
  <c r="H590" i="77"/>
  <c r="I590" i="77"/>
  <c r="J590" i="77"/>
  <c r="K590" i="77"/>
  <c r="L590" i="77"/>
  <c r="M590" i="77"/>
  <c r="N590" i="77"/>
  <c r="O590" i="77"/>
  <c r="P590" i="77"/>
  <c r="Q590" i="77"/>
  <c r="F590" i="77"/>
  <c r="G588" i="77"/>
  <c r="H588" i="77"/>
  <c r="I588" i="77"/>
  <c r="J588" i="77"/>
  <c r="K588" i="77"/>
  <c r="L588" i="77"/>
  <c r="M588" i="77"/>
  <c r="N588" i="77"/>
  <c r="O588" i="77"/>
  <c r="P588" i="77"/>
  <c r="Q588" i="77"/>
  <c r="F588" i="77"/>
  <c r="G586" i="77"/>
  <c r="H586" i="77"/>
  <c r="I586" i="77"/>
  <c r="J586" i="77"/>
  <c r="K586" i="77"/>
  <c r="L586" i="77"/>
  <c r="M586" i="77"/>
  <c r="N586" i="77"/>
  <c r="O586" i="77"/>
  <c r="P586" i="77"/>
  <c r="Q586" i="77"/>
  <c r="G587" i="77"/>
  <c r="H587" i="77"/>
  <c r="I587" i="77"/>
  <c r="J587" i="77"/>
  <c r="K587" i="77"/>
  <c r="L587" i="77"/>
  <c r="M587" i="77"/>
  <c r="N587" i="77"/>
  <c r="O587" i="77"/>
  <c r="P587" i="77"/>
  <c r="Q587" i="77"/>
  <c r="F587" i="77"/>
  <c r="F586" i="77"/>
  <c r="G584" i="77"/>
  <c r="H584" i="77"/>
  <c r="I584" i="77"/>
  <c r="J584" i="77"/>
  <c r="K584" i="77"/>
  <c r="L584" i="77"/>
  <c r="M584" i="77"/>
  <c r="N584" i="77"/>
  <c r="O584" i="77"/>
  <c r="P584" i="77"/>
  <c r="Q584" i="77"/>
  <c r="F584" i="77"/>
  <c r="G476" i="77"/>
  <c r="H476" i="77"/>
  <c r="I476" i="77"/>
  <c r="J476" i="77"/>
  <c r="K476" i="77"/>
  <c r="L476" i="77"/>
  <c r="M476" i="77"/>
  <c r="N476" i="77"/>
  <c r="O476" i="77"/>
  <c r="P476" i="77"/>
  <c r="Q476" i="77"/>
  <c r="F476" i="77"/>
  <c r="G472" i="77"/>
  <c r="H472" i="77"/>
  <c r="I472" i="77"/>
  <c r="J472" i="77"/>
  <c r="K472" i="77"/>
  <c r="L472" i="77"/>
  <c r="M472" i="77"/>
  <c r="N472" i="77"/>
  <c r="O472" i="77"/>
  <c r="P472" i="77"/>
  <c r="Q472" i="77"/>
  <c r="G473" i="77"/>
  <c r="H473" i="77"/>
  <c r="I473" i="77"/>
  <c r="J473" i="77"/>
  <c r="K473" i="77"/>
  <c r="L473" i="77"/>
  <c r="M473" i="77"/>
  <c r="N473" i="77"/>
  <c r="O473" i="77"/>
  <c r="P473" i="77"/>
  <c r="Q473" i="77"/>
  <c r="F473" i="77"/>
  <c r="F472" i="77"/>
  <c r="G470" i="77"/>
  <c r="H470" i="77"/>
  <c r="I470" i="77"/>
  <c r="J470" i="77"/>
  <c r="K470" i="77"/>
  <c r="L470" i="77"/>
  <c r="M470" i="77"/>
  <c r="N470" i="77"/>
  <c r="O470" i="77"/>
  <c r="P470" i="77"/>
  <c r="Q470" i="77"/>
  <c r="F470" i="77"/>
  <c r="G307" i="77"/>
  <c r="H307" i="77"/>
  <c r="I307" i="77"/>
  <c r="J307" i="77"/>
  <c r="K307" i="77"/>
  <c r="L307" i="77"/>
  <c r="M307" i="77"/>
  <c r="N307" i="77"/>
  <c r="O307" i="77"/>
  <c r="P307" i="77"/>
  <c r="Q307" i="77"/>
  <c r="F307" i="77"/>
  <c r="G303" i="77"/>
  <c r="H303" i="77"/>
  <c r="I303" i="77"/>
  <c r="J303" i="77"/>
  <c r="K303" i="77"/>
  <c r="L303" i="77"/>
  <c r="M303" i="77"/>
  <c r="N303" i="77"/>
  <c r="O303" i="77"/>
  <c r="P303" i="77"/>
  <c r="Q303" i="77"/>
  <c r="G304" i="77"/>
  <c r="H304" i="77"/>
  <c r="I304" i="77"/>
  <c r="J304" i="77"/>
  <c r="K304" i="77"/>
  <c r="L304" i="77"/>
  <c r="M304" i="77"/>
  <c r="N304" i="77"/>
  <c r="O304" i="77"/>
  <c r="P304" i="77"/>
  <c r="Q304" i="77"/>
  <c r="F304" i="77"/>
  <c r="F303" i="77"/>
  <c r="G301" i="77"/>
  <c r="H301" i="77"/>
  <c r="I301" i="77"/>
  <c r="J301" i="77"/>
  <c r="K301" i="77"/>
  <c r="L301" i="77"/>
  <c r="M301" i="77"/>
  <c r="N301" i="77"/>
  <c r="O301" i="77"/>
  <c r="P301" i="77"/>
  <c r="Q301" i="77"/>
  <c r="F301" i="77"/>
  <c r="G227" i="77"/>
  <c r="H227" i="77"/>
  <c r="I227" i="77"/>
  <c r="J227" i="77"/>
  <c r="K227" i="77"/>
  <c r="L227" i="77"/>
  <c r="M227" i="77"/>
  <c r="N227" i="77"/>
  <c r="O227" i="77"/>
  <c r="P227" i="77"/>
  <c r="Q227" i="77"/>
  <c r="F227" i="77"/>
  <c r="G223" i="77"/>
  <c r="H223" i="77"/>
  <c r="I223" i="77"/>
  <c r="J223" i="77"/>
  <c r="K223" i="77"/>
  <c r="L223" i="77"/>
  <c r="M223" i="77"/>
  <c r="N223" i="77"/>
  <c r="O223" i="77"/>
  <c r="P223" i="77"/>
  <c r="Q223" i="77"/>
  <c r="G224" i="77"/>
  <c r="H224" i="77"/>
  <c r="I224" i="77"/>
  <c r="J224" i="77"/>
  <c r="K224" i="77"/>
  <c r="L224" i="77"/>
  <c r="M224" i="77"/>
  <c r="N224" i="77"/>
  <c r="O224" i="77"/>
  <c r="P224" i="77"/>
  <c r="Q224" i="77"/>
  <c r="F224" i="77"/>
  <c r="F223" i="77"/>
  <c r="G221" i="77"/>
  <c r="H221" i="77"/>
  <c r="I221" i="77"/>
  <c r="J221" i="77"/>
  <c r="K221" i="77"/>
  <c r="L221" i="77"/>
  <c r="M221" i="77"/>
  <c r="N221" i="77"/>
  <c r="O221" i="77"/>
  <c r="P221" i="77"/>
  <c r="Q221" i="77"/>
  <c r="F221" i="77"/>
  <c r="G639" i="77"/>
  <c r="H639" i="77"/>
  <c r="I639" i="77"/>
  <c r="J639" i="77"/>
  <c r="K639" i="77"/>
  <c r="L639" i="77"/>
  <c r="M639" i="77"/>
  <c r="N639" i="77"/>
  <c r="O639" i="77"/>
  <c r="P639" i="77"/>
  <c r="Q639" i="77"/>
  <c r="G640" i="77"/>
  <c r="H640" i="77"/>
  <c r="I640" i="77"/>
  <c r="J640" i="77"/>
  <c r="K640" i="77"/>
  <c r="L640" i="77"/>
  <c r="M640" i="77"/>
  <c r="N640" i="77"/>
  <c r="O640" i="77"/>
  <c r="P640" i="77"/>
  <c r="Q640" i="77"/>
  <c r="G641" i="77"/>
  <c r="H641" i="77"/>
  <c r="I641" i="77"/>
  <c r="J641" i="77"/>
  <c r="K641" i="77"/>
  <c r="L641" i="77"/>
  <c r="M641" i="77"/>
  <c r="N641" i="77"/>
  <c r="O641" i="77"/>
  <c r="P641" i="77"/>
  <c r="Q641" i="77"/>
  <c r="G642" i="77"/>
  <c r="H642" i="77"/>
  <c r="I642" i="77"/>
  <c r="J642" i="77"/>
  <c r="K642" i="77"/>
  <c r="L642" i="77"/>
  <c r="M642" i="77"/>
  <c r="N642" i="77"/>
  <c r="O642" i="77"/>
  <c r="P642" i="77"/>
  <c r="Q642" i="77"/>
  <c r="G643" i="77"/>
  <c r="H643" i="77"/>
  <c r="I643" i="77"/>
  <c r="J643" i="77"/>
  <c r="K643" i="77"/>
  <c r="L643" i="77"/>
  <c r="M643" i="77"/>
  <c r="N643" i="77"/>
  <c r="O643" i="77"/>
  <c r="P643" i="77"/>
  <c r="Q643" i="77"/>
  <c r="F640" i="77"/>
  <c r="F641" i="77"/>
  <c r="F642" i="77"/>
  <c r="F643" i="77"/>
  <c r="F639" i="77"/>
  <c r="G630" i="77"/>
  <c r="H630" i="77"/>
  <c r="I630" i="77"/>
  <c r="J630" i="77"/>
  <c r="K630" i="77"/>
  <c r="L630" i="77"/>
  <c r="M630" i="77"/>
  <c r="N630" i="77"/>
  <c r="O630" i="77"/>
  <c r="P630" i="77"/>
  <c r="Q630" i="77"/>
  <c r="F630" i="77"/>
  <c r="G627" i="77"/>
  <c r="H627" i="77"/>
  <c r="I627" i="77"/>
  <c r="J627" i="77"/>
  <c r="K627" i="77"/>
  <c r="L627" i="77"/>
  <c r="M627" i="77"/>
  <c r="N627" i="77"/>
  <c r="O627" i="77"/>
  <c r="P627" i="77"/>
  <c r="Q627" i="77"/>
  <c r="F627" i="77"/>
  <c r="G620" i="77"/>
  <c r="H620" i="77"/>
  <c r="I620" i="77"/>
  <c r="J620" i="77"/>
  <c r="K620" i="77"/>
  <c r="L620" i="77"/>
  <c r="M620" i="77"/>
  <c r="N620" i="77"/>
  <c r="O620" i="77"/>
  <c r="P620" i="77"/>
  <c r="Q620" i="77"/>
  <c r="G621" i="77"/>
  <c r="H621" i="77"/>
  <c r="I621" i="77"/>
  <c r="J621" i="77"/>
  <c r="K621" i="77"/>
  <c r="L621" i="77"/>
  <c r="M621" i="77"/>
  <c r="N621" i="77"/>
  <c r="O621" i="77"/>
  <c r="P621" i="77"/>
  <c r="Q621" i="77"/>
  <c r="G622" i="77"/>
  <c r="H622" i="77"/>
  <c r="I622" i="77"/>
  <c r="J622" i="77"/>
  <c r="K622" i="77"/>
  <c r="L622" i="77"/>
  <c r="M622" i="77"/>
  <c r="N622" i="77"/>
  <c r="O622" i="77"/>
  <c r="P622" i="77"/>
  <c r="Q622" i="77"/>
  <c r="G623" i="77"/>
  <c r="H623" i="77"/>
  <c r="I623" i="77"/>
  <c r="J623" i="77"/>
  <c r="K623" i="77"/>
  <c r="L623" i="77"/>
  <c r="M623" i="77"/>
  <c r="N623" i="77"/>
  <c r="O623" i="77"/>
  <c r="P623" i="77"/>
  <c r="Q623" i="77"/>
  <c r="G624" i="77"/>
  <c r="H624" i="77"/>
  <c r="I624" i="77"/>
  <c r="J624" i="77"/>
  <c r="K624" i="77"/>
  <c r="L624" i="77"/>
  <c r="M624" i="77"/>
  <c r="N624" i="77"/>
  <c r="O624" i="77"/>
  <c r="P624" i="77"/>
  <c r="Q624" i="77"/>
  <c r="G625" i="77"/>
  <c r="H625" i="77"/>
  <c r="I625" i="77"/>
  <c r="J625" i="77"/>
  <c r="K625" i="77"/>
  <c r="L625" i="77"/>
  <c r="M625" i="77"/>
  <c r="N625" i="77"/>
  <c r="O625" i="77"/>
  <c r="P625" i="77"/>
  <c r="Q625" i="77"/>
  <c r="F625" i="77"/>
  <c r="F624" i="77"/>
  <c r="F623" i="77"/>
  <c r="F622" i="77"/>
  <c r="F621" i="77"/>
  <c r="F620" i="77"/>
  <c r="G618" i="77"/>
  <c r="H618" i="77"/>
  <c r="I618" i="77"/>
  <c r="J618" i="77"/>
  <c r="K618" i="77"/>
  <c r="L618" i="77"/>
  <c r="M618" i="77"/>
  <c r="N618" i="77"/>
  <c r="O618" i="77"/>
  <c r="P618" i="77"/>
  <c r="Q618" i="77"/>
  <c r="F618" i="77"/>
  <c r="G513" i="77"/>
  <c r="H513" i="77"/>
  <c r="I513" i="77"/>
  <c r="J513" i="77"/>
  <c r="K513" i="77"/>
  <c r="L513" i="77"/>
  <c r="M513" i="77"/>
  <c r="N513" i="77"/>
  <c r="O513" i="77"/>
  <c r="P513" i="77"/>
  <c r="Q513" i="77"/>
  <c r="F513" i="77"/>
  <c r="G504" i="77"/>
  <c r="H504" i="77"/>
  <c r="I504" i="77"/>
  <c r="J504" i="77"/>
  <c r="K504" i="77"/>
  <c r="L504" i="77"/>
  <c r="M504" i="77"/>
  <c r="N504" i="77"/>
  <c r="O504" i="77"/>
  <c r="P504" i="77"/>
  <c r="Q504" i="77"/>
  <c r="F504" i="77"/>
  <c r="R1041" i="77" s="1"/>
  <c r="F18" i="96" s="1"/>
  <c r="G501" i="77"/>
  <c r="H501" i="77"/>
  <c r="I501" i="77"/>
  <c r="J501" i="77"/>
  <c r="K501" i="77"/>
  <c r="L501" i="77"/>
  <c r="M501" i="77"/>
  <c r="N501" i="77"/>
  <c r="O501" i="77"/>
  <c r="P501" i="77"/>
  <c r="Q501" i="77"/>
  <c r="F501" i="77"/>
  <c r="G498" i="77"/>
  <c r="H498" i="77"/>
  <c r="I498" i="77"/>
  <c r="J498" i="77"/>
  <c r="K498" i="77"/>
  <c r="L498" i="77"/>
  <c r="M498" i="77"/>
  <c r="N498" i="77"/>
  <c r="O498" i="77"/>
  <c r="P498" i="77"/>
  <c r="Q498" i="77"/>
  <c r="G499" i="77"/>
  <c r="H499" i="77"/>
  <c r="I499" i="77"/>
  <c r="J499" i="77"/>
  <c r="K499" i="77"/>
  <c r="L499" i="77"/>
  <c r="M499" i="77"/>
  <c r="N499" i="77"/>
  <c r="O499" i="77"/>
  <c r="P499" i="77"/>
  <c r="Q499" i="77"/>
  <c r="F499" i="77"/>
  <c r="F498" i="77"/>
  <c r="G496" i="77"/>
  <c r="H496" i="77"/>
  <c r="I496" i="77"/>
  <c r="J496" i="77"/>
  <c r="K496" i="77"/>
  <c r="L496" i="77"/>
  <c r="M496" i="77"/>
  <c r="N496" i="77"/>
  <c r="O496" i="77"/>
  <c r="P496" i="77"/>
  <c r="Q496" i="77"/>
  <c r="F496" i="77"/>
  <c r="G350" i="77"/>
  <c r="H350" i="77"/>
  <c r="I350" i="77"/>
  <c r="J350" i="77"/>
  <c r="K350" i="77"/>
  <c r="L350" i="77"/>
  <c r="M350" i="77"/>
  <c r="N350" i="77"/>
  <c r="O350" i="77"/>
  <c r="P350" i="77"/>
  <c r="Q350" i="77"/>
  <c r="F350" i="77"/>
  <c r="G346" i="77"/>
  <c r="H346" i="77"/>
  <c r="I346" i="77"/>
  <c r="J346" i="77"/>
  <c r="K346" i="77"/>
  <c r="L346" i="77"/>
  <c r="M346" i="77"/>
  <c r="N346" i="77"/>
  <c r="O346" i="77"/>
  <c r="P346" i="77"/>
  <c r="Q346" i="77"/>
  <c r="G347" i="77"/>
  <c r="H347" i="77"/>
  <c r="I347" i="77"/>
  <c r="J347" i="77"/>
  <c r="K347" i="77"/>
  <c r="L347" i="77"/>
  <c r="M347" i="77"/>
  <c r="N347" i="77"/>
  <c r="O347" i="77"/>
  <c r="P347" i="77"/>
  <c r="Q347" i="77"/>
  <c r="F347" i="77"/>
  <c r="F346" i="77"/>
  <c r="G344" i="77"/>
  <c r="H344" i="77"/>
  <c r="I344" i="77"/>
  <c r="J344" i="77"/>
  <c r="K344" i="77"/>
  <c r="L344" i="77"/>
  <c r="M344" i="77"/>
  <c r="N344" i="77"/>
  <c r="O344" i="77"/>
  <c r="P344" i="77"/>
  <c r="Q344" i="77"/>
  <c r="F344" i="77"/>
  <c r="G337" i="77"/>
  <c r="H337" i="77"/>
  <c r="I337" i="77"/>
  <c r="J337" i="77"/>
  <c r="K337" i="77"/>
  <c r="L337" i="77"/>
  <c r="M337" i="77"/>
  <c r="N337" i="77"/>
  <c r="O337" i="77"/>
  <c r="P337" i="77"/>
  <c r="Q337" i="77"/>
  <c r="F337" i="77"/>
  <c r="G334" i="77"/>
  <c r="H334" i="77"/>
  <c r="I334" i="77"/>
  <c r="J334" i="77"/>
  <c r="K334" i="77"/>
  <c r="L334" i="77"/>
  <c r="M334" i="77"/>
  <c r="N334" i="77"/>
  <c r="O334" i="77"/>
  <c r="P334" i="77"/>
  <c r="Q334" i="77"/>
  <c r="F334" i="77"/>
  <c r="G330" i="77"/>
  <c r="H330" i="77"/>
  <c r="I330" i="77"/>
  <c r="J330" i="77"/>
  <c r="K330" i="77"/>
  <c r="L330" i="77"/>
  <c r="M330" i="77"/>
  <c r="N330" i="77"/>
  <c r="O330" i="77"/>
  <c r="P330" i="77"/>
  <c r="Q330" i="77"/>
  <c r="G331" i="77"/>
  <c r="H331" i="77"/>
  <c r="I331" i="77"/>
  <c r="J331" i="77"/>
  <c r="K331" i="77"/>
  <c r="L331" i="77"/>
  <c r="M331" i="77"/>
  <c r="N331" i="77"/>
  <c r="O331" i="77"/>
  <c r="P331" i="77"/>
  <c r="Q331" i="77"/>
  <c r="G332" i="77"/>
  <c r="H332" i="77"/>
  <c r="I332" i="77"/>
  <c r="J332" i="77"/>
  <c r="K332" i="77"/>
  <c r="L332" i="77"/>
  <c r="M332" i="77"/>
  <c r="N332" i="77"/>
  <c r="O332" i="77"/>
  <c r="P332" i="77"/>
  <c r="Q332" i="77"/>
  <c r="F332" i="77"/>
  <c r="F331" i="77"/>
  <c r="F330" i="77"/>
  <c r="G328" i="77"/>
  <c r="H328" i="77"/>
  <c r="I328" i="77"/>
  <c r="J328" i="77"/>
  <c r="K328" i="77"/>
  <c r="L328" i="77"/>
  <c r="M328" i="77"/>
  <c r="N328" i="77"/>
  <c r="O328" i="77"/>
  <c r="P328" i="77"/>
  <c r="Q328" i="77"/>
  <c r="F328" i="77"/>
  <c r="G746" i="77"/>
  <c r="H746" i="77"/>
  <c r="I746" i="77"/>
  <c r="J746" i="77"/>
  <c r="K746" i="77"/>
  <c r="L746" i="77"/>
  <c r="M746" i="77"/>
  <c r="N746" i="77"/>
  <c r="O746" i="77"/>
  <c r="P746" i="77"/>
  <c r="Q746" i="77"/>
  <c r="G747" i="77"/>
  <c r="H747" i="77"/>
  <c r="I747" i="77"/>
  <c r="J747" i="77"/>
  <c r="K747" i="77"/>
  <c r="L747" i="77"/>
  <c r="M747" i="77"/>
  <c r="N747" i="77"/>
  <c r="O747" i="77"/>
  <c r="P747" i="77"/>
  <c r="Q747" i="77"/>
  <c r="G748" i="77"/>
  <c r="H748" i="77"/>
  <c r="I748" i="77"/>
  <c r="J748" i="77"/>
  <c r="K748" i="77"/>
  <c r="L748" i="77"/>
  <c r="M748" i="77"/>
  <c r="N748" i="77"/>
  <c r="O748" i="77"/>
  <c r="P748" i="77"/>
  <c r="Q748" i="77"/>
  <c r="G749" i="77"/>
  <c r="H749" i="77"/>
  <c r="I749" i="77"/>
  <c r="J749" i="77"/>
  <c r="K749" i="77"/>
  <c r="L749" i="77"/>
  <c r="M749" i="77"/>
  <c r="N749" i="77"/>
  <c r="O749" i="77"/>
  <c r="P749" i="77"/>
  <c r="Q749" i="77"/>
  <c r="G750" i="77"/>
  <c r="H750" i="77"/>
  <c r="I750" i="77"/>
  <c r="J750" i="77"/>
  <c r="K750" i="77"/>
  <c r="L750" i="77"/>
  <c r="M750" i="77"/>
  <c r="N750" i="77"/>
  <c r="O750" i="77"/>
  <c r="P750" i="77"/>
  <c r="Q750" i="77"/>
  <c r="F747" i="77"/>
  <c r="F748" i="77"/>
  <c r="F749" i="77"/>
  <c r="F750" i="77"/>
  <c r="F746" i="77"/>
  <c r="G732" i="77"/>
  <c r="H732" i="77"/>
  <c r="I732" i="77"/>
  <c r="J732" i="77"/>
  <c r="K732" i="77"/>
  <c r="L732" i="77"/>
  <c r="M732" i="77"/>
  <c r="N732" i="77"/>
  <c r="O732" i="77"/>
  <c r="P732" i="77"/>
  <c r="Q732" i="77"/>
  <c r="G733" i="77"/>
  <c r="H733" i="77"/>
  <c r="I733" i="77"/>
  <c r="J733" i="77"/>
  <c r="K733" i="77"/>
  <c r="L733" i="77"/>
  <c r="M733" i="77"/>
  <c r="N733" i="77"/>
  <c r="O733" i="77"/>
  <c r="P733" i="77"/>
  <c r="Q733" i="77"/>
  <c r="G734" i="77"/>
  <c r="H734" i="77"/>
  <c r="I734" i="77"/>
  <c r="J734" i="77"/>
  <c r="K734" i="77"/>
  <c r="L734" i="77"/>
  <c r="M734" i="77"/>
  <c r="N734" i="77"/>
  <c r="O734" i="77"/>
  <c r="P734" i="77"/>
  <c r="Q734" i="77"/>
  <c r="G735" i="77"/>
  <c r="H735" i="77"/>
  <c r="I735" i="77"/>
  <c r="J735" i="77"/>
  <c r="K735" i="77"/>
  <c r="L735" i="77"/>
  <c r="M735" i="77"/>
  <c r="N735" i="77"/>
  <c r="O735" i="77"/>
  <c r="P735" i="77"/>
  <c r="Q735" i="77"/>
  <c r="G736" i="77"/>
  <c r="H736" i="77"/>
  <c r="I736" i="77"/>
  <c r="J736" i="77"/>
  <c r="K736" i="77"/>
  <c r="L736" i="77"/>
  <c r="M736" i="77"/>
  <c r="N736" i="77"/>
  <c r="O736" i="77"/>
  <c r="P736" i="77"/>
  <c r="Q736" i="77"/>
  <c r="G737" i="77"/>
  <c r="H737" i="77"/>
  <c r="I737" i="77"/>
  <c r="J737" i="77"/>
  <c r="K737" i="77"/>
  <c r="L737" i="77"/>
  <c r="M737" i="77"/>
  <c r="N737" i="77"/>
  <c r="O737" i="77"/>
  <c r="P737" i="77"/>
  <c r="Q737" i="77"/>
  <c r="G738" i="77"/>
  <c r="H738" i="77"/>
  <c r="I738" i="77"/>
  <c r="J738" i="77"/>
  <c r="K738" i="77"/>
  <c r="L738" i="77"/>
  <c r="M738" i="77"/>
  <c r="N738" i="77"/>
  <c r="O738" i="77"/>
  <c r="P738" i="77"/>
  <c r="Q738" i="77"/>
  <c r="G740" i="77"/>
  <c r="H740" i="77"/>
  <c r="I740" i="77"/>
  <c r="J740" i="77"/>
  <c r="K740" i="77"/>
  <c r="L740" i="77"/>
  <c r="M740" i="77"/>
  <c r="N740" i="77"/>
  <c r="O740" i="77"/>
  <c r="P740" i="77"/>
  <c r="Q740" i="77"/>
  <c r="F738" i="77"/>
  <c r="F737" i="77"/>
  <c r="F736" i="77"/>
  <c r="F735" i="77"/>
  <c r="F734" i="77"/>
  <c r="F733" i="77"/>
  <c r="F732" i="77"/>
  <c r="F740" i="77"/>
  <c r="G730" i="77"/>
  <c r="H730" i="77"/>
  <c r="I730" i="77"/>
  <c r="J730" i="77"/>
  <c r="K730" i="77"/>
  <c r="L730" i="77"/>
  <c r="M730" i="77"/>
  <c r="N730" i="77"/>
  <c r="O730" i="77"/>
  <c r="P730" i="77"/>
  <c r="Q730" i="77"/>
  <c r="F730" i="77"/>
  <c r="G439" i="77"/>
  <c r="H439" i="77"/>
  <c r="I439" i="77"/>
  <c r="J439" i="77"/>
  <c r="K439" i="77"/>
  <c r="L439" i="77"/>
  <c r="M439" i="77"/>
  <c r="N439" i="77"/>
  <c r="O439" i="77"/>
  <c r="P439" i="77"/>
  <c r="Q439" i="77"/>
  <c r="F439" i="77"/>
  <c r="G435" i="77"/>
  <c r="H435" i="77"/>
  <c r="I435" i="77"/>
  <c r="J435" i="77"/>
  <c r="K435" i="77"/>
  <c r="L435" i="77"/>
  <c r="M435" i="77"/>
  <c r="N435" i="77"/>
  <c r="O435" i="77"/>
  <c r="P435" i="77"/>
  <c r="Q435" i="77"/>
  <c r="G436" i="77"/>
  <c r="H436" i="77"/>
  <c r="I436" i="77"/>
  <c r="J436" i="77"/>
  <c r="K436" i="77"/>
  <c r="L436" i="77"/>
  <c r="M436" i="77"/>
  <c r="N436" i="77"/>
  <c r="O436" i="77"/>
  <c r="P436" i="77"/>
  <c r="Q436" i="77"/>
  <c r="F436" i="77"/>
  <c r="F435" i="77"/>
  <c r="G433" i="77"/>
  <c r="H433" i="77"/>
  <c r="I433" i="77"/>
  <c r="J433" i="77"/>
  <c r="K433" i="77"/>
  <c r="L433" i="77"/>
  <c r="M433" i="77"/>
  <c r="N433" i="77"/>
  <c r="O433" i="77"/>
  <c r="P433" i="77"/>
  <c r="Q433" i="77"/>
  <c r="F433" i="77"/>
  <c r="G429" i="77"/>
  <c r="H429" i="77"/>
  <c r="I429" i="77"/>
  <c r="J429" i="77"/>
  <c r="K429" i="77"/>
  <c r="L429" i="77"/>
  <c r="M429" i="77"/>
  <c r="N429" i="77"/>
  <c r="O429" i="77"/>
  <c r="P429" i="77"/>
  <c r="Q429" i="77"/>
  <c r="F429" i="77"/>
  <c r="G427" i="77"/>
  <c r="H427" i="77"/>
  <c r="I427" i="77"/>
  <c r="J427" i="77"/>
  <c r="K427" i="77"/>
  <c r="L427" i="77"/>
  <c r="M427" i="77"/>
  <c r="N427" i="77"/>
  <c r="O427" i="77"/>
  <c r="P427" i="77"/>
  <c r="Q427" i="77"/>
  <c r="F427" i="77"/>
  <c r="G424" i="77"/>
  <c r="H424" i="77"/>
  <c r="I424" i="77"/>
  <c r="J424" i="77"/>
  <c r="K424" i="77"/>
  <c r="L424" i="77"/>
  <c r="M424" i="77"/>
  <c r="N424" i="77"/>
  <c r="O424" i="77"/>
  <c r="P424" i="77"/>
  <c r="Q424" i="77"/>
  <c r="G425" i="77"/>
  <c r="H425" i="77"/>
  <c r="I425" i="77"/>
  <c r="J425" i="77"/>
  <c r="K425" i="77"/>
  <c r="L425" i="77"/>
  <c r="M425" i="77"/>
  <c r="N425" i="77"/>
  <c r="O425" i="77"/>
  <c r="P425" i="77"/>
  <c r="Q425" i="77"/>
  <c r="G426" i="77"/>
  <c r="H426" i="77"/>
  <c r="I426" i="77"/>
  <c r="J426" i="77"/>
  <c r="K426" i="77"/>
  <c r="L426" i="77"/>
  <c r="M426" i="77"/>
  <c r="N426" i="77"/>
  <c r="O426" i="77"/>
  <c r="P426" i="77"/>
  <c r="Q426" i="77"/>
  <c r="F426" i="77"/>
  <c r="F425" i="77"/>
  <c r="F424" i="77"/>
  <c r="G422" i="77"/>
  <c r="H422" i="77"/>
  <c r="I422" i="77"/>
  <c r="J422" i="77"/>
  <c r="K422" i="77"/>
  <c r="L422" i="77"/>
  <c r="M422" i="77"/>
  <c r="N422" i="77"/>
  <c r="O422" i="77"/>
  <c r="P422" i="77"/>
  <c r="Q422" i="77"/>
  <c r="F422" i="77"/>
  <c r="Q269" i="77"/>
  <c r="P269" i="77"/>
  <c r="O269" i="77"/>
  <c r="N269" i="77"/>
  <c r="M269" i="77"/>
  <c r="L269" i="77"/>
  <c r="K269" i="77"/>
  <c r="J269" i="77"/>
  <c r="I269" i="77"/>
  <c r="H269" i="77"/>
  <c r="G269" i="77"/>
  <c r="F269" i="77"/>
  <c r="G265" i="77"/>
  <c r="H265" i="77"/>
  <c r="I265" i="77"/>
  <c r="J265" i="77"/>
  <c r="K265" i="77"/>
  <c r="L265" i="77"/>
  <c r="M265" i="77"/>
  <c r="N265" i="77"/>
  <c r="O265" i="77"/>
  <c r="P265" i="77"/>
  <c r="Q265" i="77"/>
  <c r="G266" i="77"/>
  <c r="H266" i="77"/>
  <c r="I266" i="77"/>
  <c r="J266" i="77"/>
  <c r="K266" i="77"/>
  <c r="L266" i="77"/>
  <c r="M266" i="77"/>
  <c r="N266" i="77"/>
  <c r="O266" i="77"/>
  <c r="P266" i="77"/>
  <c r="Q266" i="77"/>
  <c r="F266" i="77"/>
  <c r="F265" i="77"/>
  <c r="G263" i="77"/>
  <c r="H263" i="77"/>
  <c r="I263" i="77"/>
  <c r="J263" i="77"/>
  <c r="K263" i="77"/>
  <c r="L263" i="77"/>
  <c r="M263" i="77"/>
  <c r="N263" i="77"/>
  <c r="O263" i="77"/>
  <c r="P263" i="77"/>
  <c r="Q263" i="77"/>
  <c r="F263" i="77"/>
  <c r="G260" i="77"/>
  <c r="H260" i="77"/>
  <c r="I260" i="77"/>
  <c r="J260" i="77"/>
  <c r="K260" i="77"/>
  <c r="L260" i="77"/>
  <c r="M260" i="77"/>
  <c r="N260" i="77"/>
  <c r="O260" i="77"/>
  <c r="P260" i="77"/>
  <c r="Q260" i="77"/>
  <c r="F260" i="77"/>
  <c r="G259" i="77"/>
  <c r="H259" i="77"/>
  <c r="I259" i="77"/>
  <c r="J259" i="77"/>
  <c r="K259" i="77"/>
  <c r="L259" i="77"/>
  <c r="M259" i="77"/>
  <c r="N259" i="77"/>
  <c r="O259" i="77"/>
  <c r="P259" i="77"/>
  <c r="Q259" i="77"/>
  <c r="F259" i="77"/>
  <c r="G257" i="77"/>
  <c r="H257" i="77"/>
  <c r="I257" i="77"/>
  <c r="J257" i="77"/>
  <c r="K257" i="77"/>
  <c r="L257" i="77"/>
  <c r="M257" i="77"/>
  <c r="N257" i="77"/>
  <c r="O257" i="77"/>
  <c r="P257" i="77"/>
  <c r="Q257" i="77"/>
  <c r="F257" i="77"/>
  <c r="G256" i="77"/>
  <c r="H256" i="77"/>
  <c r="I256" i="77"/>
  <c r="J256" i="77"/>
  <c r="K256" i="77"/>
  <c r="L256" i="77"/>
  <c r="M256" i="77"/>
  <c r="N256" i="77"/>
  <c r="O256" i="77"/>
  <c r="P256" i="77"/>
  <c r="Q256" i="77"/>
  <c r="F256" i="77"/>
  <c r="G254" i="77"/>
  <c r="H254" i="77"/>
  <c r="I254" i="77"/>
  <c r="J254" i="77"/>
  <c r="K254" i="77"/>
  <c r="L254" i="77"/>
  <c r="M254" i="77"/>
  <c r="N254" i="77"/>
  <c r="O254" i="77"/>
  <c r="P254" i="77"/>
  <c r="Q254" i="77"/>
  <c r="G255" i="77"/>
  <c r="H255" i="77"/>
  <c r="I255" i="77"/>
  <c r="J255" i="77"/>
  <c r="K255" i="77"/>
  <c r="L255" i="77"/>
  <c r="M255" i="77"/>
  <c r="N255" i="77"/>
  <c r="O255" i="77"/>
  <c r="P255" i="77"/>
  <c r="Q255" i="77"/>
  <c r="F255" i="77"/>
  <c r="F254" i="77"/>
  <c r="G252" i="77"/>
  <c r="H252" i="77"/>
  <c r="I252" i="77"/>
  <c r="J252" i="77"/>
  <c r="K252" i="77"/>
  <c r="L252" i="77"/>
  <c r="M252" i="77"/>
  <c r="N252" i="77"/>
  <c r="O252" i="77"/>
  <c r="P252" i="77"/>
  <c r="Q252" i="77"/>
  <c r="F252" i="77"/>
  <c r="G119" i="77"/>
  <c r="H119" i="77"/>
  <c r="I119" i="77"/>
  <c r="J119" i="77"/>
  <c r="K119" i="77"/>
  <c r="L119" i="77"/>
  <c r="M119" i="77"/>
  <c r="N119" i="77"/>
  <c r="O119" i="77"/>
  <c r="P119" i="77"/>
  <c r="Q119" i="77"/>
  <c r="F119" i="77"/>
  <c r="G118" i="77"/>
  <c r="H118" i="77"/>
  <c r="I118" i="77"/>
  <c r="J118" i="77"/>
  <c r="K118" i="77"/>
  <c r="L118" i="77"/>
  <c r="M118" i="77"/>
  <c r="N118" i="77"/>
  <c r="O118" i="77"/>
  <c r="P118" i="77"/>
  <c r="Q118" i="77"/>
  <c r="F118" i="77"/>
  <c r="G117" i="77"/>
  <c r="H117" i="77"/>
  <c r="I117" i="77"/>
  <c r="J117" i="77"/>
  <c r="K117" i="77"/>
  <c r="L117" i="77"/>
  <c r="M117" i="77"/>
  <c r="N117" i="77"/>
  <c r="O117" i="77"/>
  <c r="P117" i="77"/>
  <c r="Q117" i="77"/>
  <c r="F117" i="77"/>
  <c r="G116" i="77"/>
  <c r="H116" i="77"/>
  <c r="I116" i="77"/>
  <c r="J116" i="77"/>
  <c r="K116" i="77"/>
  <c r="L116" i="77"/>
  <c r="M116" i="77"/>
  <c r="N116" i="77"/>
  <c r="O116" i="77"/>
  <c r="P116" i="77"/>
  <c r="Q116" i="77"/>
  <c r="F116" i="77"/>
  <c r="G181" i="77"/>
  <c r="H181" i="77"/>
  <c r="I181" i="77"/>
  <c r="J181" i="77"/>
  <c r="K181" i="77"/>
  <c r="L181" i="77"/>
  <c r="M181" i="77"/>
  <c r="N181" i="77"/>
  <c r="O181" i="77"/>
  <c r="P181" i="77"/>
  <c r="Q181" i="77"/>
  <c r="F181" i="77"/>
  <c r="G177" i="77"/>
  <c r="H177" i="77"/>
  <c r="I177" i="77"/>
  <c r="J177" i="77"/>
  <c r="K177" i="77"/>
  <c r="L177" i="77"/>
  <c r="M177" i="77"/>
  <c r="N177" i="77"/>
  <c r="O177" i="77"/>
  <c r="P177" i="77"/>
  <c r="Q177" i="77"/>
  <c r="G178" i="77"/>
  <c r="H178" i="77"/>
  <c r="I178" i="77"/>
  <c r="J178" i="77"/>
  <c r="K178" i="77"/>
  <c r="L178" i="77"/>
  <c r="M178" i="77"/>
  <c r="N178" i="77"/>
  <c r="O178" i="77"/>
  <c r="P178" i="77"/>
  <c r="Q178" i="77"/>
  <c r="F178" i="77"/>
  <c r="F177" i="77"/>
  <c r="G175" i="77"/>
  <c r="H175" i="77"/>
  <c r="I175" i="77"/>
  <c r="J175" i="77"/>
  <c r="K175" i="77"/>
  <c r="L175" i="77"/>
  <c r="M175" i="77"/>
  <c r="N175" i="77"/>
  <c r="O175" i="77"/>
  <c r="P175" i="77"/>
  <c r="Q175" i="77"/>
  <c r="F175" i="77"/>
  <c r="F182" i="77" s="1"/>
  <c r="G170" i="77"/>
  <c r="H170" i="77"/>
  <c r="I170" i="77"/>
  <c r="J170" i="77"/>
  <c r="K170" i="77"/>
  <c r="L170" i="77"/>
  <c r="M170" i="77"/>
  <c r="N170" i="77"/>
  <c r="O170" i="77"/>
  <c r="P170" i="77"/>
  <c r="Q170" i="77"/>
  <c r="F170" i="77"/>
  <c r="G168" i="77"/>
  <c r="H168" i="77"/>
  <c r="I168" i="77"/>
  <c r="J168" i="77"/>
  <c r="K168" i="77"/>
  <c r="L168" i="77"/>
  <c r="M168" i="77"/>
  <c r="N168" i="77"/>
  <c r="O168" i="77"/>
  <c r="P168" i="77"/>
  <c r="Q168" i="77"/>
  <c r="F168" i="77"/>
  <c r="G162" i="77"/>
  <c r="H162" i="77"/>
  <c r="I162" i="77"/>
  <c r="J162" i="77"/>
  <c r="K162" i="77"/>
  <c r="L162" i="77"/>
  <c r="M162" i="77"/>
  <c r="N162" i="77"/>
  <c r="O162" i="77"/>
  <c r="P162" i="77"/>
  <c r="Q162" i="77"/>
  <c r="G163" i="77"/>
  <c r="H163" i="77"/>
  <c r="I163" i="77"/>
  <c r="J163" i="77"/>
  <c r="K163" i="77"/>
  <c r="L163" i="77"/>
  <c r="M163" i="77"/>
  <c r="N163" i="77"/>
  <c r="O163" i="77"/>
  <c r="P163" i="77"/>
  <c r="Q163" i="77"/>
  <c r="F163" i="77"/>
  <c r="F162" i="77"/>
  <c r="G160" i="77"/>
  <c r="H160" i="77"/>
  <c r="I160" i="77"/>
  <c r="J160" i="77"/>
  <c r="K160" i="77"/>
  <c r="L160" i="77"/>
  <c r="M160" i="77"/>
  <c r="N160" i="77"/>
  <c r="O160" i="77"/>
  <c r="P160" i="77"/>
  <c r="Q160" i="77"/>
  <c r="F160" i="77"/>
  <c r="F267" i="77" l="1"/>
  <c r="R798" i="77"/>
  <c r="G71" i="77"/>
  <c r="H71" i="77"/>
  <c r="I71" i="77"/>
  <c r="J71" i="77"/>
  <c r="K71" i="77"/>
  <c r="L71" i="77"/>
  <c r="M71" i="77"/>
  <c r="N71" i="77"/>
  <c r="O71" i="77"/>
  <c r="P71" i="77"/>
  <c r="Q71" i="77"/>
  <c r="F71" i="77"/>
  <c r="F83" i="77" s="1"/>
  <c r="G70" i="77"/>
  <c r="H70" i="77"/>
  <c r="I70" i="77"/>
  <c r="J70" i="77"/>
  <c r="K70" i="77"/>
  <c r="L70" i="77"/>
  <c r="M70" i="77"/>
  <c r="N70" i="77"/>
  <c r="O70" i="77"/>
  <c r="P70" i="77"/>
  <c r="Q70" i="77"/>
  <c r="F70" i="77"/>
  <c r="G51" i="77"/>
  <c r="H51" i="77"/>
  <c r="I51" i="77"/>
  <c r="J51" i="77"/>
  <c r="K51" i="77"/>
  <c r="L51" i="77"/>
  <c r="M51" i="77"/>
  <c r="N51" i="77"/>
  <c r="O51" i="77"/>
  <c r="P51" i="77"/>
  <c r="Q51" i="77"/>
  <c r="F51" i="77"/>
  <c r="G50" i="77"/>
  <c r="H50" i="77"/>
  <c r="I50" i="77"/>
  <c r="J50" i="77"/>
  <c r="K50" i="77"/>
  <c r="L50" i="77"/>
  <c r="M50" i="77"/>
  <c r="N50" i="77"/>
  <c r="O50" i="77"/>
  <c r="P50" i="77"/>
  <c r="Q50" i="77"/>
  <c r="F50" i="77"/>
  <c r="G30" i="77"/>
  <c r="H30" i="77"/>
  <c r="I30" i="77"/>
  <c r="J30" i="77"/>
  <c r="K30" i="77"/>
  <c r="L30" i="77"/>
  <c r="M30" i="77"/>
  <c r="N30" i="77"/>
  <c r="O30" i="77"/>
  <c r="P30" i="77"/>
  <c r="Q30" i="77"/>
  <c r="F30" i="77"/>
  <c r="G29" i="77"/>
  <c r="H29" i="77"/>
  <c r="I29" i="77"/>
  <c r="J29" i="77"/>
  <c r="K29" i="77"/>
  <c r="L29" i="77"/>
  <c r="M29" i="77"/>
  <c r="N29" i="77"/>
  <c r="O29" i="77"/>
  <c r="P29" i="77"/>
  <c r="Q29" i="77"/>
  <c r="F29" i="77"/>
  <c r="G9" i="77"/>
  <c r="H9" i="77"/>
  <c r="I9" i="77"/>
  <c r="J9" i="77"/>
  <c r="K9" i="77"/>
  <c r="L9" i="77"/>
  <c r="M9" i="77"/>
  <c r="N9" i="77"/>
  <c r="O9" i="77"/>
  <c r="P9" i="77"/>
  <c r="Q9" i="77"/>
  <c r="F9" i="77"/>
  <c r="G66" i="52" l="1"/>
  <c r="H66" i="52"/>
  <c r="I66" i="52"/>
  <c r="J66" i="52"/>
  <c r="K66" i="52"/>
  <c r="L66" i="52"/>
  <c r="M66" i="52"/>
  <c r="N66" i="52"/>
  <c r="O66" i="52"/>
  <c r="P66" i="52"/>
  <c r="Q66" i="52"/>
  <c r="G67" i="52"/>
  <c r="H67" i="52"/>
  <c r="I67" i="52"/>
  <c r="J67" i="52"/>
  <c r="K67" i="52"/>
  <c r="L67" i="52"/>
  <c r="M67" i="52"/>
  <c r="N67" i="52"/>
  <c r="O67" i="52"/>
  <c r="P67" i="52"/>
  <c r="Q67" i="52"/>
  <c r="G68" i="52"/>
  <c r="H68" i="52"/>
  <c r="I68" i="52"/>
  <c r="J68" i="52"/>
  <c r="K68" i="52"/>
  <c r="L68" i="52"/>
  <c r="M68" i="52"/>
  <c r="N68" i="52"/>
  <c r="O68" i="52"/>
  <c r="P68" i="52"/>
  <c r="Q68" i="52"/>
  <c r="G69" i="52"/>
  <c r="H69" i="52"/>
  <c r="I69" i="52"/>
  <c r="J69" i="52"/>
  <c r="K69" i="52"/>
  <c r="L69" i="52"/>
  <c r="M69" i="52"/>
  <c r="N69" i="52"/>
  <c r="O69" i="52"/>
  <c r="P69" i="52"/>
  <c r="Q69" i="52"/>
  <c r="F69" i="52"/>
  <c r="F68" i="52"/>
  <c r="F67" i="52"/>
  <c r="F66" i="52"/>
  <c r="G36" i="52"/>
  <c r="H36" i="52"/>
  <c r="I36" i="52"/>
  <c r="J36" i="52"/>
  <c r="K36" i="52"/>
  <c r="L36" i="52"/>
  <c r="M36" i="52"/>
  <c r="N36" i="52"/>
  <c r="O36" i="52"/>
  <c r="P36" i="52"/>
  <c r="Q36" i="52"/>
  <c r="G37" i="52"/>
  <c r="H37" i="52"/>
  <c r="I37" i="52"/>
  <c r="J37" i="52"/>
  <c r="K37" i="52"/>
  <c r="L37" i="52"/>
  <c r="M37" i="52"/>
  <c r="N37" i="52"/>
  <c r="O37" i="52"/>
  <c r="P37" i="52"/>
  <c r="Q37" i="52"/>
  <c r="G38" i="52"/>
  <c r="H38" i="52"/>
  <c r="I38" i="52"/>
  <c r="J38" i="52"/>
  <c r="K38" i="52"/>
  <c r="L38" i="52"/>
  <c r="M38" i="52"/>
  <c r="N38" i="52"/>
  <c r="O38" i="52"/>
  <c r="P38" i="52"/>
  <c r="Q38" i="52"/>
  <c r="G39" i="52"/>
  <c r="H39" i="52"/>
  <c r="I39" i="52"/>
  <c r="J39" i="52"/>
  <c r="K39" i="52"/>
  <c r="L39" i="52"/>
  <c r="M39" i="52"/>
  <c r="N39" i="52"/>
  <c r="O39" i="52"/>
  <c r="P39" i="52"/>
  <c r="Q39" i="52"/>
  <c r="G40" i="52"/>
  <c r="H40" i="52"/>
  <c r="I40" i="52"/>
  <c r="J40" i="52"/>
  <c r="K40" i="52"/>
  <c r="L40" i="52"/>
  <c r="M40" i="52"/>
  <c r="N40" i="52"/>
  <c r="O40" i="52"/>
  <c r="P40" i="52"/>
  <c r="Q40" i="52"/>
  <c r="G41" i="52"/>
  <c r="H41" i="52"/>
  <c r="I41" i="52"/>
  <c r="J41" i="52"/>
  <c r="K41" i="52"/>
  <c r="L41" i="52"/>
  <c r="M41" i="52"/>
  <c r="N41" i="52"/>
  <c r="O41" i="52"/>
  <c r="P41" i="52"/>
  <c r="Q41" i="52"/>
  <c r="G42" i="52"/>
  <c r="H42" i="52"/>
  <c r="I42" i="52"/>
  <c r="J42" i="52"/>
  <c r="K42" i="52"/>
  <c r="L42" i="52"/>
  <c r="M42" i="52"/>
  <c r="N42" i="52"/>
  <c r="O42" i="52"/>
  <c r="P42" i="52"/>
  <c r="Q42" i="52"/>
  <c r="F42" i="52"/>
  <c r="F41" i="52"/>
  <c r="F40" i="52"/>
  <c r="F39" i="52"/>
  <c r="F38" i="52"/>
  <c r="F37" i="52"/>
  <c r="F36" i="52"/>
  <c r="G9" i="52"/>
  <c r="H9" i="52"/>
  <c r="I9" i="52"/>
  <c r="J9" i="52"/>
  <c r="K9" i="52"/>
  <c r="L9" i="52"/>
  <c r="M9" i="52"/>
  <c r="N9" i="52"/>
  <c r="O9" i="52"/>
  <c r="P9" i="52"/>
  <c r="Q9" i="52"/>
  <c r="G10" i="52"/>
  <c r="H10" i="52"/>
  <c r="I10" i="52"/>
  <c r="J10" i="52"/>
  <c r="K10" i="52"/>
  <c r="L10" i="52"/>
  <c r="M10" i="52"/>
  <c r="N10" i="52"/>
  <c r="O10" i="52"/>
  <c r="P10" i="52"/>
  <c r="Q10" i="52"/>
  <c r="G11" i="52"/>
  <c r="H11" i="52"/>
  <c r="I11" i="52"/>
  <c r="J11" i="52"/>
  <c r="K11" i="52"/>
  <c r="L11" i="52"/>
  <c r="M11" i="52"/>
  <c r="N11" i="52"/>
  <c r="O11" i="52"/>
  <c r="P11" i="52"/>
  <c r="Q11" i="52"/>
  <c r="G12" i="52"/>
  <c r="H12" i="52"/>
  <c r="I12" i="52"/>
  <c r="J12" i="52"/>
  <c r="K12" i="52"/>
  <c r="L12" i="52"/>
  <c r="M12" i="52"/>
  <c r="N12" i="52"/>
  <c r="O12" i="52"/>
  <c r="P12" i="52"/>
  <c r="Q12" i="52"/>
  <c r="G13" i="52"/>
  <c r="H13" i="52"/>
  <c r="I13" i="52"/>
  <c r="J13" i="52"/>
  <c r="K13" i="52"/>
  <c r="L13" i="52"/>
  <c r="M13" i="52"/>
  <c r="N13" i="52"/>
  <c r="O13" i="52"/>
  <c r="P13" i="52"/>
  <c r="Q13" i="52"/>
  <c r="G14" i="52"/>
  <c r="H14" i="52"/>
  <c r="I14" i="52"/>
  <c r="J14" i="52"/>
  <c r="K14" i="52"/>
  <c r="L14" i="52"/>
  <c r="M14" i="52"/>
  <c r="N14" i="52"/>
  <c r="O14" i="52"/>
  <c r="P14" i="52"/>
  <c r="Q14" i="52"/>
  <c r="F14" i="52"/>
  <c r="F13" i="52"/>
  <c r="F12" i="52"/>
  <c r="F11" i="52"/>
  <c r="F10" i="52"/>
  <c r="F9" i="52"/>
  <c r="J30" i="94"/>
  <c r="K30" i="94" s="1"/>
  <c r="I30" i="94"/>
  <c r="H30" i="94"/>
  <c r="J29" i="94"/>
  <c r="K29" i="94" s="1"/>
  <c r="I29" i="94"/>
  <c r="H29" i="94"/>
  <c r="I28" i="94"/>
  <c r="J28" i="94" s="1"/>
  <c r="K28" i="94" s="1"/>
  <c r="H28" i="94"/>
  <c r="I27" i="94"/>
  <c r="J27" i="94" s="1"/>
  <c r="K27" i="94" s="1"/>
  <c r="H27" i="94"/>
  <c r="I26" i="94"/>
  <c r="J26" i="94" s="1"/>
  <c r="J25" i="94"/>
  <c r="K25" i="94" s="1"/>
  <c r="I25" i="94"/>
  <c r="H25" i="94"/>
  <c r="I24" i="94"/>
  <c r="J24" i="94" s="1"/>
  <c r="K24" i="94" s="1"/>
  <c r="H24" i="94"/>
  <c r="I23" i="94"/>
  <c r="J23" i="94" s="1"/>
  <c r="K23" i="94" s="1"/>
  <c r="H23" i="94"/>
  <c r="H22" i="94"/>
  <c r="I22" i="94"/>
  <c r="J22" i="94" s="1"/>
  <c r="J21" i="94"/>
  <c r="K21" i="94" s="1"/>
  <c r="I21" i="94"/>
  <c r="H21" i="94"/>
  <c r="I20" i="94"/>
  <c r="J20" i="94" s="1"/>
  <c r="K20" i="94" s="1"/>
  <c r="H20" i="94"/>
  <c r="B20" i="94"/>
  <c r="B21" i="94" s="1"/>
  <c r="B22" i="94" s="1"/>
  <c r="B23" i="94" s="1"/>
  <c r="B24" i="94" s="1"/>
  <c r="B25" i="94" s="1"/>
  <c r="B26" i="94" s="1"/>
  <c r="B27" i="94" s="1"/>
  <c r="B28" i="94" s="1"/>
  <c r="B29" i="94" s="1"/>
  <c r="B30" i="94" s="1"/>
  <c r="B31" i="94" s="1"/>
  <c r="I19" i="94"/>
  <c r="J19" i="94" s="1"/>
  <c r="K19" i="94" s="1"/>
  <c r="H19" i="94"/>
  <c r="I18" i="94"/>
  <c r="J18" i="94" s="1"/>
  <c r="J17" i="94"/>
  <c r="K17" i="94" s="1"/>
  <c r="I17" i="94"/>
  <c r="H17" i="94"/>
  <c r="J16" i="94"/>
  <c r="K16" i="94" s="1"/>
  <c r="I16" i="94"/>
  <c r="H16" i="94"/>
  <c r="B16" i="94"/>
  <c r="B17" i="94" s="1"/>
  <c r="B18" i="94" s="1"/>
  <c r="B19" i="94" s="1"/>
  <c r="I15" i="94"/>
  <c r="J15" i="94" s="1"/>
  <c r="K15" i="94" s="1"/>
  <c r="H15" i="94"/>
  <c r="B15" i="94"/>
  <c r="H14" i="94"/>
  <c r="I14" i="94"/>
  <c r="J14" i="94" s="1"/>
  <c r="K219" i="93"/>
  <c r="L219" i="93" s="1"/>
  <c r="K218" i="93"/>
  <c r="L218" i="93" s="1"/>
  <c r="D183" i="93"/>
  <c r="D181" i="93"/>
  <c r="D173" i="93"/>
  <c r="H163" i="93"/>
  <c r="F163" i="93"/>
  <c r="H162" i="93"/>
  <c r="I162" i="93" s="1"/>
  <c r="F162" i="93"/>
  <c r="F161" i="93"/>
  <c r="F181" i="93" s="1"/>
  <c r="F159" i="93"/>
  <c r="I156" i="93"/>
  <c r="I154" i="93"/>
  <c r="H154" i="93"/>
  <c r="Q154" i="93" s="1"/>
  <c r="F154" i="93"/>
  <c r="F146" i="93"/>
  <c r="F189" i="93" s="1"/>
  <c r="D146" i="93"/>
  <c r="I146" i="93" s="1"/>
  <c r="I189" i="93" s="1"/>
  <c r="K189" i="93" s="1"/>
  <c r="H141" i="93"/>
  <c r="F141" i="93"/>
  <c r="F140" i="93"/>
  <c r="F183" i="93" s="1"/>
  <c r="H140" i="93"/>
  <c r="Q139" i="93"/>
  <c r="H139" i="93"/>
  <c r="I138" i="93"/>
  <c r="K138" i="93" s="1"/>
  <c r="H138" i="93"/>
  <c r="F138" i="93"/>
  <c r="Q137" i="93"/>
  <c r="H137" i="93"/>
  <c r="F137" i="93"/>
  <c r="F136" i="93"/>
  <c r="F179" i="93" s="1"/>
  <c r="H136" i="93"/>
  <c r="H159" i="93" s="1"/>
  <c r="D179" i="93"/>
  <c r="F176" i="93"/>
  <c r="Q132" i="93"/>
  <c r="F131" i="93"/>
  <c r="Q130" i="93"/>
  <c r="H130" i="93"/>
  <c r="I130" i="93" s="1"/>
  <c r="F130" i="93"/>
  <c r="F173" i="93" s="1"/>
  <c r="D115" i="93"/>
  <c r="D108" i="93"/>
  <c r="D100" i="93"/>
  <c r="D102" i="93" s="1"/>
  <c r="F99" i="93"/>
  <c r="F98" i="93"/>
  <c r="I95" i="93"/>
  <c r="K95" i="93" s="1"/>
  <c r="H93" i="93"/>
  <c r="Q93" i="93" s="1"/>
  <c r="F93" i="93"/>
  <c r="H80" i="93"/>
  <c r="F80" i="93"/>
  <c r="F115" i="93" s="1"/>
  <c r="I80" i="93"/>
  <c r="Q79" i="93"/>
  <c r="H79" i="93"/>
  <c r="H98" i="93" s="1"/>
  <c r="Q98" i="93" s="1"/>
  <c r="D114" i="93"/>
  <c r="D116" i="93" s="1"/>
  <c r="I76" i="93"/>
  <c r="Q75" i="93"/>
  <c r="I74" i="93"/>
  <c r="Q73" i="93"/>
  <c r="H73" i="93"/>
  <c r="F73" i="93"/>
  <c r="I73" i="93"/>
  <c r="D57" i="93"/>
  <c r="F54" i="93"/>
  <c r="D52" i="93"/>
  <c r="D51" i="93"/>
  <c r="Q40" i="93"/>
  <c r="H40" i="93"/>
  <c r="F40" i="93"/>
  <c r="I40" i="93"/>
  <c r="I36" i="93"/>
  <c r="K36" i="93" s="1"/>
  <c r="I34" i="93"/>
  <c r="K34" i="93" s="1"/>
  <c r="H34" i="93"/>
  <c r="Q34" i="93" s="1"/>
  <c r="F34" i="93"/>
  <c r="H20" i="93"/>
  <c r="H19" i="93"/>
  <c r="Q19" i="93" s="1"/>
  <c r="F19" i="93"/>
  <c r="Q18" i="93"/>
  <c r="F18" i="93"/>
  <c r="F57" i="93" s="1"/>
  <c r="H18" i="93"/>
  <c r="I18" i="93"/>
  <c r="I57" i="93" s="1"/>
  <c r="I15" i="93"/>
  <c r="Q14" i="93"/>
  <c r="H12" i="93"/>
  <c r="Q12" i="93" s="1"/>
  <c r="F12" i="93"/>
  <c r="F51" i="93" s="1"/>
  <c r="D95" i="92"/>
  <c r="D88" i="92"/>
  <c r="D89" i="92" s="1"/>
  <c r="I76" i="92"/>
  <c r="F76" i="92"/>
  <c r="F95" i="92" s="1"/>
  <c r="F75" i="92"/>
  <c r="H71" i="92"/>
  <c r="F71" i="92"/>
  <c r="Q70" i="92"/>
  <c r="F70" i="92"/>
  <c r="F69" i="92"/>
  <c r="F88" i="92" s="1"/>
  <c r="H69" i="92"/>
  <c r="Q68" i="92" s="1"/>
  <c r="D70" i="92"/>
  <c r="I61" i="92"/>
  <c r="F60" i="92"/>
  <c r="H54" i="92"/>
  <c r="H76" i="92" s="1"/>
  <c r="Q75" i="92" s="1"/>
  <c r="F54" i="92"/>
  <c r="I54" i="92"/>
  <c r="K54" i="92" s="1"/>
  <c r="Q53" i="92"/>
  <c r="H53" i="92"/>
  <c r="D55" i="92"/>
  <c r="D60" i="92" s="1"/>
  <c r="D61" i="92"/>
  <c r="Q48" i="92"/>
  <c r="H48" i="92"/>
  <c r="H70" i="92" s="1"/>
  <c r="Q69" i="92" s="1"/>
  <c r="D48" i="92"/>
  <c r="F48" i="92" s="1"/>
  <c r="H47" i="92"/>
  <c r="Q46" i="92" s="1"/>
  <c r="F47" i="92"/>
  <c r="H29" i="92"/>
  <c r="H24" i="92"/>
  <c r="I24" i="92"/>
  <c r="Q23" i="92"/>
  <c r="F17" i="92"/>
  <c r="D17" i="92"/>
  <c r="I17" i="92" s="1"/>
  <c r="D14" i="92"/>
  <c r="I14" i="92" s="1"/>
  <c r="I13" i="92"/>
  <c r="H13" i="92"/>
  <c r="Q13" i="92" s="1"/>
  <c r="H12" i="92"/>
  <c r="Q12" i="92" s="1"/>
  <c r="H41" i="91"/>
  <c r="F41" i="91"/>
  <c r="D41" i="91"/>
  <c r="I41" i="91" s="1"/>
  <c r="K41" i="91" s="1"/>
  <c r="L41" i="91" s="1"/>
  <c r="H37" i="91"/>
  <c r="Q37" i="91" s="1"/>
  <c r="I37" i="91"/>
  <c r="H28" i="91"/>
  <c r="F28" i="91"/>
  <c r="I28" i="91" s="1"/>
  <c r="K28" i="91" s="1"/>
  <c r="L28" i="91" s="1"/>
  <c r="D28" i="91"/>
  <c r="H25" i="91"/>
  <c r="Q25" i="91" s="1"/>
  <c r="F25" i="91"/>
  <c r="Q24" i="91"/>
  <c r="H24" i="91"/>
  <c r="F24" i="91"/>
  <c r="F26" i="91" s="1"/>
  <c r="F30" i="91" s="1"/>
  <c r="I24" i="91"/>
  <c r="H13" i="91"/>
  <c r="Q13" i="91" s="1"/>
  <c r="Q12" i="91"/>
  <c r="I12" i="91"/>
  <c r="K24" i="92" l="1"/>
  <c r="I14" i="91"/>
  <c r="I26" i="91"/>
  <c r="I30" i="91" s="1"/>
  <c r="K24" i="91"/>
  <c r="K26" i="91" s="1"/>
  <c r="I43" i="91"/>
  <c r="I102" i="92"/>
  <c r="F89" i="92"/>
  <c r="K17" i="92"/>
  <c r="L17" i="92" s="1"/>
  <c r="I113" i="92"/>
  <c r="I54" i="93"/>
  <c r="K54" i="93" s="1"/>
  <c r="K15" i="93"/>
  <c r="Q52" i="92"/>
  <c r="H52" i="92"/>
  <c r="H74" i="92" s="1"/>
  <c r="Q73" i="92" s="1"/>
  <c r="I95" i="92"/>
  <c r="K76" i="92"/>
  <c r="K95" i="92" s="1"/>
  <c r="H35" i="93"/>
  <c r="Q13" i="93"/>
  <c r="F20" i="93"/>
  <c r="I20" i="93"/>
  <c r="D212" i="93"/>
  <c r="D119" i="93"/>
  <c r="D121" i="93" s="1"/>
  <c r="D180" i="93"/>
  <c r="D165" i="93"/>
  <c r="D167" i="93" s="1"/>
  <c r="F160" i="93"/>
  <c r="F180" i="93" s="1"/>
  <c r="I160" i="93"/>
  <c r="K162" i="93"/>
  <c r="D16" i="91"/>
  <c r="F16" i="91" s="1"/>
  <c r="F49" i="91" s="1"/>
  <c r="I25" i="91"/>
  <c r="K25" i="91" s="1"/>
  <c r="F113" i="92"/>
  <c r="F40" i="92"/>
  <c r="D29" i="92"/>
  <c r="F29" i="92" s="1"/>
  <c r="D26" i="92"/>
  <c r="F25" i="92"/>
  <c r="D36" i="92"/>
  <c r="Q47" i="92"/>
  <c r="I48" i="92"/>
  <c r="K48" i="92" s="1"/>
  <c r="F53" i="92"/>
  <c r="D56" i="92"/>
  <c r="I60" i="92"/>
  <c r="D93" i="92"/>
  <c r="D77" i="92"/>
  <c r="I12" i="93"/>
  <c r="I13" i="93"/>
  <c r="H155" i="93"/>
  <c r="Q155" i="93" s="1"/>
  <c r="Q131" i="93"/>
  <c r="I131" i="93"/>
  <c r="K131" i="93" s="1"/>
  <c r="D182" i="93"/>
  <c r="F139" i="93"/>
  <c r="F182" i="93" s="1"/>
  <c r="I139" i="93"/>
  <c r="K139" i="93" s="1"/>
  <c r="D142" i="93"/>
  <c r="F155" i="93"/>
  <c r="I155" i="93"/>
  <c r="D174" i="93"/>
  <c r="Q162" i="93"/>
  <c r="Q163" i="93"/>
  <c r="I163" i="93"/>
  <c r="H26" i="94"/>
  <c r="K26" i="94" s="1"/>
  <c r="F12" i="91"/>
  <c r="F14" i="91" s="1"/>
  <c r="F13" i="91"/>
  <c r="D51" i="91"/>
  <c r="F14" i="92"/>
  <c r="K14" i="92" s="1"/>
  <c r="F24" i="92"/>
  <c r="F49" i="92"/>
  <c r="F90" i="92" s="1"/>
  <c r="I69" i="92"/>
  <c r="H75" i="92"/>
  <c r="K18" i="93"/>
  <c r="H42" i="93"/>
  <c r="Q20" i="93"/>
  <c r="H41" i="93"/>
  <c r="H94" i="93"/>
  <c r="Q94" i="93" s="1"/>
  <c r="Q74" i="93"/>
  <c r="H99" i="93"/>
  <c r="Q99" i="93" s="1"/>
  <c r="Q80" i="93"/>
  <c r="I133" i="93"/>
  <c r="J31" i="94"/>
  <c r="K14" i="94"/>
  <c r="I13" i="91"/>
  <c r="I29" i="92"/>
  <c r="I49" i="92"/>
  <c r="K49" i="92" s="1"/>
  <c r="F101" i="92"/>
  <c r="F94" i="92"/>
  <c r="D90" i="92"/>
  <c r="F37" i="91"/>
  <c r="F43" i="91" s="1"/>
  <c r="F12" i="92"/>
  <c r="I12" i="92"/>
  <c r="H25" i="92"/>
  <c r="Q24" i="92" s="1"/>
  <c r="D35" i="92"/>
  <c r="I53" i="92"/>
  <c r="K53" i="92" s="1"/>
  <c r="F61" i="92"/>
  <c r="F102" i="92" s="1"/>
  <c r="I70" i="92"/>
  <c r="I71" i="92"/>
  <c r="D94" i="92"/>
  <c r="K57" i="93"/>
  <c r="D21" i="93"/>
  <c r="K40" i="93"/>
  <c r="D59" i="93"/>
  <c r="K73" i="93"/>
  <c r="I109" i="93"/>
  <c r="K109" i="93" s="1"/>
  <c r="I111" i="93"/>
  <c r="K76" i="93"/>
  <c r="K80" i="93"/>
  <c r="F94" i="93"/>
  <c r="I94" i="93"/>
  <c r="K94" i="93" s="1"/>
  <c r="F102" i="93"/>
  <c r="I102" i="93"/>
  <c r="F13" i="92"/>
  <c r="K13" i="92" s="1"/>
  <c r="I47" i="92"/>
  <c r="D25" i="93"/>
  <c r="F13" i="93"/>
  <c r="I19" i="93"/>
  <c r="F35" i="93"/>
  <c r="F43" i="93" s="1"/>
  <c r="D43" i="93"/>
  <c r="D45" i="93" s="1"/>
  <c r="F41" i="93"/>
  <c r="F58" i="93" s="1"/>
  <c r="F42" i="93"/>
  <c r="D58" i="93"/>
  <c r="D60" i="93" s="1"/>
  <c r="D211" i="93" s="1"/>
  <c r="D214" i="93" s="1"/>
  <c r="F108" i="93"/>
  <c r="F111" i="93"/>
  <c r="F79" i="93"/>
  <c r="F114" i="93" s="1"/>
  <c r="F100" i="93"/>
  <c r="K130" i="93"/>
  <c r="Q159" i="93"/>
  <c r="I159" i="93"/>
  <c r="I140" i="93"/>
  <c r="K140" i="93" s="1"/>
  <c r="Q140" i="93"/>
  <c r="I173" i="93"/>
  <c r="K154" i="93"/>
  <c r="H18" i="94"/>
  <c r="K18" i="94" s="1"/>
  <c r="K22" i="94"/>
  <c r="D85" i="93"/>
  <c r="F74" i="93"/>
  <c r="F109" i="93" s="1"/>
  <c r="D109" i="93"/>
  <c r="D120" i="93" s="1"/>
  <c r="I79" i="93"/>
  <c r="I93" i="93"/>
  <c r="Q136" i="93"/>
  <c r="H160" i="93"/>
  <c r="Q160" i="93" s="1"/>
  <c r="I137" i="93"/>
  <c r="K137" i="93" s="1"/>
  <c r="F31" i="94"/>
  <c r="D81" i="93"/>
  <c r="I98" i="93"/>
  <c r="K98" i="93" s="1"/>
  <c r="Q138" i="93"/>
  <c r="H161" i="93"/>
  <c r="H164" i="93"/>
  <c r="I141" i="93"/>
  <c r="K141" i="93" s="1"/>
  <c r="K146" i="93"/>
  <c r="D184" i="93"/>
  <c r="D185" i="93" s="1"/>
  <c r="D213" i="93" s="1"/>
  <c r="F164" i="93"/>
  <c r="F184" i="93" s="1"/>
  <c r="I136" i="93"/>
  <c r="K136" i="93" s="1"/>
  <c r="K19" i="93" l="1"/>
  <c r="F121" i="93"/>
  <c r="F103" i="93"/>
  <c r="F50" i="91"/>
  <c r="F51" i="91" s="1"/>
  <c r="F18" i="91"/>
  <c r="D145" i="93"/>
  <c r="D132" i="93"/>
  <c r="K13" i="93"/>
  <c r="K160" i="93"/>
  <c r="I180" i="93"/>
  <c r="K180" i="93" s="1"/>
  <c r="I99" i="93"/>
  <c r="I100" i="93" s="1"/>
  <c r="I103" i="93" s="1"/>
  <c r="K61" i="92"/>
  <c r="K102" i="92" s="1"/>
  <c r="K93" i="93"/>
  <c r="F52" i="93"/>
  <c r="H31" i="94"/>
  <c r="I88" i="92"/>
  <c r="K69" i="92"/>
  <c r="I101" i="92"/>
  <c r="I62" i="92"/>
  <c r="K60" i="92"/>
  <c r="K113" i="92"/>
  <c r="I45" i="93"/>
  <c r="D65" i="93"/>
  <c r="I25" i="93"/>
  <c r="D64" i="93"/>
  <c r="F25" i="93"/>
  <c r="F64" i="93" s="1"/>
  <c r="I90" i="92"/>
  <c r="K71" i="92"/>
  <c r="K90" i="92" s="1"/>
  <c r="I15" i="92"/>
  <c r="I35" i="92"/>
  <c r="K12" i="92"/>
  <c r="K15" i="92" s="1"/>
  <c r="K29" i="92"/>
  <c r="Q42" i="93"/>
  <c r="I42" i="93"/>
  <c r="K42" i="93" s="1"/>
  <c r="K163" i="93"/>
  <c r="I183" i="93"/>
  <c r="K183" i="93" s="1"/>
  <c r="I174" i="93"/>
  <c r="K174" i="93" s="1"/>
  <c r="K155" i="93"/>
  <c r="I165" i="93"/>
  <c r="D78" i="92"/>
  <c r="D81" i="92"/>
  <c r="F56" i="92"/>
  <c r="F57" i="92" s="1"/>
  <c r="I56" i="92"/>
  <c r="K56" i="92" s="1"/>
  <c r="I167" i="93"/>
  <c r="D190" i="93"/>
  <c r="F167" i="93"/>
  <c r="Q164" i="93"/>
  <c r="I164" i="93"/>
  <c r="D84" i="93"/>
  <c r="I75" i="93"/>
  <c r="D75" i="93"/>
  <c r="F85" i="93"/>
  <c r="F120" i="93" s="1"/>
  <c r="I85" i="93"/>
  <c r="K173" i="93"/>
  <c r="K47" i="92"/>
  <c r="I121" i="93"/>
  <c r="K102" i="93"/>
  <c r="K74" i="93"/>
  <c r="I108" i="93"/>
  <c r="D24" i="93"/>
  <c r="D14" i="93"/>
  <c r="I89" i="92"/>
  <c r="K70" i="92"/>
  <c r="K89" i="92" s="1"/>
  <c r="F35" i="92"/>
  <c r="F15" i="92"/>
  <c r="F62" i="92"/>
  <c r="K13" i="91"/>
  <c r="L13" i="91" s="1"/>
  <c r="F45" i="93"/>
  <c r="F174" i="93"/>
  <c r="F165" i="93"/>
  <c r="D96" i="92"/>
  <c r="I25" i="92"/>
  <c r="Q35" i="93"/>
  <c r="I35" i="93"/>
  <c r="K37" i="91"/>
  <c r="K12" i="91"/>
  <c r="I161" i="93"/>
  <c r="Q161" i="93"/>
  <c r="F36" i="92"/>
  <c r="K31" i="94"/>
  <c r="L30" i="94" s="1"/>
  <c r="Q41" i="93"/>
  <c r="I41" i="93"/>
  <c r="K41" i="93" s="1"/>
  <c r="I75" i="92"/>
  <c r="Q74" i="92"/>
  <c r="I59" i="93"/>
  <c r="K20" i="93"/>
  <c r="K30" i="91"/>
  <c r="L30" i="91" s="1"/>
  <c r="L26" i="91"/>
  <c r="I51" i="93"/>
  <c r="K12" i="93"/>
  <c r="I26" i="92"/>
  <c r="F26" i="92"/>
  <c r="F27" i="92" s="1"/>
  <c r="F30" i="92" s="1"/>
  <c r="F59" i="93"/>
  <c r="I114" i="93"/>
  <c r="K114" i="93" s="1"/>
  <c r="K79" i="93"/>
  <c r="K159" i="93"/>
  <c r="I179" i="93"/>
  <c r="K179" i="93" s="1"/>
  <c r="K111" i="93"/>
  <c r="K133" i="93"/>
  <c r="I176" i="93"/>
  <c r="K176" i="93" s="1"/>
  <c r="D123" i="92"/>
  <c r="D40" i="92"/>
  <c r="I182" i="93"/>
  <c r="K182" i="93" s="1"/>
  <c r="I40" i="92"/>
  <c r="I50" i="91"/>
  <c r="K50" i="91" s="1"/>
  <c r="L50" i="91" s="1"/>
  <c r="I16" i="91"/>
  <c r="D124" i="92" l="1"/>
  <c r="D217" i="93"/>
  <c r="D220" i="93" s="1"/>
  <c r="F65" i="93"/>
  <c r="F46" i="93"/>
  <c r="F24" i="93"/>
  <c r="D63" i="93"/>
  <c r="I24" i="93"/>
  <c r="F75" i="93"/>
  <c r="D110" i="93"/>
  <c r="I19" i="92"/>
  <c r="I65" i="93"/>
  <c r="K65" i="93" s="1"/>
  <c r="I46" i="93"/>
  <c r="K45" i="93"/>
  <c r="K88" i="92"/>
  <c r="K16" i="91"/>
  <c r="L16" i="91" s="1"/>
  <c r="I49" i="91"/>
  <c r="K35" i="93"/>
  <c r="K43" i="93" s="1"/>
  <c r="L43" i="93" s="1"/>
  <c r="I43" i="93"/>
  <c r="K108" i="93"/>
  <c r="K121" i="93"/>
  <c r="I110" i="93"/>
  <c r="K75" i="93"/>
  <c r="K81" i="93" s="1"/>
  <c r="I81" i="93"/>
  <c r="I206" i="93" s="1"/>
  <c r="F190" i="93"/>
  <c r="F168" i="93"/>
  <c r="I114" i="92"/>
  <c r="I52" i="93"/>
  <c r="K52" i="93" s="1"/>
  <c r="I58" i="93"/>
  <c r="K58" i="93" s="1"/>
  <c r="I18" i="91"/>
  <c r="K26" i="92"/>
  <c r="I181" i="93"/>
  <c r="K181" i="93" s="1"/>
  <c r="K161" i="93"/>
  <c r="K165" i="93" s="1"/>
  <c r="L165" i="93" s="1"/>
  <c r="F64" i="92"/>
  <c r="I57" i="92"/>
  <c r="I119" i="92" s="1"/>
  <c r="I120" i="93"/>
  <c r="K120" i="93" s="1"/>
  <c r="K85" i="93"/>
  <c r="I84" i="93"/>
  <c r="F84" i="93"/>
  <c r="K19" i="92"/>
  <c r="L15" i="92"/>
  <c r="O14" i="92"/>
  <c r="I64" i="93"/>
  <c r="K64" i="93" s="1"/>
  <c r="K25" i="93"/>
  <c r="F132" i="93"/>
  <c r="I132" i="93"/>
  <c r="K40" i="92"/>
  <c r="L40" i="92" s="1"/>
  <c r="I94" i="92"/>
  <c r="K75" i="92"/>
  <c r="K94" i="92" s="1"/>
  <c r="O39" i="91"/>
  <c r="L37" i="91"/>
  <c r="K43" i="91"/>
  <c r="L43" i="91" s="1"/>
  <c r="F37" i="92"/>
  <c r="F41" i="92" s="1"/>
  <c r="D97" i="92"/>
  <c r="I78" i="92"/>
  <c r="F78" i="92"/>
  <c r="K62" i="92"/>
  <c r="K101" i="92"/>
  <c r="K99" i="93"/>
  <c r="K100" i="93" s="1"/>
  <c r="K103" i="93" s="1"/>
  <c r="I115" i="93"/>
  <c r="K115" i="93" s="1"/>
  <c r="K51" i="93"/>
  <c r="K59" i="93"/>
  <c r="D125" i="92"/>
  <c r="K14" i="91"/>
  <c r="L12" i="91"/>
  <c r="K25" i="92"/>
  <c r="K27" i="92" s="1"/>
  <c r="K30" i="92" s="1"/>
  <c r="I36" i="92"/>
  <c r="K36" i="92" s="1"/>
  <c r="I27" i="92"/>
  <c r="I30" i="92" s="1"/>
  <c r="F118" i="92"/>
  <c r="F19" i="92"/>
  <c r="F14" i="93"/>
  <c r="D53" i="93"/>
  <c r="I14" i="93"/>
  <c r="K57" i="92"/>
  <c r="I184" i="93"/>
  <c r="K184" i="93" s="1"/>
  <c r="K164" i="93"/>
  <c r="I168" i="93"/>
  <c r="K167" i="93"/>
  <c r="I190" i="93"/>
  <c r="K190" i="93" s="1"/>
  <c r="I81" i="92"/>
  <c r="F81" i="92"/>
  <c r="F103" i="92" s="1"/>
  <c r="F104" i="92" s="1"/>
  <c r="K35" i="92"/>
  <c r="K37" i="92" s="1"/>
  <c r="I79" i="92"/>
  <c r="I82" i="92" s="1"/>
  <c r="F145" i="93"/>
  <c r="I145" i="93"/>
  <c r="I98" i="92" l="1"/>
  <c r="K41" i="92"/>
  <c r="L41" i="92" s="1"/>
  <c r="L37" i="92"/>
  <c r="K168" i="93"/>
  <c r="L168" i="93" s="1"/>
  <c r="F175" i="93"/>
  <c r="F185" i="93" s="1"/>
  <c r="F142" i="93"/>
  <c r="F63" i="93"/>
  <c r="F66" i="93" s="1"/>
  <c r="F26" i="93"/>
  <c r="F199" i="93" s="1"/>
  <c r="K78" i="92"/>
  <c r="I97" i="92"/>
  <c r="I119" i="93"/>
  <c r="K84" i="93"/>
  <c r="K86" i="93" s="1"/>
  <c r="I86" i="93"/>
  <c r="I124" i="92"/>
  <c r="K114" i="92"/>
  <c r="K115" i="92" s="1"/>
  <c r="I115" i="92"/>
  <c r="O74" i="93"/>
  <c r="I51" i="91"/>
  <c r="K49" i="91"/>
  <c r="K51" i="91" s="1"/>
  <c r="L51" i="91" s="1"/>
  <c r="F110" i="93"/>
  <c r="F116" i="93" s="1"/>
  <c r="F81" i="93"/>
  <c r="F206" i="93" s="1"/>
  <c r="K206" i="93" s="1"/>
  <c r="I103" i="92"/>
  <c r="I104" i="92" s="1"/>
  <c r="K81" i="92"/>
  <c r="K103" i="92" s="1"/>
  <c r="I53" i="93"/>
  <c r="K14" i="93"/>
  <c r="K21" i="93" s="1"/>
  <c r="I21" i="93"/>
  <c r="F123" i="92"/>
  <c r="K104" i="92"/>
  <c r="L104" i="92" s="1"/>
  <c r="L19" i="92"/>
  <c r="F114" i="92"/>
  <c r="K110" i="93"/>
  <c r="I116" i="93"/>
  <c r="I63" i="93"/>
  <c r="I26" i="93"/>
  <c r="I199" i="93" s="1"/>
  <c r="K24" i="93"/>
  <c r="K26" i="93" s="1"/>
  <c r="I147" i="93"/>
  <c r="K145" i="93"/>
  <c r="I188" i="93"/>
  <c r="I37" i="92"/>
  <c r="I41" i="92" s="1"/>
  <c r="L14" i="91"/>
  <c r="O14" i="91"/>
  <c r="K18" i="91"/>
  <c r="L18" i="91" s="1"/>
  <c r="I60" i="93"/>
  <c r="L62" i="92"/>
  <c r="K64" i="92"/>
  <c r="L64" i="92" s="1"/>
  <c r="I175" i="93"/>
  <c r="K132" i="93"/>
  <c r="I142" i="93"/>
  <c r="K46" i="93"/>
  <c r="L46" i="93" s="1"/>
  <c r="I118" i="92"/>
  <c r="F188" i="93"/>
  <c r="F191" i="93" s="1"/>
  <c r="F147" i="93"/>
  <c r="F201" i="93" s="1"/>
  <c r="L57" i="92"/>
  <c r="F53" i="93"/>
  <c r="F60" i="93" s="1"/>
  <c r="F68" i="93" s="1"/>
  <c r="F21" i="93"/>
  <c r="F97" i="92"/>
  <c r="F98" i="92" s="1"/>
  <c r="F106" i="92" s="1"/>
  <c r="F79" i="92"/>
  <c r="F119" i="93"/>
  <c r="F122" i="93" s="1"/>
  <c r="F86" i="93"/>
  <c r="I64" i="92"/>
  <c r="K116" i="93"/>
  <c r="K147" i="93" l="1"/>
  <c r="L147" i="93" s="1"/>
  <c r="I201" i="93"/>
  <c r="L86" i="93"/>
  <c r="K88" i="93"/>
  <c r="F82" i="92"/>
  <c r="F119" i="92"/>
  <c r="I68" i="93"/>
  <c r="I122" i="93"/>
  <c r="I124" i="93" s="1"/>
  <c r="K119" i="93"/>
  <c r="K122" i="93" s="1"/>
  <c r="L122" i="93" s="1"/>
  <c r="I191" i="93"/>
  <c r="K188" i="93"/>
  <c r="K191" i="93" s="1"/>
  <c r="L191" i="93" s="1"/>
  <c r="I211" i="93"/>
  <c r="I202" i="93"/>
  <c r="K199" i="93"/>
  <c r="F124" i="92"/>
  <c r="F115" i="92"/>
  <c r="K53" i="93"/>
  <c r="K60" i="93" s="1"/>
  <c r="F124" i="93"/>
  <c r="F217" i="93" s="1"/>
  <c r="F220" i="93" s="1"/>
  <c r="L81" i="93"/>
  <c r="K124" i="92"/>
  <c r="L124" i="92" s="1"/>
  <c r="F88" i="93"/>
  <c r="F200" i="93"/>
  <c r="F212" i="93" s="1"/>
  <c r="F205" i="93"/>
  <c r="F28" i="93"/>
  <c r="F213" i="93"/>
  <c r="I66" i="93"/>
  <c r="K63" i="93"/>
  <c r="K66" i="93" s="1"/>
  <c r="L66" i="93" s="1"/>
  <c r="I200" i="93"/>
  <c r="I88" i="93"/>
  <c r="K97" i="92"/>
  <c r="K98" i="92" s="1"/>
  <c r="K79" i="92"/>
  <c r="K142" i="93"/>
  <c r="I149" i="93"/>
  <c r="I207" i="93"/>
  <c r="I205" i="93"/>
  <c r="I28" i="93"/>
  <c r="F211" i="93"/>
  <c r="F214" i="93" s="1"/>
  <c r="F202" i="93"/>
  <c r="F207" i="93"/>
  <c r="F149" i="93"/>
  <c r="K124" i="93"/>
  <c r="L124" i="93" s="1"/>
  <c r="L116" i="93"/>
  <c r="K118" i="92"/>
  <c r="I120" i="92"/>
  <c r="I123" i="92"/>
  <c r="L26" i="93"/>
  <c r="K28" i="93"/>
  <c r="O13" i="93"/>
  <c r="L21" i="93"/>
  <c r="F193" i="93"/>
  <c r="K175" i="93"/>
  <c r="K185" i="93" s="1"/>
  <c r="I185" i="93"/>
  <c r="I193" i="93" s="1"/>
  <c r="F125" i="92"/>
  <c r="I106" i="92"/>
  <c r="I217" i="93" s="1"/>
  <c r="I220" i="93" l="1"/>
  <c r="K217" i="93"/>
  <c r="K68" i="93"/>
  <c r="L68" i="93" s="1"/>
  <c r="L60" i="93"/>
  <c r="K201" i="93"/>
  <c r="I213" i="93"/>
  <c r="K213" i="93" s="1"/>
  <c r="K123" i="92"/>
  <c r="I125" i="92"/>
  <c r="K149" i="93"/>
  <c r="L149" i="93" s="1"/>
  <c r="O131" i="93"/>
  <c r="L142" i="93"/>
  <c r="K200" i="93"/>
  <c r="I212" i="93"/>
  <c r="K212" i="93" s="1"/>
  <c r="K211" i="93"/>
  <c r="K214" i="93" s="1"/>
  <c r="I214" i="93"/>
  <c r="L88" i="93"/>
  <c r="L185" i="93"/>
  <c r="K193" i="93"/>
  <c r="L193" i="93" s="1"/>
  <c r="L28" i="93"/>
  <c r="L118" i="92"/>
  <c r="K120" i="92"/>
  <c r="K205" i="93"/>
  <c r="K208" i="93" s="1"/>
  <c r="I208" i="93"/>
  <c r="K82" i="92"/>
  <c r="L82" i="92" s="1"/>
  <c r="L79" i="92"/>
  <c r="O48" i="92"/>
  <c r="F208" i="93"/>
  <c r="K207" i="93"/>
  <c r="K106" i="92"/>
  <c r="L106" i="92" s="1"/>
  <c r="L98" i="92"/>
  <c r="K202" i="93"/>
  <c r="K119" i="92"/>
  <c r="L119" i="92" s="1"/>
  <c r="F120" i="92"/>
  <c r="K125" i="92" l="1"/>
  <c r="L125" i="92" s="1"/>
  <c r="L123" i="92"/>
  <c r="K220" i="93"/>
  <c r="L220" i="93" s="1"/>
  <c r="L217" i="93"/>
  <c r="L120" i="92"/>
  <c r="G6" i="52" l="1"/>
  <c r="H6" i="52" s="1"/>
  <c r="I6" i="52" s="1"/>
  <c r="J6" i="52" s="1"/>
  <c r="K6" i="52" s="1"/>
  <c r="L6" i="52" s="1"/>
  <c r="M6" i="52" s="1"/>
  <c r="N6" i="52" s="1"/>
  <c r="O6" i="52" s="1"/>
  <c r="P6" i="52" s="1"/>
  <c r="Q6" i="52" s="1"/>
  <c r="G6" i="77"/>
  <c r="H6" i="77" s="1"/>
  <c r="I6" i="77" s="1"/>
  <c r="J6" i="77" s="1"/>
  <c r="K6" i="77" s="1"/>
  <c r="L6" i="77" s="1"/>
  <c r="M6" i="77" s="1"/>
  <c r="N6" i="77" s="1"/>
  <c r="O6" i="77" s="1"/>
  <c r="P6" i="77" s="1"/>
  <c r="Q6" i="77" s="1"/>
  <c r="K129" i="89" l="1"/>
  <c r="K132" i="89" s="1"/>
  <c r="J129" i="89"/>
  <c r="J132" i="89" s="1"/>
  <c r="G129" i="89"/>
  <c r="G132" i="89" s="1"/>
  <c r="F129" i="89"/>
  <c r="F132" i="89" s="1"/>
  <c r="C129" i="89"/>
  <c r="C132" i="89" s="1"/>
  <c r="B129" i="89"/>
  <c r="B132" i="89" s="1"/>
  <c r="K118" i="89"/>
  <c r="J118" i="89"/>
  <c r="G118" i="89"/>
  <c r="F118" i="89"/>
  <c r="C118" i="89"/>
  <c r="B118" i="89"/>
  <c r="K108" i="89"/>
  <c r="J108" i="89"/>
  <c r="G108" i="89"/>
  <c r="F108" i="89"/>
  <c r="C108" i="89"/>
  <c r="B108" i="89"/>
  <c r="M99" i="89"/>
  <c r="L99" i="89"/>
  <c r="K99" i="89"/>
  <c r="J99" i="89"/>
  <c r="I99" i="89"/>
  <c r="H99" i="89"/>
  <c r="G99" i="89"/>
  <c r="F99" i="89"/>
  <c r="E99" i="89"/>
  <c r="D99" i="89"/>
  <c r="C99" i="89"/>
  <c r="B99" i="89"/>
  <c r="N98" i="89"/>
  <c r="N97" i="89"/>
  <c r="N96" i="89"/>
  <c r="N95" i="89"/>
  <c r="N94" i="89"/>
  <c r="N93" i="89"/>
  <c r="N88" i="89"/>
  <c r="N87" i="89"/>
  <c r="N86" i="89"/>
  <c r="N85" i="89"/>
  <c r="M89" i="89"/>
  <c r="I89" i="89"/>
  <c r="E89" i="89"/>
  <c r="C89" i="89"/>
  <c r="D79" i="89"/>
  <c r="M79" i="89"/>
  <c r="K79" i="89"/>
  <c r="J79" i="89"/>
  <c r="I79" i="89"/>
  <c r="G79" i="89"/>
  <c r="F79" i="89"/>
  <c r="E79" i="89"/>
  <c r="C79" i="89"/>
  <c r="B79" i="89"/>
  <c r="H73" i="89"/>
  <c r="L73" i="89"/>
  <c r="K73" i="89"/>
  <c r="I73" i="89"/>
  <c r="G73" i="89"/>
  <c r="E73" i="89"/>
  <c r="C73" i="89"/>
  <c r="M67" i="89"/>
  <c r="H67" i="89"/>
  <c r="N66" i="89"/>
  <c r="L67" i="89"/>
  <c r="K67" i="89"/>
  <c r="I67" i="89"/>
  <c r="G67" i="89"/>
  <c r="E67" i="89"/>
  <c r="C67" i="89"/>
  <c r="D61" i="89"/>
  <c r="L61" i="89"/>
  <c r="K61" i="89"/>
  <c r="J61" i="89"/>
  <c r="G61" i="89"/>
  <c r="F61" i="89"/>
  <c r="C61" i="89"/>
  <c r="B61" i="89"/>
  <c r="L54" i="89"/>
  <c r="K54" i="89"/>
  <c r="I54" i="89"/>
  <c r="H54" i="89"/>
  <c r="G54" i="89"/>
  <c r="E54" i="89"/>
  <c r="D54" i="89"/>
  <c r="C54" i="89"/>
  <c r="N46" i="89"/>
  <c r="M47" i="89"/>
  <c r="L47" i="89"/>
  <c r="J47" i="89"/>
  <c r="I47" i="89"/>
  <c r="H47" i="89"/>
  <c r="F47" i="89"/>
  <c r="E47" i="89"/>
  <c r="D47" i="89"/>
  <c r="B47" i="89"/>
  <c r="K40" i="89"/>
  <c r="J40" i="89"/>
  <c r="G40" i="89"/>
  <c r="F40" i="89"/>
  <c r="C40" i="89"/>
  <c r="B40" i="89"/>
  <c r="K33" i="89"/>
  <c r="J33" i="89"/>
  <c r="G33" i="89"/>
  <c r="F33" i="89"/>
  <c r="C33" i="89"/>
  <c r="B33" i="89"/>
  <c r="M26" i="89"/>
  <c r="N25" i="89"/>
  <c r="N24" i="89"/>
  <c r="L26" i="89"/>
  <c r="K26" i="89"/>
  <c r="H26" i="89"/>
  <c r="D26" i="89"/>
  <c r="L19" i="89"/>
  <c r="M19" i="89"/>
  <c r="K19" i="89"/>
  <c r="I19" i="89"/>
  <c r="H19" i="89"/>
  <c r="G19" i="89"/>
  <c r="E19" i="89"/>
  <c r="D19" i="89"/>
  <c r="C19" i="89"/>
  <c r="K12" i="89"/>
  <c r="N10" i="89"/>
  <c r="M12" i="89"/>
  <c r="L12" i="89"/>
  <c r="J12" i="89"/>
  <c r="I12" i="89"/>
  <c r="H12" i="89"/>
  <c r="E12" i="89"/>
  <c r="D12" i="89"/>
  <c r="N9" i="89"/>
  <c r="C7" i="89"/>
  <c r="D7" i="89" s="1"/>
  <c r="E7" i="89" s="1"/>
  <c r="F7" i="89" s="1"/>
  <c r="G7" i="89" s="1"/>
  <c r="H7" i="89" s="1"/>
  <c r="I7" i="89" s="1"/>
  <c r="J7" i="89" s="1"/>
  <c r="K7" i="89" s="1"/>
  <c r="L7" i="89" s="1"/>
  <c r="M7" i="89" s="1"/>
  <c r="F12" i="89" l="1"/>
  <c r="N103" i="89"/>
  <c r="N107" i="89"/>
  <c r="N113" i="89"/>
  <c r="N117" i="89"/>
  <c r="C12" i="89"/>
  <c r="G12" i="89"/>
  <c r="C26" i="89"/>
  <c r="G26" i="89"/>
  <c r="N31" i="89"/>
  <c r="N38" i="89"/>
  <c r="C47" i="89"/>
  <c r="G47" i="89"/>
  <c r="K47" i="89"/>
  <c r="H61" i="89"/>
  <c r="D73" i="89"/>
  <c r="H79" i="89"/>
  <c r="L79" i="89"/>
  <c r="N79" i="89" s="1"/>
  <c r="G89" i="89"/>
  <c r="K89" i="89"/>
  <c r="B12" i="89"/>
  <c r="M54" i="89"/>
  <c r="E61" i="89"/>
  <c r="I61" i="89"/>
  <c r="M61" i="89"/>
  <c r="D67" i="89"/>
  <c r="M73" i="89"/>
  <c r="D89" i="89"/>
  <c r="H89" i="89"/>
  <c r="L89" i="89"/>
  <c r="H108" i="89"/>
  <c r="L108" i="89"/>
  <c r="H118" i="89"/>
  <c r="L118" i="89"/>
  <c r="H129" i="89"/>
  <c r="H132" i="89" s="1"/>
  <c r="L129" i="89"/>
  <c r="L132" i="89" s="1"/>
  <c r="B19" i="89"/>
  <c r="F19" i="89"/>
  <c r="J19" i="89"/>
  <c r="N18" i="89"/>
  <c r="E26" i="89"/>
  <c r="I26" i="89"/>
  <c r="H33" i="89"/>
  <c r="D33" i="89"/>
  <c r="L33" i="89"/>
  <c r="H40" i="89"/>
  <c r="D40" i="89"/>
  <c r="L40" i="89"/>
  <c r="J54" i="89"/>
  <c r="N53" i="89"/>
  <c r="F54" i="89"/>
  <c r="N72" i="89"/>
  <c r="N78" i="89"/>
  <c r="E108" i="89"/>
  <c r="I108" i="89"/>
  <c r="M108" i="89"/>
  <c r="E118" i="89"/>
  <c r="I118" i="89"/>
  <c r="M118" i="89"/>
  <c r="E129" i="89"/>
  <c r="E132" i="89" s="1"/>
  <c r="I129" i="89"/>
  <c r="I132" i="89" s="1"/>
  <c r="M129" i="89"/>
  <c r="M132" i="89" s="1"/>
  <c r="N19" i="89"/>
  <c r="N11" i="89"/>
  <c r="N30" i="89"/>
  <c r="N102" i="89"/>
  <c r="N112" i="89"/>
  <c r="N16" i="89"/>
  <c r="N17" i="89"/>
  <c r="N37" i="89"/>
  <c r="N44" i="89"/>
  <c r="B26" i="89"/>
  <c r="F26" i="89"/>
  <c r="J26" i="89"/>
  <c r="N23" i="89"/>
  <c r="N32" i="89"/>
  <c r="N58" i="89"/>
  <c r="N84" i="89"/>
  <c r="D108" i="89"/>
  <c r="N104" i="89"/>
  <c r="N106" i="89"/>
  <c r="D118" i="89"/>
  <c r="N114" i="89"/>
  <c r="N116" i="89"/>
  <c r="D129" i="89"/>
  <c r="D132" i="89" s="1"/>
  <c r="E33" i="89"/>
  <c r="I33" i="89"/>
  <c r="M33" i="89"/>
  <c r="N51" i="89"/>
  <c r="B54" i="89"/>
  <c r="N52" i="89"/>
  <c r="N59" i="89"/>
  <c r="N60" i="89"/>
  <c r="B73" i="89"/>
  <c r="F73" i="89"/>
  <c r="J73" i="89"/>
  <c r="N71" i="89"/>
  <c r="N77" i="89"/>
  <c r="N39" i="89"/>
  <c r="B89" i="89"/>
  <c r="F89" i="89"/>
  <c r="J89" i="89"/>
  <c r="N83" i="89"/>
  <c r="N99" i="89"/>
  <c r="E40" i="89"/>
  <c r="I40" i="89"/>
  <c r="M40" i="89"/>
  <c r="N45" i="89"/>
  <c r="B67" i="89"/>
  <c r="F67" i="89"/>
  <c r="J67" i="89"/>
  <c r="N65" i="89"/>
  <c r="N105" i="89"/>
  <c r="N115" i="89"/>
  <c r="N61" i="89" l="1"/>
  <c r="N47" i="89"/>
  <c r="N12" i="89"/>
  <c r="N118" i="89"/>
  <c r="N40" i="89"/>
  <c r="N26" i="89"/>
  <c r="N33" i="89"/>
  <c r="N67" i="89"/>
  <c r="N73" i="89"/>
  <c r="N54" i="89"/>
  <c r="N129" i="89"/>
  <c r="N132" i="89" s="1"/>
  <c r="N108" i="89"/>
  <c r="N89" i="89"/>
  <c r="F54" i="73" l="1"/>
  <c r="G54" i="73"/>
  <c r="H54" i="73"/>
  <c r="I54" i="73"/>
  <c r="J54" i="73"/>
  <c r="K54" i="73"/>
  <c r="L54" i="73"/>
  <c r="M54" i="73"/>
  <c r="N54" i="73"/>
  <c r="O54" i="73"/>
  <c r="P54" i="73"/>
  <c r="E54" i="73"/>
  <c r="O17" i="33"/>
  <c r="Q54" i="73" l="1"/>
  <c r="F6" i="73"/>
  <c r="G6" i="73" s="1"/>
  <c r="H6" i="73" s="1"/>
  <c r="I6" i="73" s="1"/>
  <c r="J6" i="73" s="1"/>
  <c r="K6" i="73" s="1"/>
  <c r="L6" i="73" s="1"/>
  <c r="M6" i="73" s="1"/>
  <c r="N6" i="73" s="1"/>
  <c r="O6" i="73" s="1"/>
  <c r="P6" i="73" s="1"/>
  <c r="D6" i="33"/>
  <c r="E6" i="33" s="1"/>
  <c r="F6" i="33" s="1"/>
  <c r="G6" i="33" s="1"/>
  <c r="H6" i="33" s="1"/>
  <c r="I6" i="33" s="1"/>
  <c r="J6" i="33" s="1"/>
  <c r="K6" i="33" s="1"/>
  <c r="L6" i="33" s="1"/>
  <c r="M6" i="33" s="1"/>
  <c r="N6" i="33" s="1"/>
  <c r="O68" i="33" l="1"/>
  <c r="O67" i="33"/>
  <c r="O66" i="33"/>
  <c r="O65" i="33"/>
  <c r="O64" i="33"/>
  <c r="O63" i="33"/>
  <c r="O62" i="33"/>
  <c r="O61" i="33"/>
  <c r="O60" i="33"/>
  <c r="O59" i="33"/>
  <c r="O53" i="33"/>
  <c r="O52" i="33"/>
  <c r="O51" i="33"/>
  <c r="O50" i="33"/>
  <c r="O49" i="33"/>
  <c r="O48" i="33"/>
  <c r="O47" i="33"/>
  <c r="O46" i="33"/>
  <c r="O45" i="33"/>
  <c r="O44" i="33"/>
  <c r="O43" i="33"/>
  <c r="O42" i="33"/>
  <c r="O41" i="33"/>
  <c r="O40" i="33"/>
  <c r="O39" i="33"/>
  <c r="O33" i="33"/>
  <c r="O32" i="33"/>
  <c r="O31" i="33"/>
  <c r="O30" i="33"/>
  <c r="O29" i="33"/>
  <c r="O28" i="33"/>
  <c r="O27" i="33"/>
  <c r="O26" i="33"/>
  <c r="O25" i="33"/>
  <c r="O24" i="33"/>
  <c r="O23" i="33"/>
  <c r="O22" i="33"/>
  <c r="O21" i="33"/>
  <c r="O20" i="33"/>
  <c r="O19" i="33"/>
  <c r="O18" i="33"/>
  <c r="O16" i="33"/>
  <c r="O15" i="33"/>
  <c r="O14" i="33"/>
  <c r="O13" i="33"/>
  <c r="C35" i="33" l="1"/>
  <c r="D35" i="33"/>
  <c r="E35" i="33"/>
  <c r="F35" i="33"/>
  <c r="G35" i="33"/>
  <c r="H35" i="33"/>
  <c r="I35" i="33"/>
  <c r="J35" i="33"/>
  <c r="K35" i="33"/>
  <c r="L35" i="33"/>
  <c r="M35" i="33"/>
  <c r="N35" i="33"/>
  <c r="Q7" i="73"/>
  <c r="Q8" i="73"/>
  <c r="Q9" i="73"/>
  <c r="Q10" i="73"/>
  <c r="Q11" i="73"/>
  <c r="Q12" i="73"/>
  <c r="Q13" i="73"/>
  <c r="Q14" i="73"/>
  <c r="Q15" i="73"/>
  <c r="Q16" i="73"/>
  <c r="Q17" i="73"/>
  <c r="Q19" i="73"/>
  <c r="Q20" i="73"/>
  <c r="Q21" i="73"/>
  <c r="Q22" i="73"/>
  <c r="Q23" i="73"/>
  <c r="Q24" i="73"/>
  <c r="Q25" i="73"/>
  <c r="Q26" i="73"/>
  <c r="Q27" i="73"/>
  <c r="Q30" i="73"/>
  <c r="Q32" i="73"/>
  <c r="Q33" i="73"/>
  <c r="R1081" i="77" l="1"/>
  <c r="R1026" i="77"/>
  <c r="R718" i="77"/>
  <c r="R572" i="77"/>
  <c r="R410" i="77"/>
  <c r="R313" i="77"/>
  <c r="R233" i="77"/>
  <c r="R275" i="77"/>
  <c r="Q971" i="77"/>
  <c r="Q983" i="77" s="1"/>
  <c r="P971" i="77"/>
  <c r="P983" i="77" s="1"/>
  <c r="O971" i="77"/>
  <c r="O983" i="77" s="1"/>
  <c r="Q886" i="77"/>
  <c r="Q902" i="77" s="1"/>
  <c r="P886" i="77"/>
  <c r="P902" i="77" s="1"/>
  <c r="O886" i="77"/>
  <c r="O902" i="77" s="1"/>
  <c r="Q702" i="77"/>
  <c r="Q970" i="77" s="1"/>
  <c r="P702" i="77"/>
  <c r="P970" i="77" s="1"/>
  <c r="O702" i="77"/>
  <c r="O970" i="77" s="1"/>
  <c r="Q693" i="77"/>
  <c r="Q885" i="77" s="1"/>
  <c r="P693" i="77"/>
  <c r="P885" i="77" s="1"/>
  <c r="O693" i="77"/>
  <c r="O885" i="77" s="1"/>
  <c r="Q576" i="77"/>
  <c r="P576" i="77"/>
  <c r="O576" i="77"/>
  <c r="Q560" i="77"/>
  <c r="Q969" i="77" s="1"/>
  <c r="P560" i="77"/>
  <c r="P969" i="77" s="1"/>
  <c r="O560" i="77"/>
  <c r="O969" i="77" s="1"/>
  <c r="Q555" i="77"/>
  <c r="Q884" i="77" s="1"/>
  <c r="P555" i="77"/>
  <c r="P884" i="77" s="1"/>
  <c r="O555" i="77"/>
  <c r="O884" i="77" s="1"/>
  <c r="Q414" i="77"/>
  <c r="P414" i="77"/>
  <c r="O414" i="77"/>
  <c r="Q968" i="77"/>
  <c r="P968" i="77"/>
  <c r="O968" i="77"/>
  <c r="Q883" i="77"/>
  <c r="P883" i="77"/>
  <c r="O883" i="77"/>
  <c r="Q815" i="77"/>
  <c r="P815" i="77"/>
  <c r="O815" i="77"/>
  <c r="Q799" i="77"/>
  <c r="Q967" i="77" s="1"/>
  <c r="P799" i="77"/>
  <c r="P967" i="77" s="1"/>
  <c r="O799" i="77"/>
  <c r="O967" i="77" s="1"/>
  <c r="Q790" i="77"/>
  <c r="Q882" i="77" s="1"/>
  <c r="P790" i="77"/>
  <c r="P882" i="77" s="1"/>
  <c r="O790" i="77"/>
  <c r="O882" i="77" s="1"/>
  <c r="Q611" i="77"/>
  <c r="P611" i="77"/>
  <c r="O611" i="77"/>
  <c r="Q599" i="77"/>
  <c r="Q966" i="77" s="1"/>
  <c r="Q981" i="77" s="1"/>
  <c r="P599" i="77"/>
  <c r="P966" i="77" s="1"/>
  <c r="P981" i="77" s="1"/>
  <c r="O599" i="77"/>
  <c r="O966" i="77" s="1"/>
  <c r="O981" i="77" s="1"/>
  <c r="Q594" i="77"/>
  <c r="Q881" i="77" s="1"/>
  <c r="Q900" i="77" s="1"/>
  <c r="P594" i="77"/>
  <c r="P881" i="77" s="1"/>
  <c r="P900" i="77" s="1"/>
  <c r="O594" i="77"/>
  <c r="O881" i="77" s="1"/>
  <c r="O900" i="77" s="1"/>
  <c r="Q489" i="77"/>
  <c r="P489" i="77"/>
  <c r="O489" i="77"/>
  <c r="Q965" i="77"/>
  <c r="P965" i="77"/>
  <c r="O965" i="77"/>
  <c r="Q880" i="77"/>
  <c r="P880" i="77"/>
  <c r="O880" i="77"/>
  <c r="Q964" i="77"/>
  <c r="P964" i="77"/>
  <c r="O964" i="77"/>
  <c r="Q879" i="77"/>
  <c r="P879" i="77"/>
  <c r="O879" i="77"/>
  <c r="Q963" i="77"/>
  <c r="P963" i="77"/>
  <c r="O963" i="77"/>
  <c r="Q101" i="77"/>
  <c r="Q876" i="77" s="1"/>
  <c r="P101" i="77"/>
  <c r="P876" i="77" s="1"/>
  <c r="O101" i="77"/>
  <c r="O876" i="77" s="1"/>
  <c r="Q666" i="77"/>
  <c r="P666" i="77"/>
  <c r="O666" i="77"/>
  <c r="Q646" i="77"/>
  <c r="Q962" i="77" s="1"/>
  <c r="P646" i="77"/>
  <c r="P962" i="77" s="1"/>
  <c r="O646" i="77"/>
  <c r="O962" i="77" s="1"/>
  <c r="Q637" i="77"/>
  <c r="Q875" i="77" s="1"/>
  <c r="P637" i="77"/>
  <c r="P875" i="77" s="1"/>
  <c r="O637" i="77"/>
  <c r="O875" i="77" s="1"/>
  <c r="Q532" i="77"/>
  <c r="P532" i="77"/>
  <c r="O532" i="77"/>
  <c r="Q516" i="77"/>
  <c r="Q961" i="77" s="1"/>
  <c r="P516" i="77"/>
  <c r="P961" i="77" s="1"/>
  <c r="O516" i="77"/>
  <c r="O961" i="77" s="1"/>
  <c r="Q511" i="77"/>
  <c r="Q874" i="77" s="1"/>
  <c r="P511" i="77"/>
  <c r="P874" i="77" s="1"/>
  <c r="O511" i="77"/>
  <c r="O874" i="77" s="1"/>
  <c r="Q367" i="77"/>
  <c r="P367" i="77"/>
  <c r="O367" i="77"/>
  <c r="Q960" i="77"/>
  <c r="P960" i="77"/>
  <c r="O960" i="77"/>
  <c r="Q873" i="77"/>
  <c r="P873" i="77"/>
  <c r="O873" i="77"/>
  <c r="Q769" i="77"/>
  <c r="P769" i="77"/>
  <c r="O769" i="77"/>
  <c r="Q753" i="77"/>
  <c r="Q959" i="77" s="1"/>
  <c r="P753" i="77"/>
  <c r="P959" i="77" s="1"/>
  <c r="O753" i="77"/>
  <c r="O959" i="77" s="1"/>
  <c r="Q744" i="77"/>
  <c r="Q872" i="77" s="1"/>
  <c r="P744" i="77"/>
  <c r="P872" i="77" s="1"/>
  <c r="O744" i="77"/>
  <c r="O872" i="77" s="1"/>
  <c r="Q452" i="77"/>
  <c r="P452" i="77"/>
  <c r="O452" i="77"/>
  <c r="Q958" i="77"/>
  <c r="P958" i="77"/>
  <c r="O958" i="77"/>
  <c r="Q871" i="77"/>
  <c r="P871" i="77"/>
  <c r="O871" i="77"/>
  <c r="Q957" i="77"/>
  <c r="P957" i="77"/>
  <c r="O957" i="77"/>
  <c r="Q870" i="77"/>
  <c r="P870" i="77"/>
  <c r="O870" i="77"/>
  <c r="Q868" i="77"/>
  <c r="Q894" i="77" s="1"/>
  <c r="P868" i="77"/>
  <c r="P894" i="77" s="1"/>
  <c r="O868" i="77"/>
  <c r="O894" i="77" s="1"/>
  <c r="Q956" i="77"/>
  <c r="P956" i="77"/>
  <c r="O956" i="77"/>
  <c r="Q869" i="77"/>
  <c r="P869" i="77"/>
  <c r="O869" i="77"/>
  <c r="Q78" i="77"/>
  <c r="Q867" i="77" s="1"/>
  <c r="P78" i="77"/>
  <c r="P867" i="77" s="1"/>
  <c r="O78" i="77"/>
  <c r="O867" i="77" s="1"/>
  <c r="Q56" i="77"/>
  <c r="Q866" i="77" s="1"/>
  <c r="Q891" i="77" s="1"/>
  <c r="P56" i="77"/>
  <c r="P866" i="77" s="1"/>
  <c r="P891" i="77" s="1"/>
  <c r="O56" i="77"/>
  <c r="O866" i="77" s="1"/>
  <c r="O891" i="77" s="1"/>
  <c r="Q36" i="77"/>
  <c r="Q865" i="77" s="1"/>
  <c r="P36" i="77"/>
  <c r="P865" i="77" s="1"/>
  <c r="O36" i="77"/>
  <c r="O865" i="77" s="1"/>
  <c r="P978" i="77" l="1"/>
  <c r="P898" i="77"/>
  <c r="Q979" i="77"/>
  <c r="Q901" i="77"/>
  <c r="P895" i="77"/>
  <c r="Q976" i="77"/>
  <c r="O896" i="77"/>
  <c r="P977" i="77"/>
  <c r="O979" i="77"/>
  <c r="P899" i="77"/>
  <c r="Q980" i="77"/>
  <c r="O901" i="77"/>
  <c r="P982" i="77"/>
  <c r="Q896" i="77"/>
  <c r="P897" i="77"/>
  <c r="P892" i="77"/>
  <c r="O976" i="77"/>
  <c r="O980" i="77"/>
  <c r="O892" i="77"/>
  <c r="Q892" i="77"/>
  <c r="P901" i="77"/>
  <c r="O982" i="77"/>
  <c r="Q982" i="77"/>
  <c r="O895" i="77"/>
  <c r="Q895" i="77"/>
  <c r="P976" i="77"/>
  <c r="O897" i="77"/>
  <c r="Q897" i="77"/>
  <c r="O898" i="77"/>
  <c r="Q898" i="77"/>
  <c r="P979" i="77"/>
  <c r="O899" i="77"/>
  <c r="Q899" i="77"/>
  <c r="P980" i="77"/>
  <c r="P896" i="77"/>
  <c r="O977" i="77"/>
  <c r="Q977" i="77"/>
  <c r="O978" i="77"/>
  <c r="Q978" i="77"/>
  <c r="O890" i="77"/>
  <c r="Q890" i="77"/>
  <c r="O975" i="77"/>
  <c r="O972" i="77"/>
  <c r="Q975" i="77"/>
  <c r="Q972" i="77"/>
  <c r="P182" i="77"/>
  <c r="P270" i="77"/>
  <c r="P878" i="77"/>
  <c r="P893" i="77" s="1"/>
  <c r="P890" i="77"/>
  <c r="P972" i="77"/>
  <c r="P975" i="77"/>
  <c r="O182" i="77"/>
  <c r="Q182" i="77"/>
  <c r="O270" i="77"/>
  <c r="Q270" i="77"/>
  <c r="O878" i="77"/>
  <c r="O887" i="77" s="1"/>
  <c r="Q878" i="77"/>
  <c r="Q893" i="77" s="1"/>
  <c r="P308" i="77"/>
  <c r="O308" i="77"/>
  <c r="Q308" i="77"/>
  <c r="P984" i="77" l="1"/>
  <c r="P985" i="77" s="1"/>
  <c r="Q984" i="77"/>
  <c r="Q985" i="77" s="1"/>
  <c r="O984" i="77"/>
  <c r="O985" i="77" s="1"/>
  <c r="P887" i="77"/>
  <c r="O893" i="77"/>
  <c r="O903" i="77" s="1"/>
  <c r="O904" i="77" s="1"/>
  <c r="Q887" i="77"/>
  <c r="P903" i="77"/>
  <c r="Q903" i="77"/>
  <c r="P904" i="77" l="1"/>
  <c r="Q904" i="77"/>
  <c r="N69" i="33"/>
  <c r="M69" i="33"/>
  <c r="L69" i="33"/>
  <c r="N55" i="33"/>
  <c r="M55" i="33"/>
  <c r="L55" i="33"/>
  <c r="Q1089" i="77" l="1"/>
  <c r="Q1090" i="77" s="1"/>
  <c r="O1092" i="77"/>
  <c r="O1093" i="77" s="1"/>
  <c r="O1089" i="77"/>
  <c r="O1090" i="77" s="1"/>
  <c r="P1092" i="77"/>
  <c r="P1093" i="77" s="1"/>
  <c r="P1089" i="77"/>
  <c r="P1090" i="77" s="1"/>
  <c r="Q1092" i="77"/>
  <c r="Q1093" i="77" s="1"/>
  <c r="N10" i="33"/>
  <c r="M10" i="33"/>
  <c r="L10" i="33"/>
  <c r="R75" i="52"/>
  <c r="R74" i="52"/>
  <c r="R73" i="52"/>
  <c r="R72" i="52"/>
  <c r="R51" i="52"/>
  <c r="R50" i="52"/>
  <c r="R49" i="52"/>
  <c r="R48" i="52"/>
  <c r="R47" i="52"/>
  <c r="R46" i="52"/>
  <c r="R45" i="52"/>
  <c r="R22" i="52"/>
  <c r="R21" i="52"/>
  <c r="R20" i="52"/>
  <c r="R19" i="52"/>
  <c r="R18" i="52"/>
  <c r="R17" i="52"/>
  <c r="P15" i="77" l="1"/>
  <c r="P22" i="77" s="1"/>
  <c r="O15" i="77"/>
  <c r="O22" i="77" s="1"/>
  <c r="Q15" i="77"/>
  <c r="Q22" i="77" s="1"/>
  <c r="Q23" i="52"/>
  <c r="P23" i="52"/>
  <c r="O23" i="52"/>
  <c r="O992" i="77" l="1"/>
  <c r="O1031" i="77"/>
  <c r="P992" i="77"/>
  <c r="P1031" i="77"/>
  <c r="Q992" i="77"/>
  <c r="Q1031" i="77"/>
  <c r="O862" i="77"/>
  <c r="O17" i="77"/>
  <c r="O907" i="77" s="1"/>
  <c r="Q862" i="77"/>
  <c r="Q17" i="77"/>
  <c r="Q907" i="77" s="1"/>
  <c r="P862" i="77"/>
  <c r="P17" i="77"/>
  <c r="P907" i="77" s="1"/>
  <c r="Q938" i="77" l="1"/>
  <c r="O938" i="77"/>
  <c r="P938" i="77"/>
  <c r="Q87" i="52"/>
  <c r="P87" i="52"/>
  <c r="O87" i="52"/>
  <c r="Q76" i="52"/>
  <c r="Q89" i="52" s="1"/>
  <c r="P76" i="52"/>
  <c r="P89" i="52" s="1"/>
  <c r="O76" i="52"/>
  <c r="O89" i="52" s="1"/>
  <c r="Q52" i="52"/>
  <c r="Q88" i="52" s="1"/>
  <c r="P52" i="52"/>
  <c r="P88" i="52" s="1"/>
  <c r="O52" i="52"/>
  <c r="O88" i="52" s="1"/>
  <c r="Q90" i="52" l="1"/>
  <c r="P90" i="52"/>
  <c r="O90" i="52"/>
  <c r="Q40" i="73"/>
  <c r="P63" i="73"/>
  <c r="O63" i="73"/>
  <c r="N63" i="73"/>
  <c r="P62" i="73"/>
  <c r="O62" i="73"/>
  <c r="N62" i="73"/>
  <c r="P61" i="73"/>
  <c r="O61" i="73"/>
  <c r="N61" i="73"/>
  <c r="P60" i="73"/>
  <c r="O60" i="73"/>
  <c r="N60" i="73"/>
  <c r="P59" i="73"/>
  <c r="O59" i="73"/>
  <c r="N59" i="73"/>
  <c r="P58" i="73"/>
  <c r="O58" i="73"/>
  <c r="N58" i="73"/>
  <c r="P57" i="73"/>
  <c r="O57" i="73"/>
  <c r="N57" i="73"/>
  <c r="P56" i="73"/>
  <c r="O56" i="73"/>
  <c r="N56" i="73"/>
  <c r="P55" i="73"/>
  <c r="O55" i="73"/>
  <c r="N55" i="73"/>
  <c r="P53" i="73"/>
  <c r="O53" i="73"/>
  <c r="N53" i="73"/>
  <c r="P50" i="73"/>
  <c r="O50" i="73"/>
  <c r="N50" i="73"/>
  <c r="P49" i="73"/>
  <c r="O49" i="73"/>
  <c r="N49" i="73"/>
  <c r="P48" i="73"/>
  <c r="O48" i="73"/>
  <c r="N48" i="73"/>
  <c r="P47" i="73"/>
  <c r="O47" i="73"/>
  <c r="N47" i="73"/>
  <c r="P46" i="73"/>
  <c r="O46" i="73"/>
  <c r="N46" i="73"/>
  <c r="P43" i="73"/>
  <c r="O43" i="73"/>
  <c r="N43" i="73"/>
  <c r="P45" i="73"/>
  <c r="O45" i="73"/>
  <c r="N45" i="73"/>
  <c r="P44" i="73"/>
  <c r="O44" i="73"/>
  <c r="N44" i="73"/>
  <c r="P42" i="73"/>
  <c r="O42" i="73"/>
  <c r="N42" i="73"/>
  <c r="P39" i="73"/>
  <c r="O39" i="73"/>
  <c r="N39" i="73"/>
  <c r="P38" i="73"/>
  <c r="O38" i="73"/>
  <c r="N38" i="73"/>
  <c r="P37" i="73"/>
  <c r="O37" i="73"/>
  <c r="N37" i="73"/>
  <c r="N65" i="73" l="1"/>
  <c r="N66" i="73" s="1"/>
  <c r="O65" i="73"/>
  <c r="O66" i="73" s="1"/>
  <c r="P65" i="73"/>
  <c r="P66" i="73" s="1"/>
  <c r="Q931" i="77" l="1"/>
  <c r="O931" i="77"/>
  <c r="O797" i="77"/>
  <c r="P918" i="77"/>
  <c r="P558" i="77"/>
  <c r="P917" i="77"/>
  <c r="P395" i="77"/>
  <c r="Q919" i="77"/>
  <c r="Q700" i="77"/>
  <c r="O919" i="77"/>
  <c r="O700" i="77"/>
  <c r="Q917" i="77"/>
  <c r="O917" i="77"/>
  <c r="O395" i="77"/>
  <c r="P919" i="77"/>
  <c r="P700" i="77"/>
  <c r="Q929" i="77"/>
  <c r="O929" i="77"/>
  <c r="O474" i="77"/>
  <c r="Q928" i="77"/>
  <c r="O928" i="77"/>
  <c r="O305" i="77"/>
  <c r="O923" i="77"/>
  <c r="O943" i="77" s="1"/>
  <c r="P931" i="77"/>
  <c r="P797" i="77"/>
  <c r="Q918" i="77"/>
  <c r="O918" i="77"/>
  <c r="O558" i="77"/>
  <c r="P929" i="77"/>
  <c r="P474" i="77"/>
  <c r="P928" i="77"/>
  <c r="P305" i="77"/>
  <c r="P923" i="77"/>
  <c r="P943" i="77" s="1"/>
  <c r="N868" i="77"/>
  <c r="N894" i="77" s="1"/>
  <c r="M868" i="77"/>
  <c r="M894" i="77" s="1"/>
  <c r="L868" i="77"/>
  <c r="L894" i="77" s="1"/>
  <c r="K868" i="77"/>
  <c r="K894" i="77" s="1"/>
  <c r="J868" i="77"/>
  <c r="J894" i="77" s="1"/>
  <c r="I868" i="77"/>
  <c r="I894" i="77" s="1"/>
  <c r="H868" i="77"/>
  <c r="H894" i="77" s="1"/>
  <c r="G868" i="77"/>
  <c r="G894" i="77" s="1"/>
  <c r="F868" i="77" l="1"/>
  <c r="F894" i="77" s="1"/>
  <c r="R123" i="77"/>
  <c r="Q923" i="77"/>
  <c r="Q943" i="77" s="1"/>
  <c r="Q930" i="77"/>
  <c r="Q949" i="77" s="1"/>
  <c r="P930" i="77"/>
  <c r="P949" i="77" s="1"/>
  <c r="P597" i="77"/>
  <c r="P909" i="77"/>
  <c r="P940" i="77" s="1"/>
  <c r="O930" i="77"/>
  <c r="O949" i="77" s="1"/>
  <c r="O597" i="77"/>
  <c r="O909" i="77"/>
  <c r="O940" i="77" s="1"/>
  <c r="Q909" i="77"/>
  <c r="Q940" i="77" s="1"/>
  <c r="R868" i="77" l="1"/>
  <c r="Q914" i="77" l="1"/>
  <c r="Q946" i="77" s="1"/>
  <c r="Q913" i="77"/>
  <c r="Q945" i="77" s="1"/>
  <c r="O913" i="77"/>
  <c r="O945" i="77" s="1"/>
  <c r="O514" i="77"/>
  <c r="P926" i="77" l="1"/>
  <c r="P950" i="77" s="1"/>
  <c r="P751" i="77"/>
  <c r="P913" i="77"/>
  <c r="P945" i="77" s="1"/>
  <c r="P514" i="77"/>
  <c r="Q924" i="77"/>
  <c r="O924" i="77"/>
  <c r="O267" i="77"/>
  <c r="P924" i="77"/>
  <c r="P267" i="77"/>
  <c r="O925" i="77"/>
  <c r="O948" i="77" s="1"/>
  <c r="O437" i="77"/>
  <c r="O912" i="77"/>
  <c r="O944" i="77" s="1"/>
  <c r="O348" i="77"/>
  <c r="Q925" i="77"/>
  <c r="Q948" i="77" s="1"/>
  <c r="P916" i="77"/>
  <c r="P225" i="77"/>
  <c r="O910" i="77"/>
  <c r="Q912" i="77"/>
  <c r="Q944" i="77" s="1"/>
  <c r="P925" i="77"/>
  <c r="P948" i="77" s="1"/>
  <c r="P437" i="77"/>
  <c r="P914" i="77"/>
  <c r="P946" i="77" s="1"/>
  <c r="P644" i="77"/>
  <c r="O914" i="77"/>
  <c r="O946" i="77" s="1"/>
  <c r="O644" i="77"/>
  <c r="Q932" i="77"/>
  <c r="Q951" i="77" s="1"/>
  <c r="O932" i="77"/>
  <c r="O951" i="77" s="1"/>
  <c r="P932" i="77"/>
  <c r="P951" i="77" s="1"/>
  <c r="P911" i="77"/>
  <c r="P179" i="77"/>
  <c r="O926" i="77"/>
  <c r="O950" i="77" s="1"/>
  <c r="O751" i="77"/>
  <c r="P912" i="77"/>
  <c r="P944" i="77" s="1"/>
  <c r="P348" i="77"/>
  <c r="Q926" i="77"/>
  <c r="Q950" i="77" s="1"/>
  <c r="P910" i="77"/>
  <c r="O911" i="77"/>
  <c r="O179" i="77"/>
  <c r="K10" i="33"/>
  <c r="J10" i="33"/>
  <c r="I10" i="33"/>
  <c r="H10" i="33"/>
  <c r="G10" i="33"/>
  <c r="F10" i="33"/>
  <c r="E10" i="33"/>
  <c r="D10" i="33"/>
  <c r="C10" i="33"/>
  <c r="P942" i="77" l="1"/>
  <c r="O28" i="52"/>
  <c r="O30" i="52"/>
  <c r="O26" i="52"/>
  <c r="O57" i="52"/>
  <c r="O59" i="52"/>
  <c r="O61" i="52"/>
  <c r="O79" i="52"/>
  <c r="O81" i="52"/>
  <c r="O27" i="52"/>
  <c r="O29" i="52"/>
  <c r="O31" i="52"/>
  <c r="O56" i="52"/>
  <c r="O58" i="52"/>
  <c r="O60" i="52"/>
  <c r="O55" i="52"/>
  <c r="O80" i="52"/>
  <c r="O82" i="52"/>
  <c r="O916" i="77"/>
  <c r="O942" i="77" s="1"/>
  <c r="O225" i="77"/>
  <c r="Q910" i="77"/>
  <c r="O915" i="77"/>
  <c r="O941" i="77" s="1"/>
  <c r="P947" i="77"/>
  <c r="P933" i="77"/>
  <c r="O947" i="77"/>
  <c r="O933" i="77"/>
  <c r="P908" i="77"/>
  <c r="O908" i="77"/>
  <c r="Q911" i="77"/>
  <c r="P915" i="77"/>
  <c r="P941" i="77" s="1"/>
  <c r="Q947" i="77"/>
  <c r="Q933" i="77"/>
  <c r="O10" i="33"/>
  <c r="F127" i="77"/>
  <c r="O62" i="52" l="1"/>
  <c r="O94" i="52" s="1"/>
  <c r="O83" i="52"/>
  <c r="O95" i="52" s="1"/>
  <c r="O32" i="52"/>
  <c r="O93" i="52" s="1"/>
  <c r="Q60" i="52"/>
  <c r="P60" i="52"/>
  <c r="Q58" i="52"/>
  <c r="P58" i="52"/>
  <c r="Q56" i="52"/>
  <c r="P56" i="52"/>
  <c r="Q79" i="52"/>
  <c r="P79" i="52"/>
  <c r="Q26" i="52"/>
  <c r="P26" i="52"/>
  <c r="Q30" i="52"/>
  <c r="P30" i="52"/>
  <c r="Q28" i="52"/>
  <c r="P28" i="52"/>
  <c r="Q82" i="52"/>
  <c r="P82" i="52"/>
  <c r="Q80" i="52"/>
  <c r="P80" i="52"/>
  <c r="Q55" i="52"/>
  <c r="P55" i="52"/>
  <c r="Q31" i="52"/>
  <c r="P31" i="52"/>
  <c r="Q29" i="52"/>
  <c r="P29" i="52"/>
  <c r="Q27" i="52"/>
  <c r="P27" i="52"/>
  <c r="Q81" i="52"/>
  <c r="P81" i="52"/>
  <c r="Q61" i="52"/>
  <c r="P61" i="52"/>
  <c r="Q59" i="52"/>
  <c r="P59" i="52"/>
  <c r="Q57" i="52"/>
  <c r="P57" i="52"/>
  <c r="Q908" i="77"/>
  <c r="Q916" i="77"/>
  <c r="Q942" i="77" s="1"/>
  <c r="O939" i="77"/>
  <c r="O952" i="77" s="1"/>
  <c r="O920" i="77"/>
  <c r="O935" i="77" s="1"/>
  <c r="P939" i="77"/>
  <c r="P952" i="77" s="1"/>
  <c r="P920" i="77"/>
  <c r="P935" i="77" s="1"/>
  <c r="Q915" i="77"/>
  <c r="Q941" i="77" s="1"/>
  <c r="G127" i="77"/>
  <c r="P62" i="52" l="1"/>
  <c r="P94" i="52" s="1"/>
  <c r="P32" i="52"/>
  <c r="P93" i="52" s="1"/>
  <c r="P83" i="52"/>
  <c r="P95" i="52" s="1"/>
  <c r="O96" i="52"/>
  <c r="Q62" i="52"/>
  <c r="Q94" i="52" s="1"/>
  <c r="Q32" i="52"/>
  <c r="Q93" i="52" s="1"/>
  <c r="Q83" i="52"/>
  <c r="Q95" i="52" s="1"/>
  <c r="Q939" i="77"/>
  <c r="Q952" i="77" s="1"/>
  <c r="Q920" i="77"/>
  <c r="Q935" i="77" s="1"/>
  <c r="P953" i="77"/>
  <c r="P1087" i="77"/>
  <c r="O953" i="77"/>
  <c r="O1087" i="77"/>
  <c r="H127" i="77"/>
  <c r="Q96" i="52" l="1"/>
  <c r="P96" i="52"/>
  <c r="Q305" i="77"/>
  <c r="Q1087" i="77"/>
  <c r="Q953" i="77"/>
  <c r="I127" i="77"/>
  <c r="J69" i="33"/>
  <c r="K69" i="33"/>
  <c r="Q179" i="77" l="1"/>
  <c r="Q267" i="77"/>
  <c r="Q597" i="77"/>
  <c r="Q225" i="77"/>
  <c r="Q437" i="77"/>
  <c r="Q395" i="77"/>
  <c r="Q751" i="77"/>
  <c r="Q348" i="77"/>
  <c r="Q514" i="77"/>
  <c r="Q474" i="77"/>
  <c r="Q797" i="77"/>
  <c r="Q644" i="77"/>
  <c r="Q558" i="77"/>
  <c r="J127" i="77"/>
  <c r="K127" i="77" l="1"/>
  <c r="C55" i="33"/>
  <c r="D55" i="33"/>
  <c r="E55" i="33"/>
  <c r="F55" i="33"/>
  <c r="G55" i="33"/>
  <c r="H55" i="33"/>
  <c r="L127" i="77" l="1"/>
  <c r="M127" i="77" l="1"/>
  <c r="K1092" i="77" l="1"/>
  <c r="J1092" i="77"/>
  <c r="I1092" i="77"/>
  <c r="H1092" i="77"/>
  <c r="G1092" i="77"/>
  <c r="F1092" i="77"/>
  <c r="N799" i="77"/>
  <c r="M799" i="77"/>
  <c r="L799" i="77"/>
  <c r="K799" i="77"/>
  <c r="J799" i="77"/>
  <c r="I799" i="77"/>
  <c r="H799" i="77"/>
  <c r="G799" i="77"/>
  <c r="F799" i="77"/>
  <c r="N790" i="77"/>
  <c r="M790" i="77"/>
  <c r="L790" i="77"/>
  <c r="K790" i="77"/>
  <c r="J790" i="77"/>
  <c r="I790" i="77"/>
  <c r="H790" i="77"/>
  <c r="G790" i="77"/>
  <c r="F790" i="77"/>
  <c r="O603" i="77" l="1"/>
  <c r="O129" i="77"/>
  <c r="O1021" i="77" s="1"/>
  <c r="O127" i="77"/>
  <c r="O60" i="77"/>
  <c r="O21" i="77"/>
  <c r="R792" i="77"/>
  <c r="R794" i="77"/>
  <c r="R796" i="77"/>
  <c r="R790" i="77"/>
  <c r="R799" i="77"/>
  <c r="R793" i="77"/>
  <c r="R795" i="77"/>
  <c r="N127" i="77"/>
  <c r="O605" i="77" l="1"/>
  <c r="O610" i="77"/>
  <c r="O608" i="77"/>
  <c r="O606" i="77"/>
  <c r="P603" i="77"/>
  <c r="O682" i="77"/>
  <c r="O715" i="77" s="1"/>
  <c r="O659" i="77"/>
  <c r="O552" i="77"/>
  <c r="O551" i="77"/>
  <c r="O536" i="77"/>
  <c r="O375" i="77"/>
  <c r="O401" i="77" s="1"/>
  <c r="O354" i="77"/>
  <c r="O128" i="77"/>
  <c r="P127" i="77"/>
  <c r="O134" i="77"/>
  <c r="O1076" i="77" s="1"/>
  <c r="O130" i="77"/>
  <c r="P129" i="77"/>
  <c r="P1021" i="77" s="1"/>
  <c r="O218" i="77"/>
  <c r="O217" i="77"/>
  <c r="O202" i="77"/>
  <c r="P60" i="77"/>
  <c r="O25" i="77"/>
  <c r="O20" i="77"/>
  <c r="O23" i="77" s="1"/>
  <c r="P21" i="77"/>
  <c r="O1013" i="77"/>
  <c r="O1049" i="77" s="1"/>
  <c r="O132" i="77" l="1"/>
  <c r="O1003" i="77"/>
  <c r="O1057" i="77" s="1"/>
  <c r="O580" i="77"/>
  <c r="O1074" i="77" s="1"/>
  <c r="O607" i="77"/>
  <c r="O612" i="77" s="1"/>
  <c r="O1024" i="77"/>
  <c r="O614" i="77"/>
  <c r="O1079" i="77" s="1"/>
  <c r="P605" i="77"/>
  <c r="Q603" i="77"/>
  <c r="P606" i="77"/>
  <c r="P608" i="77"/>
  <c r="P610" i="77"/>
  <c r="P682" i="77"/>
  <c r="P715" i="77" s="1"/>
  <c r="P659" i="77"/>
  <c r="O680" i="77"/>
  <c r="O712" i="77" s="1"/>
  <c r="O656" i="77"/>
  <c r="O676" i="77"/>
  <c r="O708" i="77" s="1"/>
  <c r="O652" i="77"/>
  <c r="O683" i="77"/>
  <c r="O716" i="77" s="1"/>
  <c r="O660" i="77"/>
  <c r="O687" i="77"/>
  <c r="O720" i="77" s="1"/>
  <c r="O723" i="77" s="1"/>
  <c r="O664" i="77"/>
  <c r="O667" i="77" s="1"/>
  <c r="O678" i="77"/>
  <c r="O710" i="77" s="1"/>
  <c r="O654" i="77"/>
  <c r="O686" i="77"/>
  <c r="O719" i="77" s="1"/>
  <c r="O663" i="77"/>
  <c r="O681" i="77"/>
  <c r="O713" i="77" s="1"/>
  <c r="O657" i="77"/>
  <c r="O677" i="77"/>
  <c r="O653" i="77"/>
  <c r="O690" i="77"/>
  <c r="O674" i="77"/>
  <c r="O706" i="77" s="1"/>
  <c r="O650" i="77"/>
  <c r="O689" i="77"/>
  <c r="O670" i="77"/>
  <c r="O679" i="77"/>
  <c r="O711" i="77" s="1"/>
  <c r="O655" i="77"/>
  <c r="P551" i="77"/>
  <c r="O544" i="77"/>
  <c r="O569" i="77" s="1"/>
  <c r="O525" i="77"/>
  <c r="O548" i="77"/>
  <c r="O573" i="77" s="1"/>
  <c r="O529" i="77"/>
  <c r="O543" i="77"/>
  <c r="O523" i="77"/>
  <c r="O540" i="77"/>
  <c r="O564" i="77" s="1"/>
  <c r="O520" i="77"/>
  <c r="P552" i="77"/>
  <c r="O378" i="77"/>
  <c r="O357" i="77"/>
  <c r="O381" i="77"/>
  <c r="O408" i="77" s="1"/>
  <c r="O361" i="77"/>
  <c r="O384" i="77"/>
  <c r="O411" i="77" s="1"/>
  <c r="O364" i="77"/>
  <c r="P375" i="77"/>
  <c r="P401" i="77" s="1"/>
  <c r="P354" i="77"/>
  <c r="O380" i="77"/>
  <c r="O407" i="77" s="1"/>
  <c r="O360" i="77"/>
  <c r="O388" i="77"/>
  <c r="O387" i="77"/>
  <c r="O371" i="77"/>
  <c r="O778" i="77"/>
  <c r="O805" i="77" s="1"/>
  <c r="O759" i="77"/>
  <c r="O782" i="77"/>
  <c r="O809" i="77" s="1"/>
  <c r="O763" i="77"/>
  <c r="O784" i="77"/>
  <c r="O766" i="77"/>
  <c r="O780" i="77"/>
  <c r="O807" i="77" s="1"/>
  <c r="O761" i="77"/>
  <c r="O463" i="77"/>
  <c r="O484" i="77" s="1"/>
  <c r="O447" i="77"/>
  <c r="O461" i="77"/>
  <c r="O482" i="77" s="1"/>
  <c r="O445" i="77"/>
  <c r="O466" i="77"/>
  <c r="O488" i="77" s="1"/>
  <c r="O451" i="77"/>
  <c r="O290" i="77"/>
  <c r="O311" i="77" s="1"/>
  <c r="O273" i="77"/>
  <c r="O293" i="77"/>
  <c r="O315" i="77" s="1"/>
  <c r="O277" i="77"/>
  <c r="O298" i="77"/>
  <c r="O321" i="77" s="1"/>
  <c r="O283" i="77"/>
  <c r="O295" i="77"/>
  <c r="O318" i="77" s="1"/>
  <c r="O280" i="77"/>
  <c r="P134" i="77"/>
  <c r="P1076" i="77" s="1"/>
  <c r="Q129" i="77"/>
  <c r="Q1021" i="77" s="1"/>
  <c r="P130" i="77"/>
  <c r="Q127" i="77"/>
  <c r="P128" i="77"/>
  <c r="P217" i="77"/>
  <c r="O215" i="77"/>
  <c r="O242" i="77" s="1"/>
  <c r="O196" i="77"/>
  <c r="O248" i="77"/>
  <c r="O1072" i="77" s="1"/>
  <c r="P218" i="77"/>
  <c r="O206" i="77"/>
  <c r="O231" i="77" s="1"/>
  <c r="O185" i="77"/>
  <c r="O208" i="77"/>
  <c r="O234" i="77" s="1"/>
  <c r="O188" i="77"/>
  <c r="O211" i="77"/>
  <c r="O238" i="77" s="1"/>
  <c r="O192" i="77"/>
  <c r="O94" i="77"/>
  <c r="O106" i="77" s="1"/>
  <c r="O83" i="77"/>
  <c r="O96" i="77"/>
  <c r="O108" i="77" s="1"/>
  <c r="O85" i="77"/>
  <c r="O97" i="77"/>
  <c r="O112" i="77" s="1"/>
  <c r="O89" i="77"/>
  <c r="Q60" i="77"/>
  <c r="O66" i="77"/>
  <c r="O1070" i="77" s="1"/>
  <c r="O62" i="77"/>
  <c r="O61" i="77"/>
  <c r="O996" i="77"/>
  <c r="O44" i="77"/>
  <c r="O46" i="77"/>
  <c r="O1069" i="77" s="1"/>
  <c r="P1013" i="77"/>
  <c r="P1049" i="77" s="1"/>
  <c r="P20" i="77"/>
  <c r="P23" i="77" s="1"/>
  <c r="P25" i="77"/>
  <c r="Q21" i="77"/>
  <c r="O995" i="77"/>
  <c r="O1068" i="77"/>
  <c r="O567" i="77" l="1"/>
  <c r="O404" i="77"/>
  <c r="O812" i="77"/>
  <c r="O818" i="77" s="1"/>
  <c r="O709" i="77"/>
  <c r="O714" i="77" s="1"/>
  <c r="P132" i="77"/>
  <c r="O64" i="77"/>
  <c r="P1003" i="77"/>
  <c r="P1057" i="77" s="1"/>
  <c r="O418" i="77"/>
  <c r="O1073" i="77" s="1"/>
  <c r="O245" i="77"/>
  <c r="P607" i="77"/>
  <c r="O1020" i="77"/>
  <c r="O1008" i="77"/>
  <c r="O1062" i="77" s="1"/>
  <c r="P248" i="77"/>
  <c r="P1008" i="77"/>
  <c r="P1062" i="77" s="1"/>
  <c r="Q608" i="77"/>
  <c r="Q605" i="77"/>
  <c r="Q610" i="77"/>
  <c r="P614" i="77"/>
  <c r="P1079" i="77" s="1"/>
  <c r="P1024" i="77"/>
  <c r="Q606" i="77"/>
  <c r="O1006" i="77"/>
  <c r="P677" i="77"/>
  <c r="P653" i="77"/>
  <c r="O726" i="77"/>
  <c r="O1075" i="77" s="1"/>
  <c r="Q682" i="77"/>
  <c r="Q715" i="77" s="1"/>
  <c r="Q659" i="77"/>
  <c r="P690" i="77"/>
  <c r="O665" i="77"/>
  <c r="P678" i="77"/>
  <c r="P710" i="77" s="1"/>
  <c r="P654" i="77"/>
  <c r="O721" i="77"/>
  <c r="P676" i="77"/>
  <c r="P708" i="77" s="1"/>
  <c r="P652" i="77"/>
  <c r="P680" i="77"/>
  <c r="P712" i="77" s="1"/>
  <c r="P656" i="77"/>
  <c r="P679" i="77"/>
  <c r="P711" i="77" s="1"/>
  <c r="P655" i="77"/>
  <c r="P689" i="77"/>
  <c r="P726" i="77" s="1"/>
  <c r="P670" i="77"/>
  <c r="P674" i="77"/>
  <c r="P706" i="77" s="1"/>
  <c r="P650" i="77"/>
  <c r="P681" i="77"/>
  <c r="P713" i="77" s="1"/>
  <c r="P657" i="77"/>
  <c r="P687" i="77"/>
  <c r="P720" i="77" s="1"/>
  <c r="P723" i="77" s="1"/>
  <c r="P664" i="77"/>
  <c r="P667" i="77" s="1"/>
  <c r="P683" i="77"/>
  <c r="P716" i="77" s="1"/>
  <c r="P660" i="77"/>
  <c r="O658" i="77"/>
  <c r="O668" i="77" s="1"/>
  <c r="P686" i="77"/>
  <c r="P719" i="77" s="1"/>
  <c r="P663" i="77"/>
  <c r="P544" i="77"/>
  <c r="P569" i="77" s="1"/>
  <c r="P525" i="77"/>
  <c r="P580" i="77"/>
  <c r="P548" i="77"/>
  <c r="P573" i="77" s="1"/>
  <c r="P529" i="77"/>
  <c r="Q552" i="77"/>
  <c r="P540" i="77"/>
  <c r="P564" i="77" s="1"/>
  <c r="P520" i="77"/>
  <c r="Q551" i="77"/>
  <c r="Q536" i="77"/>
  <c r="O542" i="77"/>
  <c r="O566" i="77" s="1"/>
  <c r="O568" i="77" s="1"/>
  <c r="O522" i="77"/>
  <c r="O524" i="77" s="1"/>
  <c r="P543" i="77"/>
  <c r="P523" i="77"/>
  <c r="O549" i="77"/>
  <c r="O574" i="77" s="1"/>
  <c r="O575" i="77" s="1"/>
  <c r="O530" i="77"/>
  <c r="O531" i="77" s="1"/>
  <c r="O545" i="77"/>
  <c r="O570" i="77" s="1"/>
  <c r="O526" i="77"/>
  <c r="P536" i="77"/>
  <c r="O377" i="77"/>
  <c r="O403" i="77" s="1"/>
  <c r="O356" i="77"/>
  <c r="P387" i="77"/>
  <c r="P378" i="77"/>
  <c r="P357" i="77"/>
  <c r="P388" i="77"/>
  <c r="P384" i="77"/>
  <c r="P411" i="77" s="1"/>
  <c r="P364" i="77"/>
  <c r="P381" i="77"/>
  <c r="P408" i="77" s="1"/>
  <c r="P361" i="77"/>
  <c r="O379" i="77"/>
  <c r="O405" i="77" s="1"/>
  <c r="O358" i="77"/>
  <c r="O385" i="77"/>
  <c r="O412" i="77" s="1"/>
  <c r="O415" i="77" s="1"/>
  <c r="O365" i="77"/>
  <c r="P380" i="77"/>
  <c r="P407" i="77" s="1"/>
  <c r="P360" i="77"/>
  <c r="Q375" i="77"/>
  <c r="Q401" i="77" s="1"/>
  <c r="Q354" i="77"/>
  <c r="P784" i="77"/>
  <c r="P766" i="77"/>
  <c r="P780" i="77"/>
  <c r="P807" i="77" s="1"/>
  <c r="P761" i="77"/>
  <c r="P782" i="77"/>
  <c r="P809" i="77" s="1"/>
  <c r="P763" i="77"/>
  <c r="P778" i="77"/>
  <c r="P805" i="77" s="1"/>
  <c r="P759" i="77"/>
  <c r="O776" i="77"/>
  <c r="O803" i="77" s="1"/>
  <c r="O757" i="77"/>
  <c r="O783" i="77"/>
  <c r="O810" i="77" s="1"/>
  <c r="O764" i="77"/>
  <c r="O781" i="77"/>
  <c r="O808" i="77" s="1"/>
  <c r="O762" i="77"/>
  <c r="O786" i="77"/>
  <c r="O814" i="77" s="1"/>
  <c r="O768" i="77"/>
  <c r="O772" i="77"/>
  <c r="O1080" i="77" s="1"/>
  <c r="O1025" i="77"/>
  <c r="O779" i="77"/>
  <c r="O806" i="77" s="1"/>
  <c r="O760" i="77"/>
  <c r="O464" i="77"/>
  <c r="O486" i="77" s="1"/>
  <c r="O492" i="77" s="1"/>
  <c r="O449" i="77"/>
  <c r="P463" i="77"/>
  <c r="P484" i="77" s="1"/>
  <c r="P447" i="77"/>
  <c r="P466" i="77"/>
  <c r="P488" i="77" s="1"/>
  <c r="P451" i="77"/>
  <c r="P461" i="77"/>
  <c r="P482" i="77" s="1"/>
  <c r="P445" i="77"/>
  <c r="O462" i="77"/>
  <c r="O483" i="77" s="1"/>
  <c r="O485" i="77" s="1"/>
  <c r="O446" i="77"/>
  <c r="O448" i="77" s="1"/>
  <c r="O459" i="77"/>
  <c r="O480" i="77" s="1"/>
  <c r="O443" i="77"/>
  <c r="P290" i="77"/>
  <c r="P311" i="77" s="1"/>
  <c r="P273" i="77"/>
  <c r="O292" i="77"/>
  <c r="O314" i="77" s="1"/>
  <c r="O316" i="77" s="1"/>
  <c r="O276" i="77"/>
  <c r="O278" i="77" s="1"/>
  <c r="O294" i="77"/>
  <c r="O317" i="77" s="1"/>
  <c r="O324" i="77" s="1"/>
  <c r="O279" i="77"/>
  <c r="O297" i="77"/>
  <c r="O282" i="77"/>
  <c r="P295" i="77"/>
  <c r="P318" i="77" s="1"/>
  <c r="P280" i="77"/>
  <c r="P298" i="77"/>
  <c r="P321" i="77" s="1"/>
  <c r="P283" i="77"/>
  <c r="P293" i="77"/>
  <c r="P315" i="77" s="1"/>
  <c r="P277" i="77"/>
  <c r="Q130" i="77"/>
  <c r="Q134" i="77"/>
  <c r="Q1076" i="77" s="1"/>
  <c r="Q128" i="77"/>
  <c r="R127" i="77"/>
  <c r="P196" i="77"/>
  <c r="P215" i="77"/>
  <c r="P242" i="77" s="1"/>
  <c r="O209" i="77"/>
  <c r="O235" i="77" s="1"/>
  <c r="O236" i="77" s="1"/>
  <c r="O189" i="77"/>
  <c r="O190" i="77" s="1"/>
  <c r="Q217" i="77"/>
  <c r="P206" i="77"/>
  <c r="P231" i="77" s="1"/>
  <c r="P185" i="77"/>
  <c r="P202" i="77"/>
  <c r="O199" i="77"/>
  <c r="O1017" i="77"/>
  <c r="P211" i="77"/>
  <c r="P238" i="77" s="1"/>
  <c r="P192" i="77"/>
  <c r="O195" i="77"/>
  <c r="O197" i="77" s="1"/>
  <c r="O214" i="77"/>
  <c r="O216" i="77"/>
  <c r="O244" i="77" s="1"/>
  <c r="O198" i="77"/>
  <c r="Q218" i="77"/>
  <c r="P208" i="77"/>
  <c r="P234" i="77" s="1"/>
  <c r="P188" i="77"/>
  <c r="P97" i="77"/>
  <c r="P112" i="77" s="1"/>
  <c r="P89" i="77"/>
  <c r="P94" i="77"/>
  <c r="P106" i="77" s="1"/>
  <c r="P83" i="77"/>
  <c r="O1071" i="77"/>
  <c r="O1016" i="77"/>
  <c r="P96" i="77"/>
  <c r="P108" i="77" s="1"/>
  <c r="P85" i="77"/>
  <c r="O93" i="77"/>
  <c r="O105" i="77" s="1"/>
  <c r="O110" i="77" s="1"/>
  <c r="O82" i="77"/>
  <c r="O87" i="77" s="1"/>
  <c r="P61" i="77"/>
  <c r="O1015" i="77"/>
  <c r="O989" i="77"/>
  <c r="O997" i="77"/>
  <c r="P66" i="77"/>
  <c r="P1070" i="77" s="1"/>
  <c r="P62" i="77"/>
  <c r="P996" i="77"/>
  <c r="P46" i="77"/>
  <c r="P1069" i="77" s="1"/>
  <c r="P44" i="77"/>
  <c r="O1014" i="77"/>
  <c r="O1050" i="77" s="1"/>
  <c r="Q1013" i="77"/>
  <c r="Q1049" i="77" s="1"/>
  <c r="Q25" i="77"/>
  <c r="Q20" i="77"/>
  <c r="Q23" i="77" s="1"/>
  <c r="P1068" i="77"/>
  <c r="P995" i="77"/>
  <c r="O241" i="77" l="1"/>
  <c r="O243" i="77" s="1"/>
  <c r="P567" i="77"/>
  <c r="P812" i="77"/>
  <c r="P818" i="77" s="1"/>
  <c r="O320" i="77"/>
  <c r="P404" i="77"/>
  <c r="P709" i="77"/>
  <c r="O724" i="77"/>
  <c r="P1006" i="77"/>
  <c r="P612" i="77"/>
  <c r="O578" i="77"/>
  <c r="O534" i="77"/>
  <c r="O490" i="77"/>
  <c r="O453" i="77"/>
  <c r="O246" i="77"/>
  <c r="O284" i="77"/>
  <c r="O200" i="77"/>
  <c r="O322" i="77"/>
  <c r="Q132" i="77"/>
  <c r="P64" i="77"/>
  <c r="Q1003" i="77"/>
  <c r="Q1057" i="77" s="1"/>
  <c r="O998" i="77"/>
  <c r="O1052" i="77" s="1"/>
  <c r="O999" i="77"/>
  <c r="O1053" i="77" s="1"/>
  <c r="O359" i="77"/>
  <c r="P245" i="77"/>
  <c r="P1074" i="77"/>
  <c r="P721" i="77"/>
  <c r="O1002" i="77"/>
  <c r="O1056" i="77" s="1"/>
  <c r="P665" i="77"/>
  <c r="P714" i="77"/>
  <c r="P1072" i="77"/>
  <c r="O1004" i="77"/>
  <c r="O988" i="77"/>
  <c r="O406" i="77"/>
  <c r="P658" i="77"/>
  <c r="O533" i="77"/>
  <c r="O1018" i="77"/>
  <c r="O1019" i="77"/>
  <c r="P1075" i="77"/>
  <c r="Q202" i="77"/>
  <c r="O366" i="77"/>
  <c r="Q580" i="77"/>
  <c r="Q1074" i="77" s="1"/>
  <c r="Q1008" i="77"/>
  <c r="Q1062" i="77" s="1"/>
  <c r="Q607" i="77"/>
  <c r="Q612" i="77" s="1"/>
  <c r="Q1024" i="77"/>
  <c r="Q614" i="77"/>
  <c r="Q1079" i="77" s="1"/>
  <c r="Q679" i="77"/>
  <c r="Q711" i="77" s="1"/>
  <c r="Q655" i="77"/>
  <c r="Q676" i="77"/>
  <c r="Q708" i="77" s="1"/>
  <c r="Q652" i="77"/>
  <c r="Q677" i="77"/>
  <c r="Q653" i="77"/>
  <c r="P1020" i="77"/>
  <c r="Q689" i="77"/>
  <c r="Q690" i="77"/>
  <c r="Q687" i="77"/>
  <c r="Q720" i="77" s="1"/>
  <c r="Q723" i="77" s="1"/>
  <c r="Q664" i="77"/>
  <c r="Q667" i="77" s="1"/>
  <c r="Q681" i="77"/>
  <c r="Q713" i="77" s="1"/>
  <c r="Q657" i="77"/>
  <c r="Q674" i="77"/>
  <c r="Q706" i="77" s="1"/>
  <c r="Q650" i="77"/>
  <c r="Q680" i="77"/>
  <c r="Q712" i="77" s="1"/>
  <c r="Q656" i="77"/>
  <c r="Q678" i="77"/>
  <c r="Q710" i="77" s="1"/>
  <c r="Q654" i="77"/>
  <c r="Q686" i="77"/>
  <c r="Q719" i="77" s="1"/>
  <c r="Q663" i="77"/>
  <c r="Q683" i="77"/>
  <c r="Q716" i="77" s="1"/>
  <c r="Q660" i="77"/>
  <c r="O1001" i="77"/>
  <c r="O1055" i="77" s="1"/>
  <c r="Q544" i="77"/>
  <c r="Q569" i="77" s="1"/>
  <c r="Q525" i="77"/>
  <c r="O577" i="77"/>
  <c r="P545" i="77"/>
  <c r="P570" i="77" s="1"/>
  <c r="P526" i="77"/>
  <c r="P542" i="77"/>
  <c r="P566" i="77" s="1"/>
  <c r="P568" i="77" s="1"/>
  <c r="P522" i="77"/>
  <c r="P524" i="77" s="1"/>
  <c r="Q540" i="77"/>
  <c r="Q564" i="77" s="1"/>
  <c r="Q520" i="77"/>
  <c r="Q548" i="77"/>
  <c r="Q573" i="77" s="1"/>
  <c r="Q529" i="77"/>
  <c r="P549" i="77"/>
  <c r="P574" i="77" s="1"/>
  <c r="P575" i="77" s="1"/>
  <c r="P530" i="77"/>
  <c r="P531" i="77" s="1"/>
  <c r="Q543" i="77"/>
  <c r="Q523" i="77"/>
  <c r="O413" i="77"/>
  <c r="P377" i="77"/>
  <c r="P403" i="77" s="1"/>
  <c r="P356" i="77"/>
  <c r="Q388" i="77"/>
  <c r="P379" i="77"/>
  <c r="P405" i="77" s="1"/>
  <c r="P358" i="77"/>
  <c r="P371" i="77"/>
  <c r="Q381" i="77"/>
  <c r="Q408" i="77" s="1"/>
  <c r="Q361" i="77"/>
  <c r="Q384" i="77"/>
  <c r="Q411" i="77" s="1"/>
  <c r="Q364" i="77"/>
  <c r="O368" i="77"/>
  <c r="Q378" i="77"/>
  <c r="Q357" i="77"/>
  <c r="Q380" i="77"/>
  <c r="Q407" i="77" s="1"/>
  <c r="Q360" i="77"/>
  <c r="P385" i="77"/>
  <c r="P412" i="77" s="1"/>
  <c r="P413" i="77" s="1"/>
  <c r="P365" i="77"/>
  <c r="P368" i="77" s="1"/>
  <c r="Q387" i="77"/>
  <c r="P418" i="77"/>
  <c r="Q782" i="77"/>
  <c r="Q809" i="77" s="1"/>
  <c r="Q763" i="77"/>
  <c r="Q784" i="77"/>
  <c r="Q766" i="77"/>
  <c r="O811" i="77"/>
  <c r="O816" i="77" s="1"/>
  <c r="P786" i="77"/>
  <c r="P814" i="77" s="1"/>
  <c r="P768" i="77"/>
  <c r="Q778" i="77"/>
  <c r="Q805" i="77" s="1"/>
  <c r="Q759" i="77"/>
  <c r="O765" i="77"/>
  <c r="O770" i="77" s="1"/>
  <c r="P779" i="77"/>
  <c r="P806" i="77" s="1"/>
  <c r="P760" i="77"/>
  <c r="Q780" i="77"/>
  <c r="Q807" i="77" s="1"/>
  <c r="Q761" i="77"/>
  <c r="P772" i="77"/>
  <c r="P1080" i="77" s="1"/>
  <c r="P1025" i="77"/>
  <c r="P781" i="77"/>
  <c r="P808" i="77" s="1"/>
  <c r="P762" i="77"/>
  <c r="P783" i="77"/>
  <c r="P810" i="77" s="1"/>
  <c r="P764" i="77"/>
  <c r="P776" i="77"/>
  <c r="P803" i="77" s="1"/>
  <c r="P757" i="77"/>
  <c r="P464" i="77"/>
  <c r="P486" i="77" s="1"/>
  <c r="P492" i="77" s="1"/>
  <c r="P449" i="77"/>
  <c r="Q463" i="77"/>
  <c r="Q484" i="77" s="1"/>
  <c r="Q447" i="77"/>
  <c r="Q466" i="77"/>
  <c r="Q488" i="77" s="1"/>
  <c r="Q451" i="77"/>
  <c r="O1005" i="77"/>
  <c r="P459" i="77"/>
  <c r="P480" i="77" s="1"/>
  <c r="P443" i="77"/>
  <c r="P462" i="77"/>
  <c r="P483" i="77" s="1"/>
  <c r="P485" i="77" s="1"/>
  <c r="P446" i="77"/>
  <c r="P448" i="77" s="1"/>
  <c r="Q461" i="77"/>
  <c r="Q482" i="77" s="1"/>
  <c r="Q445" i="77"/>
  <c r="O455" i="77"/>
  <c r="O1078" i="77" s="1"/>
  <c r="O1023" i="77"/>
  <c r="Q295" i="77"/>
  <c r="Q318" i="77" s="1"/>
  <c r="Q280" i="77"/>
  <c r="P297" i="77"/>
  <c r="P282" i="77"/>
  <c r="P294" i="77"/>
  <c r="P317" i="77" s="1"/>
  <c r="P324" i="77" s="1"/>
  <c r="P279" i="77"/>
  <c r="Q298" i="77"/>
  <c r="Q321" i="77" s="1"/>
  <c r="Q283" i="77"/>
  <c r="P292" i="77"/>
  <c r="P314" i="77" s="1"/>
  <c r="P316" i="77" s="1"/>
  <c r="P276" i="77"/>
  <c r="P278" i="77" s="1"/>
  <c r="O286" i="77"/>
  <c r="O1022" i="77"/>
  <c r="Q290" i="77"/>
  <c r="Q311" i="77" s="1"/>
  <c r="Q273" i="77"/>
  <c r="Q293" i="77"/>
  <c r="Q315" i="77" s="1"/>
  <c r="Q277" i="77"/>
  <c r="P216" i="77"/>
  <c r="P244" i="77" s="1"/>
  <c r="P198" i="77"/>
  <c r="Q206" i="77"/>
  <c r="Q231" i="77" s="1"/>
  <c r="Q185" i="77"/>
  <c r="P199" i="77"/>
  <c r="P1017" i="77"/>
  <c r="P209" i="77"/>
  <c r="P235" i="77" s="1"/>
  <c r="P236" i="77" s="1"/>
  <c r="P189" i="77"/>
  <c r="P190" i="77" s="1"/>
  <c r="Q215" i="77"/>
  <c r="Q242" i="77" s="1"/>
  <c r="Q196" i="77"/>
  <c r="Q208" i="77"/>
  <c r="Q234" i="77" s="1"/>
  <c r="Q188" i="77"/>
  <c r="P214" i="77"/>
  <c r="P195" i="77"/>
  <c r="P197" i="77" s="1"/>
  <c r="Q211" i="77"/>
  <c r="Q238" i="77" s="1"/>
  <c r="Q192" i="77"/>
  <c r="Q248" i="77"/>
  <c r="Q94" i="77"/>
  <c r="Q106" i="77" s="1"/>
  <c r="Q83" i="77"/>
  <c r="P1016" i="77"/>
  <c r="Q97" i="77"/>
  <c r="Q112" i="77" s="1"/>
  <c r="Q89" i="77"/>
  <c r="P1071" i="77"/>
  <c r="Q96" i="77"/>
  <c r="Q108" i="77" s="1"/>
  <c r="Q85" i="77"/>
  <c r="P93" i="77"/>
  <c r="P105" i="77" s="1"/>
  <c r="P110" i="77" s="1"/>
  <c r="P82" i="77"/>
  <c r="P87" i="77" s="1"/>
  <c r="P989" i="77"/>
  <c r="P1015" i="77"/>
  <c r="Q62" i="77"/>
  <c r="Q66" i="77"/>
  <c r="Q1070" i="77" s="1"/>
  <c r="Q61" i="77"/>
  <c r="P997" i="77"/>
  <c r="Q44" i="77"/>
  <c r="Q46" i="77"/>
  <c r="Q1069" i="77" s="1"/>
  <c r="Q996" i="77"/>
  <c r="P1014" i="77"/>
  <c r="P1050" i="77" s="1"/>
  <c r="Q995" i="77"/>
  <c r="Q1068" i="77"/>
  <c r="O1058" i="77" l="1"/>
  <c r="O1059" i="77"/>
  <c r="P241" i="77"/>
  <c r="P243" i="77" s="1"/>
  <c r="Q709" i="77"/>
  <c r="Q812" i="77"/>
  <c r="Q818" i="77" s="1"/>
  <c r="Q404" i="77"/>
  <c r="O1045" i="77"/>
  <c r="O1046" i="77" s="1"/>
  <c r="Q567" i="77"/>
  <c r="P320" i="77"/>
  <c r="P322" i="77" s="1"/>
  <c r="P724" i="77"/>
  <c r="P668" i="77"/>
  <c r="P578" i="77"/>
  <c r="P534" i="77"/>
  <c r="P490" i="77"/>
  <c r="P453" i="77"/>
  <c r="O416" i="77"/>
  <c r="O369" i="77"/>
  <c r="P200" i="77"/>
  <c r="P246" i="77"/>
  <c r="P284" i="77"/>
  <c r="O1000" i="77"/>
  <c r="O1054" i="77" s="1"/>
  <c r="Q64" i="77"/>
  <c r="P998" i="77"/>
  <c r="P1052" i="77" s="1"/>
  <c r="P999" i="77"/>
  <c r="P1053" i="77" s="1"/>
  <c r="Q245" i="77"/>
  <c r="P1002" i="77"/>
  <c r="P1056" i="77" s="1"/>
  <c r="O990" i="77"/>
  <c r="P406" i="77"/>
  <c r="P416" i="77" s="1"/>
  <c r="P359" i="77"/>
  <c r="Q1072" i="77"/>
  <c r="Q665" i="77"/>
  <c r="Q1016" i="77"/>
  <c r="P366" i="77"/>
  <c r="P533" i="77"/>
  <c r="P988" i="77"/>
  <c r="O1027" i="77"/>
  <c r="O1028" i="77" s="1"/>
  <c r="P811" i="77"/>
  <c r="P816" i="77" s="1"/>
  <c r="Q418" i="77"/>
  <c r="P1019" i="77"/>
  <c r="Q1020" i="77"/>
  <c r="Q1006" i="77"/>
  <c r="Q726" i="77"/>
  <c r="Q658" i="77"/>
  <c r="Q714" i="77"/>
  <c r="Q721" i="77"/>
  <c r="Q670" i="77"/>
  <c r="P1001" i="77"/>
  <c r="P1055" i="77" s="1"/>
  <c r="Q549" i="77"/>
  <c r="Q574" i="77" s="1"/>
  <c r="Q575" i="77" s="1"/>
  <c r="Q530" i="77"/>
  <c r="P577" i="77"/>
  <c r="Q545" i="77"/>
  <c r="Q570" i="77" s="1"/>
  <c r="Q526" i="77"/>
  <c r="Q542" i="77"/>
  <c r="Q566" i="77" s="1"/>
  <c r="Q568" i="77" s="1"/>
  <c r="Q522" i="77"/>
  <c r="Q524" i="77" s="1"/>
  <c r="Q379" i="77"/>
  <c r="Q405" i="77" s="1"/>
  <c r="Q358" i="77"/>
  <c r="Q377" i="77"/>
  <c r="Q403" i="77" s="1"/>
  <c r="Q356" i="77"/>
  <c r="Q371" i="77"/>
  <c r="P1073" i="77"/>
  <c r="Q385" i="77"/>
  <c r="Q412" i="77" s="1"/>
  <c r="Q415" i="77" s="1"/>
  <c r="Q365" i="77"/>
  <c r="Q368" i="77" s="1"/>
  <c r="P415" i="77"/>
  <c r="P1018" i="77"/>
  <c r="P765" i="77"/>
  <c r="P770" i="77" s="1"/>
  <c r="Q786" i="77"/>
  <c r="Q814" i="77" s="1"/>
  <c r="Q768" i="77"/>
  <c r="O1007" i="77"/>
  <c r="O1061" i="77" s="1"/>
  <c r="Q783" i="77"/>
  <c r="Q810" i="77" s="1"/>
  <c r="Q764" i="77"/>
  <c r="Q772" i="77"/>
  <c r="Q1080" i="77" s="1"/>
  <c r="Q1025" i="77"/>
  <c r="Q776" i="77"/>
  <c r="Q803" i="77" s="1"/>
  <c r="Q757" i="77"/>
  <c r="Q781" i="77"/>
  <c r="Q808" i="77" s="1"/>
  <c r="Q762" i="77"/>
  <c r="Q779" i="77"/>
  <c r="Q806" i="77" s="1"/>
  <c r="Q760" i="77"/>
  <c r="Q464" i="77"/>
  <c r="Q486" i="77" s="1"/>
  <c r="Q492" i="77" s="1"/>
  <c r="Q449" i="77"/>
  <c r="Q462" i="77"/>
  <c r="Q483" i="77" s="1"/>
  <c r="Q485" i="77" s="1"/>
  <c r="Q446" i="77"/>
  <c r="Q448" i="77" s="1"/>
  <c r="Q459" i="77"/>
  <c r="Q480" i="77" s="1"/>
  <c r="Q443" i="77"/>
  <c r="P455" i="77"/>
  <c r="P1078" i="77" s="1"/>
  <c r="P1023" i="77"/>
  <c r="P1005" i="77"/>
  <c r="P1059" i="77" s="1"/>
  <c r="Q297" i="77"/>
  <c r="Q282" i="77"/>
  <c r="P286" i="77"/>
  <c r="P1022" i="77"/>
  <c r="Q292" i="77"/>
  <c r="Q314" i="77" s="1"/>
  <c r="Q316" i="77" s="1"/>
  <c r="Q276" i="77"/>
  <c r="Q278" i="77" s="1"/>
  <c r="O1077" i="77"/>
  <c r="O1082" i="77" s="1"/>
  <c r="O991" i="77"/>
  <c r="Q294" i="77"/>
  <c r="Q317" i="77" s="1"/>
  <c r="Q324" i="77" s="1"/>
  <c r="Q279" i="77"/>
  <c r="Q199" i="77"/>
  <c r="Q1017" i="77"/>
  <c r="Q216" i="77"/>
  <c r="Q244" i="77" s="1"/>
  <c r="Q198" i="77"/>
  <c r="Q209" i="77"/>
  <c r="Q235" i="77" s="1"/>
  <c r="Q236" i="77" s="1"/>
  <c r="Q189" i="77"/>
  <c r="Q190" i="77" s="1"/>
  <c r="Q195" i="77"/>
  <c r="Q197" i="77" s="1"/>
  <c r="Q214" i="77"/>
  <c r="Q93" i="77"/>
  <c r="Q105" i="77" s="1"/>
  <c r="Q110" i="77" s="1"/>
  <c r="Q82" i="77"/>
  <c r="Q87" i="77" s="1"/>
  <c r="Q1071" i="77"/>
  <c r="Q997" i="77"/>
  <c r="Q989" i="77"/>
  <c r="Q1015" i="77"/>
  <c r="Q1014" i="77"/>
  <c r="Q1050" i="77" s="1"/>
  <c r="Q320" i="77" l="1"/>
  <c r="P1045" i="77"/>
  <c r="P1046" i="77" s="1"/>
  <c r="Q241" i="77"/>
  <c r="Q243" i="77" s="1"/>
  <c r="Q246" i="77" s="1"/>
  <c r="Q1045" i="77"/>
  <c r="Q1046" i="77" s="1"/>
  <c r="P1004" i="77"/>
  <c r="P1058" i="77" s="1"/>
  <c r="Q668" i="77"/>
  <c r="Q724" i="77"/>
  <c r="Q578" i="77"/>
  <c r="Q490" i="77"/>
  <c r="Q453" i="77"/>
  <c r="P369" i="77"/>
  <c r="Q200" i="77"/>
  <c r="Q284" i="77"/>
  <c r="Q322" i="77"/>
  <c r="Q998" i="77"/>
  <c r="Q1052" i="77" s="1"/>
  <c r="P1000" i="77"/>
  <c r="P1054" i="77" s="1"/>
  <c r="Q577" i="77"/>
  <c r="O1009" i="77"/>
  <c r="O1010" i="77" s="1"/>
  <c r="P1027" i="77"/>
  <c r="P1028" i="77" s="1"/>
  <c r="Q811" i="77"/>
  <c r="Q816" i="77" s="1"/>
  <c r="Q1073" i="77"/>
  <c r="Q1019" i="77"/>
  <c r="O1063" i="77"/>
  <c r="P990" i="77"/>
  <c r="Q988" i="77"/>
  <c r="Q765" i="77"/>
  <c r="Q770" i="77" s="1"/>
  <c r="P1007" i="77"/>
  <c r="P1061" i="77" s="1"/>
  <c r="Q406" i="77"/>
  <c r="Q1001" i="77"/>
  <c r="Q531" i="77"/>
  <c r="Q534" i="77" s="1"/>
  <c r="Q533" i="77"/>
  <c r="Q366" i="77"/>
  <c r="Q1018" i="77"/>
  <c r="Q1002" i="77"/>
  <c r="Q1056" i="77" s="1"/>
  <c r="Q1075" i="77"/>
  <c r="Q413" i="77"/>
  <c r="Q359" i="77"/>
  <c r="Q1005" i="77"/>
  <c r="Q455" i="77"/>
  <c r="Q1078" i="77" s="1"/>
  <c r="Q1023" i="77"/>
  <c r="Q1004" i="77"/>
  <c r="O1083" i="77"/>
  <c r="Q286" i="77"/>
  <c r="Q1022" i="77"/>
  <c r="P1077" i="77"/>
  <c r="P1082" i="77" s="1"/>
  <c r="P991" i="77"/>
  <c r="Q1055" i="77" l="1"/>
  <c r="Q1059" i="77"/>
  <c r="Q1058" i="77"/>
  <c r="O1065" i="77"/>
  <c r="O1064" i="77"/>
  <c r="Q999" i="77"/>
  <c r="Q1053" i="77" s="1"/>
  <c r="Q416" i="77"/>
  <c r="Q369" i="77"/>
  <c r="P1009" i="77"/>
  <c r="P1010" i="77" s="1"/>
  <c r="Q1007" i="77"/>
  <c r="Q1061" i="77" s="1"/>
  <c r="P1063" i="77"/>
  <c r="Q990" i="77"/>
  <c r="Q1027" i="77"/>
  <c r="Q1028" i="77" s="1"/>
  <c r="Q1000" i="77"/>
  <c r="Q1054" i="77" s="1"/>
  <c r="P1083" i="77"/>
  <c r="Q1077" i="77"/>
  <c r="Q1082" i="77" s="1"/>
  <c r="Q991" i="77"/>
  <c r="P1064" i="77" l="1"/>
  <c r="P1065" i="77"/>
  <c r="Q1009" i="77"/>
  <c r="Q1010" i="77" s="1"/>
  <c r="Q1063" i="77"/>
  <c r="Q1083" i="77"/>
  <c r="Q1065" i="77" l="1"/>
  <c r="Q1064" i="77"/>
  <c r="R698" i="77"/>
  <c r="R473" i="77"/>
  <c r="R304" i="77"/>
  <c r="R347" i="77"/>
  <c r="R639" i="77" l="1"/>
  <c r="R643" i="77"/>
  <c r="R746" i="77"/>
  <c r="R641" i="77"/>
  <c r="R696" i="77"/>
  <c r="R748" i="77"/>
  <c r="R750" i="77"/>
  <c r="R178" i="77"/>
  <c r="R266" i="77"/>
  <c r="R436" i="77"/>
  <c r="R596" i="77"/>
  <c r="R394" i="77"/>
  <c r="R695" i="77"/>
  <c r="R697" i="77"/>
  <c r="R699" i="77"/>
  <c r="R557" i="77"/>
  <c r="R513" i="77"/>
  <c r="R224" i="77"/>
  <c r="R177" i="77"/>
  <c r="R265" i="77"/>
  <c r="R435" i="77"/>
  <c r="R747" i="77"/>
  <c r="R749" i="77"/>
  <c r="R346" i="77"/>
  <c r="R640" i="77"/>
  <c r="R642" i="77"/>
  <c r="R223" i="77"/>
  <c r="R303" i="77"/>
  <c r="R472" i="77"/>
  <c r="R393" i="77"/>
  <c r="N971" i="77"/>
  <c r="N983" i="77" s="1"/>
  <c r="M971" i="77"/>
  <c r="M983" i="77" s="1"/>
  <c r="L971" i="77"/>
  <c r="L983" i="77" s="1"/>
  <c r="K971" i="77"/>
  <c r="K983" i="77" s="1"/>
  <c r="J971" i="77"/>
  <c r="J983" i="77" s="1"/>
  <c r="I971" i="77"/>
  <c r="I983" i="77" s="1"/>
  <c r="H971" i="77"/>
  <c r="H983" i="77" s="1"/>
  <c r="G971" i="77"/>
  <c r="G983" i="77" s="1"/>
  <c r="N886" i="77"/>
  <c r="N902" i="77" s="1"/>
  <c r="M886" i="77"/>
  <c r="M902" i="77" s="1"/>
  <c r="L886" i="77"/>
  <c r="L902" i="77" s="1"/>
  <c r="K886" i="77"/>
  <c r="K902" i="77" s="1"/>
  <c r="J886" i="77"/>
  <c r="J902" i="77" s="1"/>
  <c r="I886" i="77"/>
  <c r="I902" i="77" s="1"/>
  <c r="H886" i="77"/>
  <c r="H902" i="77" s="1"/>
  <c r="G886" i="77"/>
  <c r="G902" i="77" s="1"/>
  <c r="N702" i="77"/>
  <c r="N970" i="77" s="1"/>
  <c r="M702" i="77"/>
  <c r="M970" i="77" s="1"/>
  <c r="L702" i="77"/>
  <c r="L970" i="77" s="1"/>
  <c r="K702" i="77"/>
  <c r="K970" i="77" s="1"/>
  <c r="J702" i="77"/>
  <c r="J970" i="77" s="1"/>
  <c r="I702" i="77"/>
  <c r="I970" i="77" s="1"/>
  <c r="H702" i="77"/>
  <c r="H970" i="77" s="1"/>
  <c r="G702" i="77"/>
  <c r="G970" i="77" s="1"/>
  <c r="F702" i="77"/>
  <c r="N693" i="77"/>
  <c r="N885" i="77" s="1"/>
  <c r="M693" i="77"/>
  <c r="M885" i="77" s="1"/>
  <c r="L693" i="77"/>
  <c r="L885" i="77" s="1"/>
  <c r="K693" i="77"/>
  <c r="K885" i="77" s="1"/>
  <c r="J693" i="77"/>
  <c r="J885" i="77" s="1"/>
  <c r="I693" i="77"/>
  <c r="I885" i="77" s="1"/>
  <c r="H693" i="77"/>
  <c r="H885" i="77" s="1"/>
  <c r="G693" i="77"/>
  <c r="G885" i="77" s="1"/>
  <c r="F693" i="77"/>
  <c r="N690" i="77"/>
  <c r="M690" i="77"/>
  <c r="L690" i="77"/>
  <c r="K690" i="77"/>
  <c r="J690" i="77"/>
  <c r="I690" i="77"/>
  <c r="H690" i="77"/>
  <c r="G690" i="77"/>
  <c r="F690" i="77"/>
  <c r="N689" i="77"/>
  <c r="M689" i="77"/>
  <c r="L689" i="77"/>
  <c r="K689" i="77"/>
  <c r="J689" i="77"/>
  <c r="I689" i="77"/>
  <c r="H689" i="77"/>
  <c r="G689" i="77"/>
  <c r="F689" i="77"/>
  <c r="N687" i="77"/>
  <c r="M687" i="77"/>
  <c r="L687" i="77"/>
  <c r="K687" i="77"/>
  <c r="J687" i="77"/>
  <c r="I687" i="77"/>
  <c r="H687" i="77"/>
  <c r="G687" i="77"/>
  <c r="F687" i="77"/>
  <c r="N686" i="77"/>
  <c r="M686" i="77"/>
  <c r="L686" i="77"/>
  <c r="K686" i="77"/>
  <c r="J686" i="77"/>
  <c r="I686" i="77"/>
  <c r="H686" i="77"/>
  <c r="G686" i="77"/>
  <c r="F686" i="77"/>
  <c r="N683" i="77"/>
  <c r="M683" i="77"/>
  <c r="L683" i="77"/>
  <c r="K683" i="77"/>
  <c r="J683" i="77"/>
  <c r="I683" i="77"/>
  <c r="H683" i="77"/>
  <c r="G683" i="77"/>
  <c r="F683" i="77"/>
  <c r="N682" i="77"/>
  <c r="M682" i="77"/>
  <c r="L682" i="77"/>
  <c r="K682" i="77"/>
  <c r="J682" i="77"/>
  <c r="I682" i="77"/>
  <c r="H682" i="77"/>
  <c r="G682" i="77"/>
  <c r="F682" i="77"/>
  <c r="N681" i="77"/>
  <c r="M681" i="77"/>
  <c r="L681" i="77"/>
  <c r="K681" i="77"/>
  <c r="J681" i="77"/>
  <c r="I681" i="77"/>
  <c r="H681" i="77"/>
  <c r="G681" i="77"/>
  <c r="F681" i="77"/>
  <c r="N680" i="77"/>
  <c r="N712" i="77" s="1"/>
  <c r="M680" i="77"/>
  <c r="M712" i="77" s="1"/>
  <c r="L680" i="77"/>
  <c r="L712" i="77" s="1"/>
  <c r="K680" i="77"/>
  <c r="K712" i="77" s="1"/>
  <c r="J680" i="77"/>
  <c r="J712" i="77" s="1"/>
  <c r="I680" i="77"/>
  <c r="I712" i="77" s="1"/>
  <c r="H680" i="77"/>
  <c r="H712" i="77" s="1"/>
  <c r="G680" i="77"/>
  <c r="G712" i="77" s="1"/>
  <c r="F680" i="77"/>
  <c r="F712" i="77" s="1"/>
  <c r="N679" i="77"/>
  <c r="N711" i="77" s="1"/>
  <c r="M679" i="77"/>
  <c r="M711" i="77" s="1"/>
  <c r="L679" i="77"/>
  <c r="L711" i="77" s="1"/>
  <c r="K679" i="77"/>
  <c r="K711" i="77" s="1"/>
  <c r="J679" i="77"/>
  <c r="J711" i="77" s="1"/>
  <c r="I679" i="77"/>
  <c r="I711" i="77" s="1"/>
  <c r="H679" i="77"/>
  <c r="H711" i="77" s="1"/>
  <c r="G679" i="77"/>
  <c r="G711" i="77" s="1"/>
  <c r="F679" i="77"/>
  <c r="F711" i="77" s="1"/>
  <c r="N678" i="77"/>
  <c r="N710" i="77" s="1"/>
  <c r="M678" i="77"/>
  <c r="M710" i="77" s="1"/>
  <c r="L678" i="77"/>
  <c r="L710" i="77" s="1"/>
  <c r="K678" i="77"/>
  <c r="K710" i="77" s="1"/>
  <c r="J678" i="77"/>
  <c r="J710" i="77" s="1"/>
  <c r="I678" i="77"/>
  <c r="I710" i="77" s="1"/>
  <c r="H678" i="77"/>
  <c r="H710" i="77" s="1"/>
  <c r="G678" i="77"/>
  <c r="G710" i="77" s="1"/>
  <c r="F678" i="77"/>
  <c r="F710" i="77" s="1"/>
  <c r="N677" i="77"/>
  <c r="M677" i="77"/>
  <c r="L677" i="77"/>
  <c r="K677" i="77"/>
  <c r="J677" i="77"/>
  <c r="I677" i="77"/>
  <c r="H677" i="77"/>
  <c r="G677" i="77"/>
  <c r="F677" i="77"/>
  <c r="N676" i="77"/>
  <c r="N708" i="77" s="1"/>
  <c r="M676" i="77"/>
  <c r="M708" i="77" s="1"/>
  <c r="L676" i="77"/>
  <c r="L708" i="77" s="1"/>
  <c r="K676" i="77"/>
  <c r="K708" i="77" s="1"/>
  <c r="J676" i="77"/>
  <c r="J708" i="77" s="1"/>
  <c r="I676" i="77"/>
  <c r="I708" i="77" s="1"/>
  <c r="H676" i="77"/>
  <c r="H708" i="77" s="1"/>
  <c r="G676" i="77"/>
  <c r="G708" i="77" s="1"/>
  <c r="F676" i="77"/>
  <c r="F708" i="77" s="1"/>
  <c r="N674" i="77"/>
  <c r="M674" i="77"/>
  <c r="L674" i="77"/>
  <c r="K674" i="77"/>
  <c r="J674" i="77"/>
  <c r="I674" i="77"/>
  <c r="H674" i="77"/>
  <c r="G674" i="77"/>
  <c r="F674" i="77"/>
  <c r="N576" i="77"/>
  <c r="M576" i="77"/>
  <c r="L576" i="77"/>
  <c r="K576" i="77"/>
  <c r="J576" i="77"/>
  <c r="I576" i="77"/>
  <c r="H576" i="77"/>
  <c r="G576" i="77"/>
  <c r="F576" i="77"/>
  <c r="N560" i="77"/>
  <c r="N969" i="77" s="1"/>
  <c r="M560" i="77"/>
  <c r="M969" i="77" s="1"/>
  <c r="L560" i="77"/>
  <c r="L969" i="77" s="1"/>
  <c r="K560" i="77"/>
  <c r="K969" i="77" s="1"/>
  <c r="J560" i="77"/>
  <c r="J969" i="77" s="1"/>
  <c r="I560" i="77"/>
  <c r="I969" i="77" s="1"/>
  <c r="H560" i="77"/>
  <c r="H969" i="77" s="1"/>
  <c r="G560" i="77"/>
  <c r="G969" i="77" s="1"/>
  <c r="F560" i="77"/>
  <c r="N555" i="77"/>
  <c r="N884" i="77" s="1"/>
  <c r="M555" i="77"/>
  <c r="M884" i="77" s="1"/>
  <c r="L555" i="77"/>
  <c r="L884" i="77" s="1"/>
  <c r="K555" i="77"/>
  <c r="K884" i="77" s="1"/>
  <c r="J555" i="77"/>
  <c r="J884" i="77" s="1"/>
  <c r="I555" i="77"/>
  <c r="I884" i="77" s="1"/>
  <c r="H555" i="77"/>
  <c r="H884" i="77" s="1"/>
  <c r="G555" i="77"/>
  <c r="G884" i="77" s="1"/>
  <c r="F555" i="77"/>
  <c r="N552" i="77"/>
  <c r="M552" i="77"/>
  <c r="L552" i="77"/>
  <c r="K552" i="77"/>
  <c r="J552" i="77"/>
  <c r="I552" i="77"/>
  <c r="H552" i="77"/>
  <c r="G552" i="77"/>
  <c r="F552" i="77"/>
  <c r="N551" i="77"/>
  <c r="M551" i="77"/>
  <c r="L551" i="77"/>
  <c r="K551" i="77"/>
  <c r="J551" i="77"/>
  <c r="I551" i="77"/>
  <c r="H551" i="77"/>
  <c r="G551" i="77"/>
  <c r="F551" i="77"/>
  <c r="N549" i="77"/>
  <c r="M549" i="77"/>
  <c r="L549" i="77"/>
  <c r="K549" i="77"/>
  <c r="J549" i="77"/>
  <c r="I549" i="77"/>
  <c r="H549" i="77"/>
  <c r="G549" i="77"/>
  <c r="F549" i="77"/>
  <c r="N548" i="77"/>
  <c r="M548" i="77"/>
  <c r="L548" i="77"/>
  <c r="K548" i="77"/>
  <c r="J548" i="77"/>
  <c r="I548" i="77"/>
  <c r="H548" i="77"/>
  <c r="G548" i="77"/>
  <c r="F548" i="77"/>
  <c r="N545" i="77"/>
  <c r="M545" i="77"/>
  <c r="L545" i="77"/>
  <c r="K545" i="77"/>
  <c r="J545" i="77"/>
  <c r="I545" i="77"/>
  <c r="H545" i="77"/>
  <c r="G545" i="77"/>
  <c r="F545" i="77"/>
  <c r="N544" i="77"/>
  <c r="M544" i="77"/>
  <c r="L544" i="77"/>
  <c r="K544" i="77"/>
  <c r="J544" i="77"/>
  <c r="I544" i="77"/>
  <c r="H544" i="77"/>
  <c r="G544" i="77"/>
  <c r="F544" i="77"/>
  <c r="N543" i="77"/>
  <c r="M543" i="77"/>
  <c r="L543" i="77"/>
  <c r="K543" i="77"/>
  <c r="J543" i="77"/>
  <c r="I543" i="77"/>
  <c r="H543" i="77"/>
  <c r="G543" i="77"/>
  <c r="F543" i="77"/>
  <c r="N542" i="77"/>
  <c r="N566" i="77" s="1"/>
  <c r="M542" i="77"/>
  <c r="M566" i="77" s="1"/>
  <c r="L542" i="77"/>
  <c r="L566" i="77" s="1"/>
  <c r="K542" i="77"/>
  <c r="K566" i="77" s="1"/>
  <c r="J542" i="77"/>
  <c r="J566" i="77" s="1"/>
  <c r="I542" i="77"/>
  <c r="I566" i="77" s="1"/>
  <c r="H542" i="77"/>
  <c r="H566" i="77" s="1"/>
  <c r="G542" i="77"/>
  <c r="G566" i="77" s="1"/>
  <c r="F542" i="77"/>
  <c r="F566" i="77" s="1"/>
  <c r="N540" i="77"/>
  <c r="M540" i="77"/>
  <c r="L540" i="77"/>
  <c r="K540" i="77"/>
  <c r="J540" i="77"/>
  <c r="I540" i="77"/>
  <c r="H540" i="77"/>
  <c r="G540" i="77"/>
  <c r="F540" i="77"/>
  <c r="N414" i="77"/>
  <c r="M414" i="77"/>
  <c r="L414" i="77"/>
  <c r="K414" i="77"/>
  <c r="J414" i="77"/>
  <c r="I414" i="77"/>
  <c r="H414" i="77"/>
  <c r="G414" i="77"/>
  <c r="F414" i="77"/>
  <c r="N968" i="77"/>
  <c r="M968" i="77"/>
  <c r="L968" i="77"/>
  <c r="K968" i="77"/>
  <c r="J968" i="77"/>
  <c r="I968" i="77"/>
  <c r="H968" i="77"/>
  <c r="G968" i="77"/>
  <c r="N883" i="77"/>
  <c r="M883" i="77"/>
  <c r="L883" i="77"/>
  <c r="K883" i="77"/>
  <c r="J883" i="77"/>
  <c r="I883" i="77"/>
  <c r="H883" i="77"/>
  <c r="G883" i="77"/>
  <c r="N388" i="77"/>
  <c r="M388" i="77"/>
  <c r="L388" i="77"/>
  <c r="K388" i="77"/>
  <c r="J388" i="77"/>
  <c r="I388" i="77"/>
  <c r="H388" i="77"/>
  <c r="G388" i="77"/>
  <c r="F388" i="77"/>
  <c r="N387" i="77"/>
  <c r="M387" i="77"/>
  <c r="L387" i="77"/>
  <c r="K387" i="77"/>
  <c r="J387" i="77"/>
  <c r="I387" i="77"/>
  <c r="H387" i="77"/>
  <c r="G387" i="77"/>
  <c r="F387" i="77"/>
  <c r="N385" i="77"/>
  <c r="N412" i="77" s="1"/>
  <c r="M385" i="77"/>
  <c r="M412" i="77" s="1"/>
  <c r="L385" i="77"/>
  <c r="L412" i="77" s="1"/>
  <c r="K385" i="77"/>
  <c r="K412" i="77" s="1"/>
  <c r="J385" i="77"/>
  <c r="J412" i="77" s="1"/>
  <c r="I385" i="77"/>
  <c r="I412" i="77" s="1"/>
  <c r="H385" i="77"/>
  <c r="H412" i="77" s="1"/>
  <c r="G385" i="77"/>
  <c r="G412" i="77" s="1"/>
  <c r="F385" i="77"/>
  <c r="F412" i="77" s="1"/>
  <c r="N384" i="77"/>
  <c r="M384" i="77"/>
  <c r="L384" i="77"/>
  <c r="K384" i="77"/>
  <c r="J384" i="77"/>
  <c r="I384" i="77"/>
  <c r="H384" i="77"/>
  <c r="G384" i="77"/>
  <c r="F384" i="77"/>
  <c r="N381" i="77"/>
  <c r="M381" i="77"/>
  <c r="L381" i="77"/>
  <c r="K381" i="77"/>
  <c r="J381" i="77"/>
  <c r="I381" i="77"/>
  <c r="H381" i="77"/>
  <c r="G381" i="77"/>
  <c r="F381" i="77"/>
  <c r="N380" i="77"/>
  <c r="M380" i="77"/>
  <c r="L380" i="77"/>
  <c r="K380" i="77"/>
  <c r="J380" i="77"/>
  <c r="I380" i="77"/>
  <c r="H380" i="77"/>
  <c r="G380" i="77"/>
  <c r="F380" i="77"/>
  <c r="N379" i="77"/>
  <c r="M379" i="77"/>
  <c r="L379" i="77"/>
  <c r="K379" i="77"/>
  <c r="J379" i="77"/>
  <c r="I379" i="77"/>
  <c r="H379" i="77"/>
  <c r="G379" i="77"/>
  <c r="F379" i="77"/>
  <c r="N378" i="77"/>
  <c r="M378" i="77"/>
  <c r="L378" i="77"/>
  <c r="K378" i="77"/>
  <c r="J378" i="77"/>
  <c r="I378" i="77"/>
  <c r="H378" i="77"/>
  <c r="G378" i="77"/>
  <c r="F378" i="77"/>
  <c r="N377" i="77"/>
  <c r="N403" i="77" s="1"/>
  <c r="M377" i="77"/>
  <c r="M403" i="77" s="1"/>
  <c r="L377" i="77"/>
  <c r="L403" i="77" s="1"/>
  <c r="K377" i="77"/>
  <c r="K403" i="77" s="1"/>
  <c r="J377" i="77"/>
  <c r="J403" i="77" s="1"/>
  <c r="I377" i="77"/>
  <c r="I403" i="77" s="1"/>
  <c r="H377" i="77"/>
  <c r="H403" i="77" s="1"/>
  <c r="G377" i="77"/>
  <c r="G403" i="77" s="1"/>
  <c r="F377" i="77"/>
  <c r="F403" i="77" s="1"/>
  <c r="N375" i="77"/>
  <c r="N401" i="77" s="1"/>
  <c r="M375" i="77"/>
  <c r="M401" i="77" s="1"/>
  <c r="L375" i="77"/>
  <c r="L401" i="77" s="1"/>
  <c r="K375" i="77"/>
  <c r="K401" i="77" s="1"/>
  <c r="J375" i="77"/>
  <c r="J401" i="77" s="1"/>
  <c r="I375" i="77"/>
  <c r="I401" i="77" s="1"/>
  <c r="H375" i="77"/>
  <c r="H401" i="77" s="1"/>
  <c r="G375" i="77"/>
  <c r="G401" i="77" s="1"/>
  <c r="F375" i="77"/>
  <c r="F401" i="77" s="1"/>
  <c r="N815" i="77"/>
  <c r="M815" i="77"/>
  <c r="L815" i="77"/>
  <c r="K815" i="77"/>
  <c r="J815" i="77"/>
  <c r="I815" i="77"/>
  <c r="H815" i="77"/>
  <c r="G815" i="77"/>
  <c r="F815" i="77"/>
  <c r="N967" i="77"/>
  <c r="M967" i="77"/>
  <c r="L967" i="77"/>
  <c r="K967" i="77"/>
  <c r="J967" i="77"/>
  <c r="I967" i="77"/>
  <c r="H967" i="77"/>
  <c r="G967" i="77"/>
  <c r="F967" i="77"/>
  <c r="N882" i="77"/>
  <c r="M882" i="77"/>
  <c r="L882" i="77"/>
  <c r="K882" i="77"/>
  <c r="J882" i="77"/>
  <c r="I882" i="77"/>
  <c r="H882" i="77"/>
  <c r="G882" i="77"/>
  <c r="F882" i="77"/>
  <c r="N786" i="77"/>
  <c r="M786" i="77"/>
  <c r="M814" i="77" s="1"/>
  <c r="L786" i="77"/>
  <c r="K786" i="77"/>
  <c r="K814" i="77" s="1"/>
  <c r="J786" i="77"/>
  <c r="I786" i="77"/>
  <c r="I814" i="77" s="1"/>
  <c r="H786" i="77"/>
  <c r="G786" i="77"/>
  <c r="G814" i="77" s="1"/>
  <c r="F786" i="77"/>
  <c r="N784" i="77"/>
  <c r="M784" i="77"/>
  <c r="L784" i="77"/>
  <c r="K784" i="77"/>
  <c r="J784" i="77"/>
  <c r="I784" i="77"/>
  <c r="H784" i="77"/>
  <c r="G784" i="77"/>
  <c r="F784" i="77"/>
  <c r="N783" i="77"/>
  <c r="M783" i="77"/>
  <c r="L783" i="77"/>
  <c r="K783" i="77"/>
  <c r="J783" i="77"/>
  <c r="I783" i="77"/>
  <c r="H783" i="77"/>
  <c r="G783" i="77"/>
  <c r="F783" i="77"/>
  <c r="N782" i="77"/>
  <c r="N809" i="77" s="1"/>
  <c r="M782" i="77"/>
  <c r="M809" i="77" s="1"/>
  <c r="L782" i="77"/>
  <c r="L809" i="77" s="1"/>
  <c r="K782" i="77"/>
  <c r="K809" i="77" s="1"/>
  <c r="J782" i="77"/>
  <c r="J809" i="77" s="1"/>
  <c r="I782" i="77"/>
  <c r="I809" i="77" s="1"/>
  <c r="H782" i="77"/>
  <c r="H809" i="77" s="1"/>
  <c r="G782" i="77"/>
  <c r="G809" i="77" s="1"/>
  <c r="F782" i="77"/>
  <c r="F809" i="77" s="1"/>
  <c r="N781" i="77"/>
  <c r="N808" i="77" s="1"/>
  <c r="M781" i="77"/>
  <c r="M808" i="77" s="1"/>
  <c r="L781" i="77"/>
  <c r="L808" i="77" s="1"/>
  <c r="K781" i="77"/>
  <c r="K808" i="77" s="1"/>
  <c r="J781" i="77"/>
  <c r="J808" i="77" s="1"/>
  <c r="I781" i="77"/>
  <c r="I808" i="77" s="1"/>
  <c r="H781" i="77"/>
  <c r="H808" i="77" s="1"/>
  <c r="G781" i="77"/>
  <c r="G808" i="77" s="1"/>
  <c r="F781" i="77"/>
  <c r="F808" i="77" s="1"/>
  <c r="N780" i="77"/>
  <c r="N807" i="77" s="1"/>
  <c r="M780" i="77"/>
  <c r="M807" i="77" s="1"/>
  <c r="L780" i="77"/>
  <c r="L807" i="77" s="1"/>
  <c r="K780" i="77"/>
  <c r="K807" i="77" s="1"/>
  <c r="J780" i="77"/>
  <c r="J807" i="77" s="1"/>
  <c r="I780" i="77"/>
  <c r="I807" i="77" s="1"/>
  <c r="H780" i="77"/>
  <c r="H807" i="77" s="1"/>
  <c r="G780" i="77"/>
  <c r="G807" i="77" s="1"/>
  <c r="F780" i="77"/>
  <c r="F807" i="77" s="1"/>
  <c r="N779" i="77"/>
  <c r="N806" i="77" s="1"/>
  <c r="M779" i="77"/>
  <c r="M806" i="77" s="1"/>
  <c r="L779" i="77"/>
  <c r="L806" i="77" s="1"/>
  <c r="K779" i="77"/>
  <c r="K806" i="77" s="1"/>
  <c r="J779" i="77"/>
  <c r="J806" i="77" s="1"/>
  <c r="I779" i="77"/>
  <c r="I806" i="77" s="1"/>
  <c r="H779" i="77"/>
  <c r="H806" i="77" s="1"/>
  <c r="G779" i="77"/>
  <c r="G806" i="77" s="1"/>
  <c r="F779" i="77"/>
  <c r="F806" i="77" s="1"/>
  <c r="N778" i="77"/>
  <c r="N805" i="77" s="1"/>
  <c r="M778" i="77"/>
  <c r="M805" i="77" s="1"/>
  <c r="L778" i="77"/>
  <c r="L805" i="77" s="1"/>
  <c r="K778" i="77"/>
  <c r="K805" i="77" s="1"/>
  <c r="J778" i="77"/>
  <c r="J805" i="77" s="1"/>
  <c r="I778" i="77"/>
  <c r="I805" i="77" s="1"/>
  <c r="H778" i="77"/>
  <c r="H805" i="77" s="1"/>
  <c r="G778" i="77"/>
  <c r="G805" i="77" s="1"/>
  <c r="F778" i="77"/>
  <c r="F805" i="77" s="1"/>
  <c r="N776" i="77"/>
  <c r="N803" i="77" s="1"/>
  <c r="M776" i="77"/>
  <c r="M803" i="77" s="1"/>
  <c r="L776" i="77"/>
  <c r="L803" i="77" s="1"/>
  <c r="K776" i="77"/>
  <c r="K803" i="77" s="1"/>
  <c r="J776" i="77"/>
  <c r="J803" i="77" s="1"/>
  <c r="I776" i="77"/>
  <c r="I803" i="77" s="1"/>
  <c r="H776" i="77"/>
  <c r="H803" i="77" s="1"/>
  <c r="G776" i="77"/>
  <c r="G803" i="77" s="1"/>
  <c r="F776" i="77"/>
  <c r="F803" i="77" s="1"/>
  <c r="N611" i="77"/>
  <c r="M611" i="77"/>
  <c r="L611" i="77"/>
  <c r="K611" i="77"/>
  <c r="J611" i="77"/>
  <c r="I611" i="77"/>
  <c r="H611" i="77"/>
  <c r="G611" i="77"/>
  <c r="F611" i="77"/>
  <c r="N605" i="77"/>
  <c r="M605" i="77"/>
  <c r="L605" i="77"/>
  <c r="K605" i="77"/>
  <c r="J605" i="77"/>
  <c r="I605" i="77"/>
  <c r="H605" i="77"/>
  <c r="G605" i="77"/>
  <c r="F605" i="77"/>
  <c r="N599" i="77"/>
  <c r="N966" i="77" s="1"/>
  <c r="N981" i="77" s="1"/>
  <c r="M599" i="77"/>
  <c r="M966" i="77" s="1"/>
  <c r="M981" i="77" s="1"/>
  <c r="L599" i="77"/>
  <c r="L966" i="77" s="1"/>
  <c r="L981" i="77" s="1"/>
  <c r="K599" i="77"/>
  <c r="K966" i="77" s="1"/>
  <c r="K981" i="77" s="1"/>
  <c r="J599" i="77"/>
  <c r="J966" i="77" s="1"/>
  <c r="J981" i="77" s="1"/>
  <c r="I599" i="77"/>
  <c r="I966" i="77" s="1"/>
  <c r="I981" i="77" s="1"/>
  <c r="H599" i="77"/>
  <c r="H966" i="77" s="1"/>
  <c r="H981" i="77" s="1"/>
  <c r="G599" i="77"/>
  <c r="G966" i="77" s="1"/>
  <c r="G981" i="77" s="1"/>
  <c r="F599" i="77"/>
  <c r="N594" i="77"/>
  <c r="N881" i="77" s="1"/>
  <c r="N900" i="77" s="1"/>
  <c r="M594" i="77"/>
  <c r="M881" i="77" s="1"/>
  <c r="M900" i="77" s="1"/>
  <c r="L594" i="77"/>
  <c r="L881" i="77" s="1"/>
  <c r="L900" i="77" s="1"/>
  <c r="K594" i="77"/>
  <c r="K881" i="77" s="1"/>
  <c r="K900" i="77" s="1"/>
  <c r="J594" i="77"/>
  <c r="J881" i="77" s="1"/>
  <c r="J900" i="77" s="1"/>
  <c r="I594" i="77"/>
  <c r="I881" i="77" s="1"/>
  <c r="I900" i="77" s="1"/>
  <c r="H594" i="77"/>
  <c r="H881" i="77" s="1"/>
  <c r="H900" i="77" s="1"/>
  <c r="G594" i="77"/>
  <c r="G881" i="77" s="1"/>
  <c r="G900" i="77" s="1"/>
  <c r="F594" i="77"/>
  <c r="N489" i="77"/>
  <c r="M489" i="77"/>
  <c r="L489" i="77"/>
  <c r="K489" i="77"/>
  <c r="J489" i="77"/>
  <c r="I489" i="77"/>
  <c r="H489" i="77"/>
  <c r="G489" i="77"/>
  <c r="F489" i="77"/>
  <c r="N965" i="77"/>
  <c r="M965" i="77"/>
  <c r="L965" i="77"/>
  <c r="K965" i="77"/>
  <c r="J965" i="77"/>
  <c r="I965" i="77"/>
  <c r="H965" i="77"/>
  <c r="G965" i="77"/>
  <c r="N880" i="77"/>
  <c r="M880" i="77"/>
  <c r="L880" i="77"/>
  <c r="K880" i="77"/>
  <c r="J880" i="77"/>
  <c r="I880" i="77"/>
  <c r="H880" i="77"/>
  <c r="G880" i="77"/>
  <c r="N466" i="77"/>
  <c r="N488" i="77" s="1"/>
  <c r="M466" i="77"/>
  <c r="M488" i="77" s="1"/>
  <c r="L466" i="77"/>
  <c r="L488" i="77" s="1"/>
  <c r="K466" i="77"/>
  <c r="K488" i="77" s="1"/>
  <c r="J466" i="77"/>
  <c r="J488" i="77" s="1"/>
  <c r="I466" i="77"/>
  <c r="I488" i="77" s="1"/>
  <c r="H466" i="77"/>
  <c r="H488" i="77" s="1"/>
  <c r="G466" i="77"/>
  <c r="G488" i="77" s="1"/>
  <c r="F466" i="77"/>
  <c r="F488" i="77" s="1"/>
  <c r="N464" i="77"/>
  <c r="M464" i="77"/>
  <c r="L464" i="77"/>
  <c r="K464" i="77"/>
  <c r="J464" i="77"/>
  <c r="I464" i="77"/>
  <c r="H464" i="77"/>
  <c r="G464" i="77"/>
  <c r="F464" i="77"/>
  <c r="N463" i="77"/>
  <c r="M463" i="77"/>
  <c r="L463" i="77"/>
  <c r="K463" i="77"/>
  <c r="J463" i="77"/>
  <c r="I463" i="77"/>
  <c r="H463" i="77"/>
  <c r="G463" i="77"/>
  <c r="F463" i="77"/>
  <c r="N462" i="77"/>
  <c r="N483" i="77" s="1"/>
  <c r="M462" i="77"/>
  <c r="M483" i="77" s="1"/>
  <c r="L462" i="77"/>
  <c r="L483" i="77" s="1"/>
  <c r="K462" i="77"/>
  <c r="K483" i="77" s="1"/>
  <c r="J462" i="77"/>
  <c r="J483" i="77" s="1"/>
  <c r="I462" i="77"/>
  <c r="I483" i="77" s="1"/>
  <c r="H462" i="77"/>
  <c r="H483" i="77" s="1"/>
  <c r="G462" i="77"/>
  <c r="G483" i="77" s="1"/>
  <c r="F462" i="77"/>
  <c r="F483" i="77" s="1"/>
  <c r="N461" i="77"/>
  <c r="N482" i="77" s="1"/>
  <c r="M461" i="77"/>
  <c r="M482" i="77" s="1"/>
  <c r="L461" i="77"/>
  <c r="L482" i="77" s="1"/>
  <c r="K461" i="77"/>
  <c r="K482" i="77" s="1"/>
  <c r="J461" i="77"/>
  <c r="J482" i="77" s="1"/>
  <c r="I461" i="77"/>
  <c r="I482" i="77" s="1"/>
  <c r="H461" i="77"/>
  <c r="H482" i="77" s="1"/>
  <c r="G461" i="77"/>
  <c r="G482" i="77" s="1"/>
  <c r="F461" i="77"/>
  <c r="F482" i="77" s="1"/>
  <c r="N459" i="77"/>
  <c r="N480" i="77" s="1"/>
  <c r="M459" i="77"/>
  <c r="M480" i="77" s="1"/>
  <c r="L459" i="77"/>
  <c r="L480" i="77" s="1"/>
  <c r="K459" i="77"/>
  <c r="K480" i="77" s="1"/>
  <c r="J459" i="77"/>
  <c r="J480" i="77" s="1"/>
  <c r="I459" i="77"/>
  <c r="I480" i="77" s="1"/>
  <c r="H459" i="77"/>
  <c r="H480" i="77" s="1"/>
  <c r="G459" i="77"/>
  <c r="G480" i="77" s="1"/>
  <c r="F459" i="77"/>
  <c r="F480" i="77" s="1"/>
  <c r="N964" i="77"/>
  <c r="M964" i="77"/>
  <c r="L964" i="77"/>
  <c r="K964" i="77"/>
  <c r="J964" i="77"/>
  <c r="I964" i="77"/>
  <c r="H964" i="77"/>
  <c r="G964" i="77"/>
  <c r="N879" i="77"/>
  <c r="M879" i="77"/>
  <c r="L879" i="77"/>
  <c r="K879" i="77"/>
  <c r="J879" i="77"/>
  <c r="I879" i="77"/>
  <c r="H879" i="77"/>
  <c r="G879" i="77"/>
  <c r="N298" i="77"/>
  <c r="M298" i="77"/>
  <c r="L298" i="77"/>
  <c r="K298" i="77"/>
  <c r="J298" i="77"/>
  <c r="I298" i="77"/>
  <c r="H298" i="77"/>
  <c r="G298" i="77"/>
  <c r="F298" i="77"/>
  <c r="N297" i="77"/>
  <c r="M297" i="77"/>
  <c r="L297" i="77"/>
  <c r="K297" i="77"/>
  <c r="J297" i="77"/>
  <c r="I297" i="77"/>
  <c r="H297" i="77"/>
  <c r="G297" i="77"/>
  <c r="F297" i="77"/>
  <c r="N295" i="77"/>
  <c r="M295" i="77"/>
  <c r="L295" i="77"/>
  <c r="K295" i="77"/>
  <c r="J295" i="77"/>
  <c r="I295" i="77"/>
  <c r="H295" i="77"/>
  <c r="G295" i="77"/>
  <c r="F295" i="77"/>
  <c r="N294" i="77"/>
  <c r="M294" i="77"/>
  <c r="L294" i="77"/>
  <c r="K294" i="77"/>
  <c r="J294" i="77"/>
  <c r="I294" i="77"/>
  <c r="H294" i="77"/>
  <c r="G294" i="77"/>
  <c r="F294" i="77"/>
  <c r="N293" i="77"/>
  <c r="M293" i="77"/>
  <c r="L293" i="77"/>
  <c r="K293" i="77"/>
  <c r="J293" i="77"/>
  <c r="I293" i="77"/>
  <c r="H293" i="77"/>
  <c r="G293" i="77"/>
  <c r="F293" i="77"/>
  <c r="N292" i="77"/>
  <c r="N314" i="77" s="1"/>
  <c r="M292" i="77"/>
  <c r="M314" i="77" s="1"/>
  <c r="L292" i="77"/>
  <c r="L314" i="77" s="1"/>
  <c r="K292" i="77"/>
  <c r="K314" i="77" s="1"/>
  <c r="J292" i="77"/>
  <c r="J314" i="77" s="1"/>
  <c r="I292" i="77"/>
  <c r="I314" i="77" s="1"/>
  <c r="H292" i="77"/>
  <c r="H314" i="77" s="1"/>
  <c r="G292" i="77"/>
  <c r="G314" i="77" s="1"/>
  <c r="F292" i="77"/>
  <c r="F314" i="77" s="1"/>
  <c r="N290" i="77"/>
  <c r="M290" i="77"/>
  <c r="L290" i="77"/>
  <c r="K290" i="77"/>
  <c r="J290" i="77"/>
  <c r="I290" i="77"/>
  <c r="H290" i="77"/>
  <c r="G290" i="77"/>
  <c r="F290" i="77"/>
  <c r="N963" i="77"/>
  <c r="M963" i="77"/>
  <c r="L963" i="77"/>
  <c r="K963" i="77"/>
  <c r="J963" i="77"/>
  <c r="I963" i="77"/>
  <c r="H963" i="77"/>
  <c r="G963" i="77"/>
  <c r="N878" i="77"/>
  <c r="M878" i="77"/>
  <c r="L878" i="77"/>
  <c r="K878" i="77"/>
  <c r="J878" i="77"/>
  <c r="I878" i="77"/>
  <c r="H878" i="77"/>
  <c r="G878" i="77"/>
  <c r="N218" i="77"/>
  <c r="M218" i="77"/>
  <c r="L218" i="77"/>
  <c r="K218" i="77"/>
  <c r="J218" i="77"/>
  <c r="I218" i="77"/>
  <c r="H218" i="77"/>
  <c r="G218" i="77"/>
  <c r="F218" i="77"/>
  <c r="N217" i="77"/>
  <c r="M217" i="77"/>
  <c r="L217" i="77"/>
  <c r="K217" i="77"/>
  <c r="J217" i="77"/>
  <c r="I217" i="77"/>
  <c r="H217" i="77"/>
  <c r="G217" i="77"/>
  <c r="F217" i="77"/>
  <c r="N216" i="77"/>
  <c r="M216" i="77"/>
  <c r="L216" i="77"/>
  <c r="K216" i="77"/>
  <c r="J216" i="77"/>
  <c r="I216" i="77"/>
  <c r="H216" i="77"/>
  <c r="G216" i="77"/>
  <c r="F216" i="77"/>
  <c r="N215" i="77"/>
  <c r="M215" i="77"/>
  <c r="L215" i="77"/>
  <c r="K215" i="77"/>
  <c r="J215" i="77"/>
  <c r="I215" i="77"/>
  <c r="H215" i="77"/>
  <c r="G215" i="77"/>
  <c r="F215" i="77"/>
  <c r="N214" i="77"/>
  <c r="M214" i="77"/>
  <c r="L214" i="77"/>
  <c r="K214" i="77"/>
  <c r="J214" i="77"/>
  <c r="I214" i="77"/>
  <c r="H214" i="77"/>
  <c r="G214" i="77"/>
  <c r="F214" i="77"/>
  <c r="N211" i="77"/>
  <c r="M211" i="77"/>
  <c r="L211" i="77"/>
  <c r="K211" i="77"/>
  <c r="J211" i="77"/>
  <c r="I211" i="77"/>
  <c r="H211" i="77"/>
  <c r="G211" i="77"/>
  <c r="F211" i="77"/>
  <c r="N209" i="77"/>
  <c r="M209" i="77"/>
  <c r="L209" i="77"/>
  <c r="K209" i="77"/>
  <c r="J209" i="77"/>
  <c r="I209" i="77"/>
  <c r="H209" i="77"/>
  <c r="G209" i="77"/>
  <c r="F209" i="77"/>
  <c r="N208" i="77"/>
  <c r="N234" i="77" s="1"/>
  <c r="M208" i="77"/>
  <c r="M234" i="77" s="1"/>
  <c r="L208" i="77"/>
  <c r="L234" i="77" s="1"/>
  <c r="K208" i="77"/>
  <c r="K234" i="77" s="1"/>
  <c r="J208" i="77"/>
  <c r="J234" i="77" s="1"/>
  <c r="I208" i="77"/>
  <c r="I234" i="77" s="1"/>
  <c r="H208" i="77"/>
  <c r="H234" i="77" s="1"/>
  <c r="G208" i="77"/>
  <c r="G234" i="77" s="1"/>
  <c r="F208" i="77"/>
  <c r="F234" i="77" s="1"/>
  <c r="N206" i="77"/>
  <c r="M206" i="77"/>
  <c r="L206" i="77"/>
  <c r="K206" i="77"/>
  <c r="J206" i="77"/>
  <c r="I206" i="77"/>
  <c r="H206" i="77"/>
  <c r="G206" i="77"/>
  <c r="F206" i="77"/>
  <c r="N101" i="77"/>
  <c r="N876" i="77" s="1"/>
  <c r="M101" i="77"/>
  <c r="M876" i="77" s="1"/>
  <c r="L101" i="77"/>
  <c r="L876" i="77" s="1"/>
  <c r="K101" i="77"/>
  <c r="K876" i="77" s="1"/>
  <c r="J101" i="77"/>
  <c r="J876" i="77" s="1"/>
  <c r="I101" i="77"/>
  <c r="I876" i="77" s="1"/>
  <c r="H101" i="77"/>
  <c r="H876" i="77" s="1"/>
  <c r="G101" i="77"/>
  <c r="G876" i="77" s="1"/>
  <c r="F101" i="77"/>
  <c r="N97" i="77"/>
  <c r="M97" i="77"/>
  <c r="L97" i="77"/>
  <c r="K97" i="77"/>
  <c r="J97" i="77"/>
  <c r="I97" i="77"/>
  <c r="H97" i="77"/>
  <c r="G97" i="77"/>
  <c r="F97" i="77"/>
  <c r="N96" i="77"/>
  <c r="M96" i="77"/>
  <c r="L96" i="77"/>
  <c r="K96" i="77"/>
  <c r="J96" i="77"/>
  <c r="I96" i="77"/>
  <c r="H96" i="77"/>
  <c r="G96" i="77"/>
  <c r="F96" i="77"/>
  <c r="N94" i="77"/>
  <c r="M94" i="77"/>
  <c r="L94" i="77"/>
  <c r="K94" i="77"/>
  <c r="J94" i="77"/>
  <c r="I94" i="77"/>
  <c r="H94" i="77"/>
  <c r="G94" i="77"/>
  <c r="F94" i="77"/>
  <c r="N93" i="77"/>
  <c r="N105" i="77" s="1"/>
  <c r="M93" i="77"/>
  <c r="L93" i="77"/>
  <c r="L105" i="77" s="1"/>
  <c r="K93" i="77"/>
  <c r="K105" i="77" s="1"/>
  <c r="J93" i="77"/>
  <c r="I93" i="77"/>
  <c r="H93" i="77"/>
  <c r="H105" i="77" s="1"/>
  <c r="G93" i="77"/>
  <c r="F93" i="77"/>
  <c r="F105" i="77" s="1"/>
  <c r="N666" i="77"/>
  <c r="M666" i="77"/>
  <c r="L666" i="77"/>
  <c r="K666" i="77"/>
  <c r="J666" i="77"/>
  <c r="I666" i="77"/>
  <c r="H666" i="77"/>
  <c r="G666" i="77"/>
  <c r="F666" i="77"/>
  <c r="N656" i="77"/>
  <c r="M656" i="77"/>
  <c r="L656" i="77"/>
  <c r="K656" i="77"/>
  <c r="J656" i="77"/>
  <c r="I656" i="77"/>
  <c r="H656" i="77"/>
  <c r="G656" i="77"/>
  <c r="F656" i="77"/>
  <c r="N655" i="77"/>
  <c r="M655" i="77"/>
  <c r="L655" i="77"/>
  <c r="K655" i="77"/>
  <c r="J655" i="77"/>
  <c r="I655" i="77"/>
  <c r="H655" i="77"/>
  <c r="G655" i="77"/>
  <c r="F655" i="77"/>
  <c r="N654" i="77"/>
  <c r="M654" i="77"/>
  <c r="L654" i="77"/>
  <c r="K654" i="77"/>
  <c r="J654" i="77"/>
  <c r="I654" i="77"/>
  <c r="H654" i="77"/>
  <c r="G654" i="77"/>
  <c r="F654" i="77"/>
  <c r="N653" i="77"/>
  <c r="M653" i="77"/>
  <c r="L653" i="77"/>
  <c r="K653" i="77"/>
  <c r="J653" i="77"/>
  <c r="I653" i="77"/>
  <c r="H653" i="77"/>
  <c r="G653" i="77"/>
  <c r="F653" i="77"/>
  <c r="N652" i="77"/>
  <c r="M652" i="77"/>
  <c r="L652" i="77"/>
  <c r="K652" i="77"/>
  <c r="J652" i="77"/>
  <c r="I652" i="77"/>
  <c r="H652" i="77"/>
  <c r="G652" i="77"/>
  <c r="F652" i="77"/>
  <c r="N646" i="77"/>
  <c r="N962" i="77" s="1"/>
  <c r="N978" i="77" s="1"/>
  <c r="M646" i="77"/>
  <c r="M962" i="77" s="1"/>
  <c r="L646" i="77"/>
  <c r="L962" i="77" s="1"/>
  <c r="L978" i="77" s="1"/>
  <c r="K646" i="77"/>
  <c r="K962" i="77" s="1"/>
  <c r="J646" i="77"/>
  <c r="J962" i="77" s="1"/>
  <c r="J978" i="77" s="1"/>
  <c r="I646" i="77"/>
  <c r="I962" i="77" s="1"/>
  <c r="H646" i="77"/>
  <c r="H962" i="77" s="1"/>
  <c r="H978" i="77" s="1"/>
  <c r="G646" i="77"/>
  <c r="G962" i="77" s="1"/>
  <c r="F646" i="77"/>
  <c r="N637" i="77"/>
  <c r="N875" i="77" s="1"/>
  <c r="M637" i="77"/>
  <c r="M875" i="77" s="1"/>
  <c r="L637" i="77"/>
  <c r="L875" i="77" s="1"/>
  <c r="K637" i="77"/>
  <c r="K875" i="77" s="1"/>
  <c r="K897" i="77" s="1"/>
  <c r="J637" i="77"/>
  <c r="J875" i="77" s="1"/>
  <c r="I637" i="77"/>
  <c r="I875" i="77" s="1"/>
  <c r="I897" i="77" s="1"/>
  <c r="H637" i="77"/>
  <c r="H875" i="77" s="1"/>
  <c r="G637" i="77"/>
  <c r="G875" i="77" s="1"/>
  <c r="G897" i="77" s="1"/>
  <c r="F637" i="77"/>
  <c r="N532" i="77"/>
  <c r="M532" i="77"/>
  <c r="L532" i="77"/>
  <c r="K532" i="77"/>
  <c r="J532" i="77"/>
  <c r="I532" i="77"/>
  <c r="H532" i="77"/>
  <c r="G532" i="77"/>
  <c r="F532" i="77"/>
  <c r="N522" i="77"/>
  <c r="M522" i="77"/>
  <c r="L522" i="77"/>
  <c r="K522" i="77"/>
  <c r="J522" i="77"/>
  <c r="I522" i="77"/>
  <c r="H522" i="77"/>
  <c r="G522" i="77"/>
  <c r="F522" i="77"/>
  <c r="N516" i="77"/>
  <c r="N961" i="77" s="1"/>
  <c r="N977" i="77" s="1"/>
  <c r="M516" i="77"/>
  <c r="M961" i="77" s="1"/>
  <c r="M977" i="77" s="1"/>
  <c r="L516" i="77"/>
  <c r="L961" i="77" s="1"/>
  <c r="L977" i="77" s="1"/>
  <c r="K516" i="77"/>
  <c r="K961" i="77" s="1"/>
  <c r="K977" i="77" s="1"/>
  <c r="J516" i="77"/>
  <c r="J961" i="77" s="1"/>
  <c r="J977" i="77" s="1"/>
  <c r="I516" i="77"/>
  <c r="I961" i="77" s="1"/>
  <c r="I977" i="77" s="1"/>
  <c r="H516" i="77"/>
  <c r="H961" i="77" s="1"/>
  <c r="H977" i="77" s="1"/>
  <c r="G516" i="77"/>
  <c r="G961" i="77" s="1"/>
  <c r="G977" i="77" s="1"/>
  <c r="F516" i="77"/>
  <c r="N511" i="77"/>
  <c r="N874" i="77" s="1"/>
  <c r="N896" i="77" s="1"/>
  <c r="M511" i="77"/>
  <c r="M874" i="77" s="1"/>
  <c r="M896" i="77" s="1"/>
  <c r="L511" i="77"/>
  <c r="L874" i="77" s="1"/>
  <c r="K511" i="77"/>
  <c r="K874" i="77" s="1"/>
  <c r="K896" i="77" s="1"/>
  <c r="J511" i="77"/>
  <c r="J874" i="77" s="1"/>
  <c r="J896" i="77" s="1"/>
  <c r="I511" i="77"/>
  <c r="I874" i="77" s="1"/>
  <c r="I896" i="77" s="1"/>
  <c r="H511" i="77"/>
  <c r="H874" i="77" s="1"/>
  <c r="H896" i="77" s="1"/>
  <c r="G511" i="77"/>
  <c r="G874" i="77" s="1"/>
  <c r="G896" i="77" s="1"/>
  <c r="F511" i="77"/>
  <c r="N367" i="77"/>
  <c r="M367" i="77"/>
  <c r="L367" i="77"/>
  <c r="K367" i="77"/>
  <c r="J367" i="77"/>
  <c r="I367" i="77"/>
  <c r="H367" i="77"/>
  <c r="G367" i="77"/>
  <c r="F367" i="77"/>
  <c r="N357" i="77"/>
  <c r="M357" i="77"/>
  <c r="L357" i="77"/>
  <c r="K357" i="77"/>
  <c r="J357" i="77"/>
  <c r="I357" i="77"/>
  <c r="H357" i="77"/>
  <c r="G357" i="77"/>
  <c r="F357" i="77"/>
  <c r="N356" i="77"/>
  <c r="M356" i="77"/>
  <c r="L356" i="77"/>
  <c r="K356" i="77"/>
  <c r="J356" i="77"/>
  <c r="I356" i="77"/>
  <c r="H356" i="77"/>
  <c r="G356" i="77"/>
  <c r="F356" i="77"/>
  <c r="N960" i="77"/>
  <c r="M960" i="77"/>
  <c r="L960" i="77"/>
  <c r="K960" i="77"/>
  <c r="J960" i="77"/>
  <c r="I960" i="77"/>
  <c r="H960" i="77"/>
  <c r="G960" i="77"/>
  <c r="N873" i="77"/>
  <c r="M873" i="77"/>
  <c r="L873" i="77"/>
  <c r="K873" i="77"/>
  <c r="J873" i="77"/>
  <c r="I873" i="77"/>
  <c r="H873" i="77"/>
  <c r="G873" i="77"/>
  <c r="N769" i="77"/>
  <c r="M769" i="77"/>
  <c r="L769" i="77"/>
  <c r="K769" i="77"/>
  <c r="J769" i="77"/>
  <c r="I769" i="77"/>
  <c r="H769" i="77"/>
  <c r="G769" i="77"/>
  <c r="F769" i="77"/>
  <c r="N763" i="77"/>
  <c r="M763" i="77"/>
  <c r="L763" i="77"/>
  <c r="K763" i="77"/>
  <c r="J763" i="77"/>
  <c r="I763" i="77"/>
  <c r="H763" i="77"/>
  <c r="G763" i="77"/>
  <c r="F763" i="77"/>
  <c r="N762" i="77"/>
  <c r="M762" i="77"/>
  <c r="L762" i="77"/>
  <c r="K762" i="77"/>
  <c r="J762" i="77"/>
  <c r="I762" i="77"/>
  <c r="H762" i="77"/>
  <c r="G762" i="77"/>
  <c r="F762" i="77"/>
  <c r="N761" i="77"/>
  <c r="M761" i="77"/>
  <c r="L761" i="77"/>
  <c r="K761" i="77"/>
  <c r="J761" i="77"/>
  <c r="I761" i="77"/>
  <c r="H761" i="77"/>
  <c r="G761" i="77"/>
  <c r="F761" i="77"/>
  <c r="N760" i="77"/>
  <c r="M760" i="77"/>
  <c r="L760" i="77"/>
  <c r="K760" i="77"/>
  <c r="J760" i="77"/>
  <c r="I760" i="77"/>
  <c r="H760" i="77"/>
  <c r="G760" i="77"/>
  <c r="F760" i="77"/>
  <c r="N759" i="77"/>
  <c r="M759" i="77"/>
  <c r="L759" i="77"/>
  <c r="K759" i="77"/>
  <c r="J759" i="77"/>
  <c r="I759" i="77"/>
  <c r="H759" i="77"/>
  <c r="G759" i="77"/>
  <c r="F759" i="77"/>
  <c r="N753" i="77"/>
  <c r="N959" i="77" s="1"/>
  <c r="M753" i="77"/>
  <c r="M959" i="77" s="1"/>
  <c r="M982" i="77" s="1"/>
  <c r="L753" i="77"/>
  <c r="L959" i="77" s="1"/>
  <c r="K753" i="77"/>
  <c r="K959" i="77" s="1"/>
  <c r="K982" i="77" s="1"/>
  <c r="J753" i="77"/>
  <c r="J959" i="77" s="1"/>
  <c r="I753" i="77"/>
  <c r="I959" i="77" s="1"/>
  <c r="I982" i="77" s="1"/>
  <c r="H753" i="77"/>
  <c r="H959" i="77" s="1"/>
  <c r="G753" i="77"/>
  <c r="G959" i="77" s="1"/>
  <c r="G982" i="77" s="1"/>
  <c r="F753" i="77"/>
  <c r="N744" i="77"/>
  <c r="N872" i="77" s="1"/>
  <c r="M744" i="77"/>
  <c r="M872" i="77" s="1"/>
  <c r="L744" i="77"/>
  <c r="L872" i="77" s="1"/>
  <c r="K744" i="77"/>
  <c r="K872" i="77" s="1"/>
  <c r="J744" i="77"/>
  <c r="J872" i="77" s="1"/>
  <c r="J901" i="77" s="1"/>
  <c r="I744" i="77"/>
  <c r="I872" i="77" s="1"/>
  <c r="H744" i="77"/>
  <c r="H872" i="77" s="1"/>
  <c r="H901" i="77" s="1"/>
  <c r="G744" i="77"/>
  <c r="G872" i="77" s="1"/>
  <c r="F744" i="77"/>
  <c r="N452" i="77"/>
  <c r="M452" i="77"/>
  <c r="L452" i="77"/>
  <c r="K452" i="77"/>
  <c r="J452" i="77"/>
  <c r="I452" i="77"/>
  <c r="H452" i="77"/>
  <c r="G452" i="77"/>
  <c r="F452" i="77"/>
  <c r="N446" i="77"/>
  <c r="M446" i="77"/>
  <c r="L446" i="77"/>
  <c r="K446" i="77"/>
  <c r="J446" i="77"/>
  <c r="I446" i="77"/>
  <c r="H446" i="77"/>
  <c r="G446" i="77"/>
  <c r="F446" i="77"/>
  <c r="N445" i="77"/>
  <c r="M445" i="77"/>
  <c r="L445" i="77"/>
  <c r="K445" i="77"/>
  <c r="J445" i="77"/>
  <c r="I445" i="77"/>
  <c r="H445" i="77"/>
  <c r="G445" i="77"/>
  <c r="F445" i="77"/>
  <c r="N958" i="77"/>
  <c r="M958" i="77"/>
  <c r="L958" i="77"/>
  <c r="K958" i="77"/>
  <c r="J958" i="77"/>
  <c r="I958" i="77"/>
  <c r="H958" i="77"/>
  <c r="G958" i="77"/>
  <c r="N871" i="77"/>
  <c r="M871" i="77"/>
  <c r="L871" i="77"/>
  <c r="K871" i="77"/>
  <c r="J871" i="77"/>
  <c r="I871" i="77"/>
  <c r="H871" i="77"/>
  <c r="G871" i="77"/>
  <c r="N276" i="77"/>
  <c r="M276" i="77"/>
  <c r="L276" i="77"/>
  <c r="K276" i="77"/>
  <c r="J276" i="77"/>
  <c r="I276" i="77"/>
  <c r="H276" i="77"/>
  <c r="G276" i="77"/>
  <c r="F276" i="77"/>
  <c r="N957" i="77"/>
  <c r="N979" i="77" s="1"/>
  <c r="M957" i="77"/>
  <c r="L957" i="77"/>
  <c r="L979" i="77" s="1"/>
  <c r="K957" i="77"/>
  <c r="J957" i="77"/>
  <c r="J979" i="77" s="1"/>
  <c r="I957" i="77"/>
  <c r="H957" i="77"/>
  <c r="H979" i="77" s="1"/>
  <c r="G957" i="77"/>
  <c r="N870" i="77"/>
  <c r="N898" i="77" s="1"/>
  <c r="M870" i="77"/>
  <c r="L870" i="77"/>
  <c r="L898" i="77" s="1"/>
  <c r="K870" i="77"/>
  <c r="J870" i="77"/>
  <c r="J898" i="77" s="1"/>
  <c r="I870" i="77"/>
  <c r="H870" i="77"/>
  <c r="H898" i="77" s="1"/>
  <c r="G870" i="77"/>
  <c r="N188" i="77"/>
  <c r="M188" i="77"/>
  <c r="L188" i="77"/>
  <c r="K188" i="77"/>
  <c r="J188" i="77"/>
  <c r="I188" i="77"/>
  <c r="H188" i="77"/>
  <c r="G188" i="77"/>
  <c r="F188" i="77"/>
  <c r="N956" i="77"/>
  <c r="M956" i="77"/>
  <c r="L956" i="77"/>
  <c r="K956" i="77"/>
  <c r="J956" i="77"/>
  <c r="I956" i="77"/>
  <c r="H956" i="77"/>
  <c r="G956" i="77"/>
  <c r="N869" i="77"/>
  <c r="M869" i="77"/>
  <c r="L869" i="77"/>
  <c r="K869" i="77"/>
  <c r="J869" i="77"/>
  <c r="I869" i="77"/>
  <c r="H869" i="77"/>
  <c r="G869" i="77"/>
  <c r="N78" i="77"/>
  <c r="N867" i="77" s="1"/>
  <c r="M78" i="77"/>
  <c r="M867" i="77" s="1"/>
  <c r="L78" i="77"/>
  <c r="L867" i="77" s="1"/>
  <c r="K78" i="77"/>
  <c r="K867" i="77" s="1"/>
  <c r="J78" i="77"/>
  <c r="J867" i="77" s="1"/>
  <c r="I78" i="77"/>
  <c r="I867" i="77" s="1"/>
  <c r="H78" i="77"/>
  <c r="H867" i="77" s="1"/>
  <c r="G78" i="77"/>
  <c r="G867" i="77" s="1"/>
  <c r="F78" i="77"/>
  <c r="N56" i="77"/>
  <c r="N866" i="77" s="1"/>
  <c r="N891" i="77" s="1"/>
  <c r="M56" i="77"/>
  <c r="M866" i="77" s="1"/>
  <c r="M891" i="77" s="1"/>
  <c r="L56" i="77"/>
  <c r="L866" i="77" s="1"/>
  <c r="L891" i="77" s="1"/>
  <c r="K56" i="77"/>
  <c r="K866" i="77" s="1"/>
  <c r="K891" i="77" s="1"/>
  <c r="J56" i="77"/>
  <c r="J866" i="77" s="1"/>
  <c r="J891" i="77" s="1"/>
  <c r="I56" i="77"/>
  <c r="I866" i="77" s="1"/>
  <c r="I891" i="77" s="1"/>
  <c r="H56" i="77"/>
  <c r="H866" i="77" s="1"/>
  <c r="H891" i="77" s="1"/>
  <c r="G56" i="77"/>
  <c r="G866" i="77" s="1"/>
  <c r="G891" i="77" s="1"/>
  <c r="F56" i="77"/>
  <c r="N36" i="77"/>
  <c r="N865" i="77" s="1"/>
  <c r="M36" i="77"/>
  <c r="M865" i="77" s="1"/>
  <c r="L36" i="77"/>
  <c r="L865" i="77" s="1"/>
  <c r="K36" i="77"/>
  <c r="K865" i="77" s="1"/>
  <c r="J36" i="77"/>
  <c r="J865" i="77" s="1"/>
  <c r="I36" i="77"/>
  <c r="I865" i="77" s="1"/>
  <c r="H36" i="77"/>
  <c r="H865" i="77" s="1"/>
  <c r="G36" i="77"/>
  <c r="G865" i="77" s="1"/>
  <c r="F36" i="77"/>
  <c r="N15" i="77"/>
  <c r="N22" i="77" s="1"/>
  <c r="M15" i="77"/>
  <c r="M22" i="77" s="1"/>
  <c r="L15" i="77"/>
  <c r="L22" i="77" s="1"/>
  <c r="K15" i="77"/>
  <c r="K22" i="77" s="1"/>
  <c r="J15" i="77"/>
  <c r="J22" i="77" s="1"/>
  <c r="I15" i="77"/>
  <c r="I22" i="77" s="1"/>
  <c r="H15" i="77"/>
  <c r="H22" i="77" s="1"/>
  <c r="G15" i="77"/>
  <c r="G22" i="77" s="1"/>
  <c r="F15" i="77"/>
  <c r="H992" i="77" l="1"/>
  <c r="H1031" i="77"/>
  <c r="J992" i="77"/>
  <c r="J1031" i="77"/>
  <c r="N992" i="77"/>
  <c r="N1031" i="77"/>
  <c r="G992" i="77"/>
  <c r="G1031" i="77"/>
  <c r="K992" i="77"/>
  <c r="K1031" i="77"/>
  <c r="K1049" i="77" s="1"/>
  <c r="L992" i="77"/>
  <c r="L1031" i="77"/>
  <c r="I992" i="77"/>
  <c r="I1031" i="77"/>
  <c r="M992" i="77"/>
  <c r="M1031" i="77"/>
  <c r="M1049" i="77" s="1"/>
  <c r="M241" i="77"/>
  <c r="H404" i="77"/>
  <c r="L404" i="77"/>
  <c r="I709" i="77"/>
  <c r="M709" i="77"/>
  <c r="F241" i="77"/>
  <c r="J241" i="77"/>
  <c r="N241" i="77"/>
  <c r="I404" i="77"/>
  <c r="M404" i="77"/>
  <c r="F709" i="77"/>
  <c r="R709" i="77" s="1"/>
  <c r="J709" i="77"/>
  <c r="N709" i="77"/>
  <c r="G241" i="77"/>
  <c r="K241" i="77"/>
  <c r="F404" i="77"/>
  <c r="J404" i="77"/>
  <c r="N404" i="77"/>
  <c r="G709" i="77"/>
  <c r="K709" i="77"/>
  <c r="I241" i="77"/>
  <c r="R241" i="77" s="1"/>
  <c r="H241" i="77"/>
  <c r="L241" i="77"/>
  <c r="R1040" i="77"/>
  <c r="F16" i="96" s="1"/>
  <c r="R1043" i="77"/>
  <c r="F22" i="96" s="1"/>
  <c r="G404" i="77"/>
  <c r="R404" i="77" s="1"/>
  <c r="K404" i="77"/>
  <c r="H709" i="77"/>
  <c r="L709" i="77"/>
  <c r="M105" i="77"/>
  <c r="F21" i="77"/>
  <c r="F22" i="77"/>
  <c r="F1031" i="77" s="1"/>
  <c r="I105" i="77"/>
  <c r="L896" i="77"/>
  <c r="G105" i="77"/>
  <c r="R708" i="77"/>
  <c r="R712" i="77"/>
  <c r="J105" i="77"/>
  <c r="I892" i="77"/>
  <c r="G980" i="77"/>
  <c r="K980" i="77"/>
  <c r="H976" i="77"/>
  <c r="L976" i="77"/>
  <c r="R654" i="77"/>
  <c r="G893" i="77"/>
  <c r="K893" i="77"/>
  <c r="G892" i="77"/>
  <c r="K892" i="77"/>
  <c r="I980" i="77"/>
  <c r="M980" i="77"/>
  <c r="J976" i="77"/>
  <c r="N976" i="77"/>
  <c r="I975" i="77"/>
  <c r="I893" i="77"/>
  <c r="M975" i="77"/>
  <c r="R652" i="77"/>
  <c r="R656" i="77"/>
  <c r="R710" i="77"/>
  <c r="G975" i="77"/>
  <c r="K975" i="77"/>
  <c r="R234" i="77"/>
  <c r="R276" i="77"/>
  <c r="R446" i="77"/>
  <c r="R759" i="77"/>
  <c r="R761" i="77"/>
  <c r="R763" i="77"/>
  <c r="R356" i="77"/>
  <c r="G899" i="77"/>
  <c r="I899" i="77"/>
  <c r="K899" i="77"/>
  <c r="M899" i="77"/>
  <c r="H895" i="77"/>
  <c r="J895" i="77"/>
  <c r="F231" i="77"/>
  <c r="H231" i="77"/>
  <c r="J231" i="77"/>
  <c r="L231" i="77"/>
  <c r="N231" i="77"/>
  <c r="G411" i="77"/>
  <c r="G413" i="77" s="1"/>
  <c r="I411" i="77"/>
  <c r="I413" i="77" s="1"/>
  <c r="K411" i="77"/>
  <c r="K413" i="77" s="1"/>
  <c r="M411" i="77"/>
  <c r="M413" i="77" s="1"/>
  <c r="F564" i="77"/>
  <c r="H564" i="77"/>
  <c r="J564" i="77"/>
  <c r="L564" i="77"/>
  <c r="N564" i="77"/>
  <c r="F706" i="77"/>
  <c r="H706" i="77"/>
  <c r="J706" i="77"/>
  <c r="L706" i="77"/>
  <c r="N706" i="77"/>
  <c r="G231" i="77"/>
  <c r="I231" i="77"/>
  <c r="K231" i="77"/>
  <c r="M231" i="77"/>
  <c r="F242" i="77"/>
  <c r="F243" i="77" s="1"/>
  <c r="H242" i="77"/>
  <c r="H243" i="77" s="1"/>
  <c r="J242" i="77"/>
  <c r="J243" i="77" s="1"/>
  <c r="L242" i="77"/>
  <c r="L243" i="77" s="1"/>
  <c r="N242" i="77"/>
  <c r="N243" i="77" s="1"/>
  <c r="F311" i="77"/>
  <c r="H311" i="77"/>
  <c r="J311" i="77"/>
  <c r="L311" i="77"/>
  <c r="N311" i="77"/>
  <c r="G320" i="77"/>
  <c r="I320" i="77"/>
  <c r="K320" i="77"/>
  <c r="M320" i="77"/>
  <c r="F411" i="77"/>
  <c r="F413" i="77" s="1"/>
  <c r="H411" i="77"/>
  <c r="H413" i="77" s="1"/>
  <c r="J411" i="77"/>
  <c r="J413" i="77" s="1"/>
  <c r="L411" i="77"/>
  <c r="L413" i="77" s="1"/>
  <c r="N411" i="77"/>
  <c r="N413" i="77" s="1"/>
  <c r="G564" i="77"/>
  <c r="I564" i="77"/>
  <c r="K564" i="77"/>
  <c r="M564" i="77"/>
  <c r="G706" i="77"/>
  <c r="I706" i="77"/>
  <c r="K706" i="77"/>
  <c r="M706" i="77"/>
  <c r="R483" i="77"/>
  <c r="R653" i="77"/>
  <c r="R655" i="77"/>
  <c r="G242" i="77"/>
  <c r="G243" i="77" s="1"/>
  <c r="I242" i="77"/>
  <c r="I243" i="77" s="1"/>
  <c r="K242" i="77"/>
  <c r="M242" i="77"/>
  <c r="M243" i="77" s="1"/>
  <c r="G311" i="77"/>
  <c r="I311" i="77"/>
  <c r="K311" i="77"/>
  <c r="M311" i="77"/>
  <c r="R314" i="77"/>
  <c r="F320" i="77"/>
  <c r="H320" i="77"/>
  <c r="J320" i="77"/>
  <c r="L320" i="77"/>
  <c r="N320" i="77"/>
  <c r="R711" i="77"/>
  <c r="R188" i="77"/>
  <c r="R445" i="77"/>
  <c r="R760" i="77"/>
  <c r="R762" i="77"/>
  <c r="R357" i="77"/>
  <c r="R482" i="77"/>
  <c r="R522" i="77"/>
  <c r="R452" i="77"/>
  <c r="R769" i="77"/>
  <c r="R367" i="77"/>
  <c r="R532" i="77"/>
  <c r="R666" i="77"/>
  <c r="R480" i="77"/>
  <c r="R488" i="77"/>
  <c r="R489" i="77"/>
  <c r="R611" i="77"/>
  <c r="R803" i="77"/>
  <c r="R882" i="77"/>
  <c r="R967" i="77"/>
  <c r="R815" i="77"/>
  <c r="R401" i="77"/>
  <c r="R412" i="77"/>
  <c r="R15" i="77"/>
  <c r="F865" i="77"/>
  <c r="R865" i="77" s="1"/>
  <c r="R36" i="77"/>
  <c r="F873" i="77"/>
  <c r="R344" i="77"/>
  <c r="F960" i="77"/>
  <c r="R350" i="77"/>
  <c r="F874" i="77"/>
  <c r="R511" i="77"/>
  <c r="F961" i="77"/>
  <c r="R516" i="77"/>
  <c r="F875" i="77"/>
  <c r="R875" i="77" s="1"/>
  <c r="R637" i="77"/>
  <c r="F962" i="77"/>
  <c r="R646" i="77"/>
  <c r="F876" i="77"/>
  <c r="R876" i="77" s="1"/>
  <c r="R101" i="77"/>
  <c r="F878" i="77"/>
  <c r="R878" i="77" s="1"/>
  <c r="R221" i="77"/>
  <c r="F963" i="77"/>
  <c r="R963" i="77" s="1"/>
  <c r="R227" i="77"/>
  <c r="F879" i="77"/>
  <c r="R879" i="77" s="1"/>
  <c r="R301" i="77"/>
  <c r="F964" i="77"/>
  <c r="R307" i="77"/>
  <c r="F880" i="77"/>
  <c r="R880" i="77" s="1"/>
  <c r="R470" i="77"/>
  <c r="F965" i="77"/>
  <c r="R965" i="77" s="1"/>
  <c r="R476" i="77"/>
  <c r="F881" i="77"/>
  <c r="R594" i="77"/>
  <c r="F966" i="77"/>
  <c r="R599" i="77"/>
  <c r="F883" i="77"/>
  <c r="R883" i="77" s="1"/>
  <c r="R391" i="77"/>
  <c r="F968" i="77"/>
  <c r="R968" i="77" s="1"/>
  <c r="R397" i="77"/>
  <c r="R414" i="77"/>
  <c r="F884" i="77"/>
  <c r="R884" i="77" s="1"/>
  <c r="R555" i="77"/>
  <c r="F969" i="77"/>
  <c r="R969" i="77" s="1"/>
  <c r="R560" i="77"/>
  <c r="R576" i="77"/>
  <c r="F885" i="77"/>
  <c r="R885" i="77" s="1"/>
  <c r="R693" i="77"/>
  <c r="F970" i="77"/>
  <c r="R970" i="77" s="1"/>
  <c r="R702" i="77"/>
  <c r="R722" i="77"/>
  <c r="F886" i="77"/>
  <c r="F971" i="77"/>
  <c r="F866" i="77"/>
  <c r="R56" i="77"/>
  <c r="F867" i="77"/>
  <c r="R78" i="77"/>
  <c r="F869" i="77"/>
  <c r="R869" i="77" s="1"/>
  <c r="R175" i="77"/>
  <c r="F956" i="77"/>
  <c r="R956" i="77" s="1"/>
  <c r="R181" i="77"/>
  <c r="F870" i="77"/>
  <c r="R263" i="77"/>
  <c r="F957" i="77"/>
  <c r="R269" i="77"/>
  <c r="F871" i="77"/>
  <c r="R871" i="77" s="1"/>
  <c r="R433" i="77"/>
  <c r="F958" i="77"/>
  <c r="R958" i="77" s="1"/>
  <c r="R439" i="77"/>
  <c r="F872" i="77"/>
  <c r="R744" i="77"/>
  <c r="F959" i="77"/>
  <c r="R959" i="77" s="1"/>
  <c r="R753" i="77"/>
  <c r="R605" i="77"/>
  <c r="R805" i="77"/>
  <c r="R806" i="77"/>
  <c r="R807" i="77"/>
  <c r="R808" i="77"/>
  <c r="R809" i="77"/>
  <c r="R403" i="77"/>
  <c r="R566" i="77"/>
  <c r="F573" i="77"/>
  <c r="H573" i="77"/>
  <c r="J573" i="77"/>
  <c r="L573" i="77"/>
  <c r="N573" i="77"/>
  <c r="F574" i="77"/>
  <c r="H574" i="77"/>
  <c r="J574" i="77"/>
  <c r="L574" i="77"/>
  <c r="N574" i="77"/>
  <c r="F719" i="77"/>
  <c r="H719" i="77"/>
  <c r="J719" i="77"/>
  <c r="L719" i="77"/>
  <c r="N719" i="77"/>
  <c r="G862" i="77"/>
  <c r="I862" i="77"/>
  <c r="K862" i="77"/>
  <c r="M862" i="77"/>
  <c r="F862" i="77"/>
  <c r="H862" i="77"/>
  <c r="J862" i="77"/>
  <c r="L862" i="77"/>
  <c r="N862" i="77"/>
  <c r="H892" i="77"/>
  <c r="J892" i="77"/>
  <c r="L892" i="77"/>
  <c r="N892" i="77"/>
  <c r="H893" i="77"/>
  <c r="J893" i="77"/>
  <c r="L893" i="77"/>
  <c r="N893" i="77"/>
  <c r="H975" i="77"/>
  <c r="J975" i="77"/>
  <c r="L975" i="77"/>
  <c r="N975" i="77"/>
  <c r="G901" i="77"/>
  <c r="I901" i="77"/>
  <c r="K901" i="77"/>
  <c r="M901" i="77"/>
  <c r="F720" i="77"/>
  <c r="H720" i="77"/>
  <c r="J720" i="77"/>
  <c r="L720" i="77"/>
  <c r="N720" i="77"/>
  <c r="M892" i="77"/>
  <c r="M893" i="77"/>
  <c r="L901" i="77"/>
  <c r="N901" i="77"/>
  <c r="L895" i="77"/>
  <c r="N895" i="77"/>
  <c r="M897" i="77"/>
  <c r="G898" i="77"/>
  <c r="I898" i="77"/>
  <c r="K898" i="77"/>
  <c r="M898" i="77"/>
  <c r="G979" i="77"/>
  <c r="I979" i="77"/>
  <c r="K979" i="77"/>
  <c r="M979" i="77"/>
  <c r="H899" i="77"/>
  <c r="J899" i="77"/>
  <c r="L899" i="77"/>
  <c r="N899" i="77"/>
  <c r="H980" i="77"/>
  <c r="J980" i="77"/>
  <c r="L980" i="77"/>
  <c r="N980" i="77"/>
  <c r="H982" i="77"/>
  <c r="J982" i="77"/>
  <c r="L982" i="77"/>
  <c r="N982" i="77"/>
  <c r="G895" i="77"/>
  <c r="I895" i="77"/>
  <c r="K895" i="77"/>
  <c r="M895" i="77"/>
  <c r="G976" i="77"/>
  <c r="I976" i="77"/>
  <c r="K976" i="77"/>
  <c r="M976" i="77"/>
  <c r="H897" i="77"/>
  <c r="J897" i="77"/>
  <c r="L897" i="77"/>
  <c r="N897" i="77"/>
  <c r="G978" i="77"/>
  <c r="I978" i="77"/>
  <c r="K978" i="77"/>
  <c r="M978" i="77"/>
  <c r="F814" i="77"/>
  <c r="H814" i="77"/>
  <c r="J814" i="77"/>
  <c r="L814" i="77"/>
  <c r="N814" i="77"/>
  <c r="G573" i="77"/>
  <c r="I573" i="77"/>
  <c r="K573" i="77"/>
  <c r="M573" i="77"/>
  <c r="G574" i="77"/>
  <c r="I574" i="77"/>
  <c r="K574" i="77"/>
  <c r="M574" i="77"/>
  <c r="G719" i="77"/>
  <c r="I719" i="77"/>
  <c r="K719" i="77"/>
  <c r="M719" i="77"/>
  <c r="I17" i="77"/>
  <c r="I907" i="77" s="1"/>
  <c r="I938" i="77" s="1"/>
  <c r="M17" i="77"/>
  <c r="M907" i="77" s="1"/>
  <c r="M938" i="77" s="1"/>
  <c r="I21" i="77"/>
  <c r="I1013" i="77" s="1"/>
  <c r="M21" i="77"/>
  <c r="M1013" i="77" s="1"/>
  <c r="I25" i="77"/>
  <c r="I1068" i="77" s="1"/>
  <c r="M25" i="77"/>
  <c r="M1068" i="77" s="1"/>
  <c r="H185" i="77"/>
  <c r="L185" i="77"/>
  <c r="G195" i="77"/>
  <c r="K195" i="77"/>
  <c r="G273" i="77"/>
  <c r="K273" i="77"/>
  <c r="F282" i="77"/>
  <c r="J282" i="77"/>
  <c r="N282" i="77"/>
  <c r="F451" i="77"/>
  <c r="J451" i="77"/>
  <c r="N451" i="77"/>
  <c r="H768" i="77"/>
  <c r="L768" i="77"/>
  <c r="G720" i="77"/>
  <c r="I720" i="77"/>
  <c r="K720" i="77"/>
  <c r="M720" i="77"/>
  <c r="G17" i="77"/>
  <c r="G907" i="77" s="1"/>
  <c r="G938" i="77" s="1"/>
  <c r="K17" i="77"/>
  <c r="K907" i="77" s="1"/>
  <c r="K938" i="77" s="1"/>
  <c r="G21" i="77"/>
  <c r="G1013" i="77" s="1"/>
  <c r="K21" i="77"/>
  <c r="K1013" i="77" s="1"/>
  <c r="G25" i="77"/>
  <c r="G1068" i="77" s="1"/>
  <c r="K25" i="77"/>
  <c r="K1068" i="77" s="1"/>
  <c r="F185" i="77"/>
  <c r="J185" i="77"/>
  <c r="N185" i="77"/>
  <c r="I195" i="77"/>
  <c r="M195" i="77"/>
  <c r="I273" i="77"/>
  <c r="M273" i="77"/>
  <c r="H282" i="77"/>
  <c r="L282" i="77"/>
  <c r="H451" i="77"/>
  <c r="L451" i="77"/>
  <c r="F768" i="77"/>
  <c r="J768" i="77"/>
  <c r="N768" i="77"/>
  <c r="G890" i="77"/>
  <c r="I890" i="77"/>
  <c r="K890" i="77"/>
  <c r="M890" i="77"/>
  <c r="F17" i="77"/>
  <c r="H17" i="77"/>
  <c r="H907" i="77" s="1"/>
  <c r="J17" i="77"/>
  <c r="J907" i="77" s="1"/>
  <c r="L17" i="77"/>
  <c r="L907" i="77" s="1"/>
  <c r="N17" i="77"/>
  <c r="N907" i="77" s="1"/>
  <c r="N938" i="77" s="1"/>
  <c r="G20" i="77"/>
  <c r="I20" i="77"/>
  <c r="K20" i="77"/>
  <c r="M20" i="77"/>
  <c r="H21" i="77"/>
  <c r="J21" i="77"/>
  <c r="L21" i="77"/>
  <c r="N21" i="77"/>
  <c r="F25" i="77"/>
  <c r="H25" i="77"/>
  <c r="H1068" i="77" s="1"/>
  <c r="J25" i="77"/>
  <c r="J1068" i="77" s="1"/>
  <c r="L25" i="77"/>
  <c r="L1068" i="77" s="1"/>
  <c r="N25" i="77"/>
  <c r="N1068" i="77" s="1"/>
  <c r="F60" i="77"/>
  <c r="H60" i="77"/>
  <c r="J60" i="77"/>
  <c r="J1045" i="77" s="1"/>
  <c r="L60" i="77"/>
  <c r="N60" i="77"/>
  <c r="G82" i="77"/>
  <c r="I82" i="77"/>
  <c r="K82" i="77"/>
  <c r="M82" i="77"/>
  <c r="H182" i="77"/>
  <c r="H198" i="77" s="1"/>
  <c r="J182" i="77"/>
  <c r="J198" i="77" s="1"/>
  <c r="L182" i="77"/>
  <c r="L198" i="77" s="1"/>
  <c r="N182" i="77"/>
  <c r="N198" i="77" s="1"/>
  <c r="G185" i="77"/>
  <c r="I185" i="77"/>
  <c r="K185" i="77"/>
  <c r="M185" i="77"/>
  <c r="F195" i="77"/>
  <c r="H195" i="77"/>
  <c r="J195" i="77"/>
  <c r="L195" i="77"/>
  <c r="N195" i="77"/>
  <c r="G196" i="77"/>
  <c r="I196" i="77"/>
  <c r="K196" i="77"/>
  <c r="M196" i="77"/>
  <c r="G270" i="77"/>
  <c r="G283" i="77" s="1"/>
  <c r="I270" i="77"/>
  <c r="I283" i="77" s="1"/>
  <c r="K270" i="77"/>
  <c r="K283" i="77" s="1"/>
  <c r="M270" i="77"/>
  <c r="M283" i="77" s="1"/>
  <c r="F273" i="77"/>
  <c r="H273" i="77"/>
  <c r="J273" i="77"/>
  <c r="L273" i="77"/>
  <c r="N273" i="77"/>
  <c r="G282" i="77"/>
  <c r="I282" i="77"/>
  <c r="K282" i="77"/>
  <c r="M282" i="77"/>
  <c r="G443" i="77"/>
  <c r="I443" i="77"/>
  <c r="K443" i="77"/>
  <c r="M443" i="77"/>
  <c r="G451" i="77"/>
  <c r="I451" i="77"/>
  <c r="K451" i="77"/>
  <c r="M451" i="77"/>
  <c r="G757" i="77"/>
  <c r="I757" i="77"/>
  <c r="K757" i="77"/>
  <c r="M757" i="77"/>
  <c r="G768" i="77"/>
  <c r="I768" i="77"/>
  <c r="K768" i="77"/>
  <c r="M768" i="77"/>
  <c r="H890" i="77"/>
  <c r="J890" i="77"/>
  <c r="L890" i="77"/>
  <c r="N890" i="77"/>
  <c r="H972" i="77"/>
  <c r="H1093" i="77" s="1"/>
  <c r="L972" i="77"/>
  <c r="F20" i="77"/>
  <c r="H20" i="77"/>
  <c r="J20" i="77"/>
  <c r="L20" i="77"/>
  <c r="N20" i="77"/>
  <c r="G60" i="77"/>
  <c r="G1045" i="77" s="1"/>
  <c r="I60" i="77"/>
  <c r="K60" i="77"/>
  <c r="M60" i="77"/>
  <c r="F82" i="77"/>
  <c r="H82" i="77"/>
  <c r="J82" i="77"/>
  <c r="L82" i="77"/>
  <c r="N82" i="77"/>
  <c r="G182" i="77"/>
  <c r="G198" i="77" s="1"/>
  <c r="I182" i="77"/>
  <c r="I198" i="77" s="1"/>
  <c r="K182" i="77"/>
  <c r="K198" i="77" s="1"/>
  <c r="M182" i="77"/>
  <c r="M198" i="77" s="1"/>
  <c r="F196" i="77"/>
  <c r="H196" i="77"/>
  <c r="J196" i="77"/>
  <c r="L196" i="77"/>
  <c r="N196" i="77"/>
  <c r="F270" i="77"/>
  <c r="H270" i="77"/>
  <c r="H283" i="77" s="1"/>
  <c r="J270" i="77"/>
  <c r="J283" i="77" s="1"/>
  <c r="L270" i="77"/>
  <c r="L283" i="77" s="1"/>
  <c r="N270" i="77"/>
  <c r="N283" i="77" s="1"/>
  <c r="F443" i="77"/>
  <c r="H443" i="77"/>
  <c r="J443" i="77"/>
  <c r="L443" i="77"/>
  <c r="N443" i="77"/>
  <c r="F757" i="77"/>
  <c r="H757" i="77"/>
  <c r="J757" i="77"/>
  <c r="L757" i="77"/>
  <c r="N757" i="77"/>
  <c r="G354" i="77"/>
  <c r="I354" i="77"/>
  <c r="K354" i="77"/>
  <c r="M354" i="77"/>
  <c r="F364" i="77"/>
  <c r="H364" i="77"/>
  <c r="J364" i="77"/>
  <c r="L364" i="77"/>
  <c r="N364" i="77"/>
  <c r="G365" i="77"/>
  <c r="I365" i="77"/>
  <c r="K365" i="77"/>
  <c r="M365" i="77"/>
  <c r="F520" i="77"/>
  <c r="H520" i="77"/>
  <c r="J520" i="77"/>
  <c r="L520" i="77"/>
  <c r="N520" i="77"/>
  <c r="F529" i="77"/>
  <c r="H529" i="77"/>
  <c r="J529" i="77"/>
  <c r="L529" i="77"/>
  <c r="N529" i="77"/>
  <c r="G530" i="77"/>
  <c r="I530" i="77"/>
  <c r="K530" i="77"/>
  <c r="M530" i="77"/>
  <c r="F650" i="77"/>
  <c r="H650" i="77"/>
  <c r="J650" i="77"/>
  <c r="L650" i="77"/>
  <c r="N650" i="77"/>
  <c r="F663" i="77"/>
  <c r="H663" i="77"/>
  <c r="J663" i="77"/>
  <c r="L663" i="77"/>
  <c r="N663" i="77"/>
  <c r="G664" i="77"/>
  <c r="I664" i="77"/>
  <c r="K664" i="77"/>
  <c r="M664" i="77"/>
  <c r="G244" i="77"/>
  <c r="I244" i="77"/>
  <c r="K244" i="77"/>
  <c r="M244" i="77"/>
  <c r="G308" i="77"/>
  <c r="G321" i="77" s="1"/>
  <c r="I308" i="77"/>
  <c r="I321" i="77" s="1"/>
  <c r="K308" i="77"/>
  <c r="K321" i="77" s="1"/>
  <c r="M308" i="77"/>
  <c r="M321" i="77" s="1"/>
  <c r="F603" i="77"/>
  <c r="H603" i="77"/>
  <c r="J603" i="77"/>
  <c r="L603" i="77"/>
  <c r="N603" i="77"/>
  <c r="G610" i="77"/>
  <c r="I610" i="77"/>
  <c r="K610" i="77"/>
  <c r="M610" i="77"/>
  <c r="F354" i="77"/>
  <c r="H354" i="77"/>
  <c r="J354" i="77"/>
  <c r="L354" i="77"/>
  <c r="N354" i="77"/>
  <c r="G364" i="77"/>
  <c r="I364" i="77"/>
  <c r="K364" i="77"/>
  <c r="M364" i="77"/>
  <c r="F365" i="77"/>
  <c r="H365" i="77"/>
  <c r="J365" i="77"/>
  <c r="L365" i="77"/>
  <c r="N365" i="77"/>
  <c r="G520" i="77"/>
  <c r="I520" i="77"/>
  <c r="K520" i="77"/>
  <c r="M520" i="77"/>
  <c r="G529" i="77"/>
  <c r="I529" i="77"/>
  <c r="K529" i="77"/>
  <c r="M529" i="77"/>
  <c r="F530" i="77"/>
  <c r="H530" i="77"/>
  <c r="J530" i="77"/>
  <c r="L530" i="77"/>
  <c r="N530" i="77"/>
  <c r="G650" i="77"/>
  <c r="I650" i="77"/>
  <c r="K650" i="77"/>
  <c r="M650" i="77"/>
  <c r="G663" i="77"/>
  <c r="I663" i="77"/>
  <c r="K663" i="77"/>
  <c r="M663" i="77"/>
  <c r="F664" i="77"/>
  <c r="H664" i="77"/>
  <c r="J664" i="77"/>
  <c r="L664" i="77"/>
  <c r="N664" i="77"/>
  <c r="F244" i="77"/>
  <c r="H244" i="77"/>
  <c r="J244" i="77"/>
  <c r="L244" i="77"/>
  <c r="N244" i="77"/>
  <c r="F308" i="77"/>
  <c r="H308" i="77"/>
  <c r="H321" i="77" s="1"/>
  <c r="J308" i="77"/>
  <c r="J321" i="77" s="1"/>
  <c r="L308" i="77"/>
  <c r="L321" i="77" s="1"/>
  <c r="N308" i="77"/>
  <c r="N321" i="77" s="1"/>
  <c r="G603" i="77"/>
  <c r="I603" i="77"/>
  <c r="K603" i="77"/>
  <c r="M603" i="77"/>
  <c r="F610" i="77"/>
  <c r="H610" i="77"/>
  <c r="J610" i="77"/>
  <c r="L610" i="77"/>
  <c r="N610" i="77"/>
  <c r="G1046" i="77" l="1"/>
  <c r="J1046" i="77"/>
  <c r="G1049" i="77"/>
  <c r="I1049" i="77"/>
  <c r="H1049" i="77"/>
  <c r="K1045" i="77"/>
  <c r="K1046" i="77" s="1"/>
  <c r="L1045" i="77"/>
  <c r="L1046" i="77" s="1"/>
  <c r="H1045" i="77"/>
  <c r="H1046" i="77" s="1"/>
  <c r="F1049" i="77"/>
  <c r="R1031" i="77"/>
  <c r="R1035" i="77"/>
  <c r="F15" i="96" s="1"/>
  <c r="I1045" i="77"/>
  <c r="I1046" i="77" s="1"/>
  <c r="N1045" i="77"/>
  <c r="N1046" i="77" s="1"/>
  <c r="R1032" i="77"/>
  <c r="F12" i="96" s="1"/>
  <c r="F1045" i="77"/>
  <c r="R1036" i="77"/>
  <c r="F17" i="96" s="1"/>
  <c r="M1045" i="77"/>
  <c r="M1046" i="77" s="1"/>
  <c r="K243" i="77"/>
  <c r="R1038" i="77"/>
  <c r="F21" i="96" s="1"/>
  <c r="R1037" i="77"/>
  <c r="F19" i="96" s="1"/>
  <c r="R22" i="77"/>
  <c r="F992" i="77"/>
  <c r="R992" i="77" s="1"/>
  <c r="F23" i="77"/>
  <c r="F197" i="77"/>
  <c r="L23" i="77"/>
  <c r="J23" i="77"/>
  <c r="G23" i="77"/>
  <c r="N23" i="77"/>
  <c r="K23" i="77"/>
  <c r="H23" i="77"/>
  <c r="M23" i="77"/>
  <c r="I23" i="77"/>
  <c r="R105" i="77"/>
  <c r="G197" i="77"/>
  <c r="R867" i="77"/>
  <c r="F892" i="77"/>
  <c r="R892" i="77" s="1"/>
  <c r="F982" i="77"/>
  <c r="R982" i="77" s="1"/>
  <c r="R231" i="77"/>
  <c r="R964" i="77"/>
  <c r="I984" i="77"/>
  <c r="J984" i="77"/>
  <c r="N984" i="77"/>
  <c r="R411" i="77"/>
  <c r="R706" i="77"/>
  <c r="R564" i="77"/>
  <c r="F890" i="77"/>
  <c r="R890" i="77" s="1"/>
  <c r="R320" i="77"/>
  <c r="R242" i="77"/>
  <c r="R243" i="77" s="1"/>
  <c r="R311" i="77"/>
  <c r="F897" i="77"/>
  <c r="R897" i="77" s="1"/>
  <c r="F980" i="77"/>
  <c r="R980" i="77" s="1"/>
  <c r="F899" i="77"/>
  <c r="R899" i="77" s="1"/>
  <c r="F975" i="77"/>
  <c r="R975" i="77" s="1"/>
  <c r="F893" i="77"/>
  <c r="R893" i="77" s="1"/>
  <c r="R610" i="77"/>
  <c r="F321" i="77"/>
  <c r="R321" i="77" s="1"/>
  <c r="R308" i="77"/>
  <c r="R244" i="77"/>
  <c r="R603" i="77"/>
  <c r="R663" i="77"/>
  <c r="R650" i="77"/>
  <c r="R529" i="77"/>
  <c r="R520" i="77"/>
  <c r="R364" i="77"/>
  <c r="R757" i="77"/>
  <c r="R443" i="77"/>
  <c r="F283" i="77"/>
  <c r="R283" i="77" s="1"/>
  <c r="R270" i="77"/>
  <c r="R196" i="77"/>
  <c r="R82" i="77"/>
  <c r="R40" i="77"/>
  <c r="R273" i="77"/>
  <c r="R195" i="77"/>
  <c r="F198" i="77"/>
  <c r="R198" i="77" s="1"/>
  <c r="R182" i="77"/>
  <c r="R60" i="77"/>
  <c r="R768" i="77"/>
  <c r="R451" i="77"/>
  <c r="R814" i="77"/>
  <c r="R719" i="77"/>
  <c r="R574" i="77"/>
  <c r="R573" i="77"/>
  <c r="F901" i="77"/>
  <c r="R901" i="77" s="1"/>
  <c r="R872" i="77"/>
  <c r="F979" i="77"/>
  <c r="R979" i="77" s="1"/>
  <c r="R957" i="77"/>
  <c r="F898" i="77"/>
  <c r="R898" i="77" s="1"/>
  <c r="R870" i="77"/>
  <c r="F891" i="77"/>
  <c r="R891" i="77" s="1"/>
  <c r="R866" i="77"/>
  <c r="F983" i="77"/>
  <c r="R983" i="77" s="1"/>
  <c r="R971" i="77"/>
  <c r="F902" i="77"/>
  <c r="R902" i="77" s="1"/>
  <c r="R886" i="77"/>
  <c r="R664" i="77"/>
  <c r="R530" i="77"/>
  <c r="R365" i="77"/>
  <c r="R354" i="77"/>
  <c r="R185" i="77"/>
  <c r="R282" i="77"/>
  <c r="R720" i="77"/>
  <c r="F981" i="77"/>
  <c r="R981" i="77" s="1"/>
  <c r="R966" i="77"/>
  <c r="F900" i="77"/>
  <c r="R900" i="77" s="1"/>
  <c r="R881" i="77"/>
  <c r="F978" i="77"/>
  <c r="R978" i="77" s="1"/>
  <c r="R962" i="77"/>
  <c r="F977" i="77"/>
  <c r="R977" i="77" s="1"/>
  <c r="R961" i="77"/>
  <c r="F896" i="77"/>
  <c r="R896" i="77" s="1"/>
  <c r="R874" i="77"/>
  <c r="F976" i="77"/>
  <c r="R960" i="77"/>
  <c r="F895" i="77"/>
  <c r="R895" i="77" s="1"/>
  <c r="R873" i="77"/>
  <c r="R20" i="77"/>
  <c r="F1068" i="77"/>
  <c r="R1068" i="77" s="1"/>
  <c r="R25" i="77"/>
  <c r="R21" i="77"/>
  <c r="F907" i="77"/>
  <c r="R907" i="77" s="1"/>
  <c r="R17" i="77"/>
  <c r="R862" i="77"/>
  <c r="K984" i="77"/>
  <c r="G984" i="77"/>
  <c r="L984" i="77"/>
  <c r="L985" i="77" s="1"/>
  <c r="H984" i="77"/>
  <c r="H985" i="77" s="1"/>
  <c r="K197" i="77"/>
  <c r="N721" i="77"/>
  <c r="J721" i="77"/>
  <c r="F721" i="77"/>
  <c r="L721" i="77"/>
  <c r="H721" i="77"/>
  <c r="N575" i="77"/>
  <c r="J575" i="77"/>
  <c r="F575" i="77"/>
  <c r="L575" i="77"/>
  <c r="H575" i="77"/>
  <c r="M984" i="77"/>
  <c r="N972" i="77"/>
  <c r="J972" i="77"/>
  <c r="J1093" i="77" s="1"/>
  <c r="F972" i="77"/>
  <c r="F1093" i="77" s="1"/>
  <c r="I197" i="77"/>
  <c r="M665" i="77"/>
  <c r="I665" i="77"/>
  <c r="M366" i="77"/>
  <c r="I366" i="77"/>
  <c r="M197" i="77"/>
  <c r="K721" i="77"/>
  <c r="G721" i="77"/>
  <c r="M721" i="77"/>
  <c r="I721" i="77"/>
  <c r="M575" i="77"/>
  <c r="I575" i="77"/>
  <c r="K575" i="77"/>
  <c r="G575" i="77"/>
  <c r="L665" i="77"/>
  <c r="H665" i="77"/>
  <c r="M531" i="77"/>
  <c r="I531" i="77"/>
  <c r="L531" i="77"/>
  <c r="H531" i="77"/>
  <c r="L366" i="77"/>
  <c r="H366" i="77"/>
  <c r="N995" i="77"/>
  <c r="J995" i="77"/>
  <c r="F995" i="77"/>
  <c r="L1013" i="77"/>
  <c r="L1049" i="77" s="1"/>
  <c r="H1013" i="77"/>
  <c r="K995" i="77"/>
  <c r="G995" i="77"/>
  <c r="L938" i="77"/>
  <c r="H938" i="77"/>
  <c r="K665" i="77"/>
  <c r="G665" i="77"/>
  <c r="K531" i="77"/>
  <c r="G531" i="77"/>
  <c r="K366" i="77"/>
  <c r="G366" i="77"/>
  <c r="N665" i="77"/>
  <c r="J665" i="77"/>
  <c r="F665" i="77"/>
  <c r="N531" i="77"/>
  <c r="J531" i="77"/>
  <c r="F531" i="77"/>
  <c r="N366" i="77"/>
  <c r="J366" i="77"/>
  <c r="F366" i="77"/>
  <c r="N197" i="77"/>
  <c r="J197" i="77"/>
  <c r="M972" i="77"/>
  <c r="K972" i="77"/>
  <c r="K1093" i="77" s="1"/>
  <c r="I972" i="77"/>
  <c r="I1093" i="77" s="1"/>
  <c r="G972" i="77"/>
  <c r="G1093" i="77" s="1"/>
  <c r="L995" i="77"/>
  <c r="H995" i="77"/>
  <c r="N1013" i="77"/>
  <c r="N1049" i="77" s="1"/>
  <c r="J1013" i="77"/>
  <c r="J1049" i="77" s="1"/>
  <c r="F1013" i="77"/>
  <c r="M995" i="77"/>
  <c r="I995" i="77"/>
  <c r="J938" i="77"/>
  <c r="L197" i="77"/>
  <c r="H197" i="77"/>
  <c r="M63" i="73"/>
  <c r="L63" i="73"/>
  <c r="K63" i="73"/>
  <c r="J63" i="73"/>
  <c r="I63" i="73"/>
  <c r="H63" i="73"/>
  <c r="G63" i="73"/>
  <c r="F63" i="73"/>
  <c r="E63" i="73"/>
  <c r="M62" i="73"/>
  <c r="L62" i="73"/>
  <c r="K62" i="73"/>
  <c r="J62" i="73"/>
  <c r="I62" i="73"/>
  <c r="H62" i="73"/>
  <c r="G62" i="73"/>
  <c r="F62" i="73"/>
  <c r="E62" i="73"/>
  <c r="M61" i="73"/>
  <c r="L61" i="73"/>
  <c r="K61" i="73"/>
  <c r="J61" i="73"/>
  <c r="I61" i="73"/>
  <c r="H61" i="73"/>
  <c r="G61" i="73"/>
  <c r="F61" i="73"/>
  <c r="E61" i="73"/>
  <c r="M60" i="73"/>
  <c r="L60" i="73"/>
  <c r="K60" i="73"/>
  <c r="J60" i="73"/>
  <c r="I60" i="73"/>
  <c r="H60" i="73"/>
  <c r="G60" i="73"/>
  <c r="F60" i="73"/>
  <c r="E60" i="73"/>
  <c r="M59" i="73"/>
  <c r="L59" i="73"/>
  <c r="K59" i="73"/>
  <c r="J59" i="73"/>
  <c r="I59" i="73"/>
  <c r="H59" i="73"/>
  <c r="G59" i="73"/>
  <c r="F59" i="73"/>
  <c r="E59" i="73"/>
  <c r="M58" i="73"/>
  <c r="L58" i="73"/>
  <c r="K58" i="73"/>
  <c r="J58" i="73"/>
  <c r="I58" i="73"/>
  <c r="H58" i="73"/>
  <c r="G58" i="73"/>
  <c r="F58" i="73"/>
  <c r="E58" i="73"/>
  <c r="M57" i="73"/>
  <c r="L57" i="73"/>
  <c r="K57" i="73"/>
  <c r="J57" i="73"/>
  <c r="I57" i="73"/>
  <c r="H57" i="73"/>
  <c r="G57" i="73"/>
  <c r="F57" i="73"/>
  <c r="E57" i="73"/>
  <c r="M56" i="73"/>
  <c r="L56" i="73"/>
  <c r="K56" i="73"/>
  <c r="J56" i="73"/>
  <c r="I56" i="73"/>
  <c r="H56" i="73"/>
  <c r="G56" i="73"/>
  <c r="F56" i="73"/>
  <c r="E56" i="73"/>
  <c r="M55" i="73"/>
  <c r="L55" i="73"/>
  <c r="K55" i="73"/>
  <c r="J55" i="73"/>
  <c r="I55" i="73"/>
  <c r="H55" i="73"/>
  <c r="G55" i="73"/>
  <c r="F55" i="73"/>
  <c r="E55" i="73"/>
  <c r="M53" i="73"/>
  <c r="L53" i="73"/>
  <c r="K53" i="73"/>
  <c r="J53" i="73"/>
  <c r="I53" i="73"/>
  <c r="H53" i="73"/>
  <c r="G53" i="73"/>
  <c r="F53" i="73"/>
  <c r="E53" i="73"/>
  <c r="M50" i="73"/>
  <c r="L50" i="73"/>
  <c r="K50" i="73"/>
  <c r="J50" i="73"/>
  <c r="I50" i="73"/>
  <c r="H50" i="73"/>
  <c r="G50" i="73"/>
  <c r="F50" i="73"/>
  <c r="E50" i="73"/>
  <c r="M49" i="73"/>
  <c r="L49" i="73"/>
  <c r="K49" i="73"/>
  <c r="J49" i="73"/>
  <c r="I49" i="73"/>
  <c r="H49" i="73"/>
  <c r="G49" i="73"/>
  <c r="F49" i="73"/>
  <c r="E49" i="73"/>
  <c r="M48" i="73"/>
  <c r="L48" i="73"/>
  <c r="K48" i="73"/>
  <c r="J48" i="73"/>
  <c r="I48" i="73"/>
  <c r="H48" i="73"/>
  <c r="G48" i="73"/>
  <c r="F48" i="73"/>
  <c r="E48" i="73"/>
  <c r="M47" i="73"/>
  <c r="L47" i="73"/>
  <c r="K47" i="73"/>
  <c r="J47" i="73"/>
  <c r="I47" i="73"/>
  <c r="H47" i="73"/>
  <c r="G47" i="73"/>
  <c r="F47" i="73"/>
  <c r="E47" i="73"/>
  <c r="M46" i="73"/>
  <c r="L46" i="73"/>
  <c r="K46" i="73"/>
  <c r="J46" i="73"/>
  <c r="I46" i="73"/>
  <c r="H46" i="73"/>
  <c r="G46" i="73"/>
  <c r="F46" i="73"/>
  <c r="E46" i="73"/>
  <c r="M43" i="73"/>
  <c r="L43" i="73"/>
  <c r="K43" i="73"/>
  <c r="J43" i="73"/>
  <c r="I43" i="73"/>
  <c r="H43" i="73"/>
  <c r="G43" i="73"/>
  <c r="F43" i="73"/>
  <c r="E43" i="73"/>
  <c r="M45" i="73"/>
  <c r="L45" i="73"/>
  <c r="K45" i="73"/>
  <c r="J45" i="73"/>
  <c r="I45" i="73"/>
  <c r="H45" i="73"/>
  <c r="G45" i="73"/>
  <c r="F45" i="73"/>
  <c r="E45" i="73"/>
  <c r="M44" i="73"/>
  <c r="L44" i="73"/>
  <c r="K44" i="73"/>
  <c r="J44" i="73"/>
  <c r="I44" i="73"/>
  <c r="H44" i="73"/>
  <c r="G44" i="73"/>
  <c r="F44" i="73"/>
  <c r="E44" i="73"/>
  <c r="M42" i="73"/>
  <c r="L42" i="73"/>
  <c r="K42" i="73"/>
  <c r="J42" i="73"/>
  <c r="I42" i="73"/>
  <c r="H42" i="73"/>
  <c r="G42" i="73"/>
  <c r="F42" i="73"/>
  <c r="E42" i="73"/>
  <c r="M39" i="73"/>
  <c r="L39" i="73"/>
  <c r="K39" i="73"/>
  <c r="J39" i="73"/>
  <c r="I39" i="73"/>
  <c r="H39" i="73"/>
  <c r="G39" i="73"/>
  <c r="F39" i="73"/>
  <c r="E39" i="73"/>
  <c r="M38" i="73"/>
  <c r="L38" i="73"/>
  <c r="K38" i="73"/>
  <c r="J38" i="73"/>
  <c r="I38" i="73"/>
  <c r="H38" i="73"/>
  <c r="G38" i="73"/>
  <c r="F38" i="73"/>
  <c r="E38" i="73"/>
  <c r="M37" i="73"/>
  <c r="L37" i="73"/>
  <c r="K37" i="73"/>
  <c r="J37" i="73"/>
  <c r="I37" i="73"/>
  <c r="H37" i="73"/>
  <c r="G37" i="73"/>
  <c r="F37" i="73"/>
  <c r="A30" i="73"/>
  <c r="A29" i="73"/>
  <c r="F24" i="96" l="1"/>
  <c r="F29" i="96" s="1"/>
  <c r="F1046" i="77"/>
  <c r="R1045" i="77"/>
  <c r="R1046" i="77" s="1"/>
  <c r="R23" i="77"/>
  <c r="H65" i="73"/>
  <c r="H66" i="73" s="1"/>
  <c r="L65" i="73"/>
  <c r="L66" i="73" s="1"/>
  <c r="I65" i="73"/>
  <c r="I66" i="73" s="1"/>
  <c r="M65" i="73"/>
  <c r="M66" i="73" s="1"/>
  <c r="F65" i="73"/>
  <c r="F66" i="73" s="1"/>
  <c r="J65" i="73"/>
  <c r="J66" i="73" s="1"/>
  <c r="G65" i="73"/>
  <c r="G66" i="73" s="1"/>
  <c r="K65" i="73"/>
  <c r="K66" i="73" s="1"/>
  <c r="R413" i="77"/>
  <c r="F938" i="77"/>
  <c r="R938" i="77" s="1"/>
  <c r="R197" i="77"/>
  <c r="R972" i="77"/>
  <c r="R1013" i="77"/>
  <c r="J985" i="77"/>
  <c r="R976" i="77"/>
  <c r="F984" i="77"/>
  <c r="F985" i="77" s="1"/>
  <c r="R575" i="77"/>
  <c r="R721" i="77"/>
  <c r="Q62" i="73"/>
  <c r="Q63" i="73"/>
  <c r="D21" i="98" s="1"/>
  <c r="Q38" i="73"/>
  <c r="Q39" i="73"/>
  <c r="Q42" i="73"/>
  <c r="Q44" i="73"/>
  <c r="Q45" i="73"/>
  <c r="Q43" i="73"/>
  <c r="D12" i="98" s="1"/>
  <c r="F12" i="98" s="1"/>
  <c r="Q46" i="73"/>
  <c r="Q47" i="73"/>
  <c r="Q48" i="73"/>
  <c r="Q49" i="73"/>
  <c r="Q50" i="73"/>
  <c r="D20" i="98" s="1"/>
  <c r="Q53" i="73"/>
  <c r="Q55" i="73"/>
  <c r="Q56" i="73"/>
  <c r="Q57" i="73"/>
  <c r="Q58" i="73"/>
  <c r="Q59" i="73"/>
  <c r="Q60" i="73"/>
  <c r="D18" i="98" s="1"/>
  <c r="F18" i="98" s="1"/>
  <c r="Q61" i="73"/>
  <c r="R995" i="77"/>
  <c r="Q37" i="73"/>
  <c r="N985" i="77"/>
  <c r="K903" i="77"/>
  <c r="K887" i="77"/>
  <c r="G903" i="77"/>
  <c r="G887" i="77"/>
  <c r="H62" i="77"/>
  <c r="J61" i="77"/>
  <c r="L66" i="77"/>
  <c r="L1070" i="77" s="1"/>
  <c r="N62" i="77"/>
  <c r="G66" i="77"/>
  <c r="G1070" i="77" s="1"/>
  <c r="I909" i="77"/>
  <c r="I940" i="77" s="1"/>
  <c r="K66" i="77"/>
  <c r="K1070" i="77" s="1"/>
  <c r="M909" i="77"/>
  <c r="M940" i="77" s="1"/>
  <c r="E65" i="73"/>
  <c r="E66" i="73" s="1"/>
  <c r="I985" i="77"/>
  <c r="M985" i="77"/>
  <c r="R366" i="77"/>
  <c r="R531" i="77"/>
  <c r="R665" i="77"/>
  <c r="G985" i="77"/>
  <c r="K985" i="77"/>
  <c r="D10" i="98" l="1"/>
  <c r="D14" i="98"/>
  <c r="F14" i="98" s="1"/>
  <c r="F10" i="98"/>
  <c r="D17" i="98"/>
  <c r="F17" i="98" s="1"/>
  <c r="D16" i="98"/>
  <c r="D13" i="98"/>
  <c r="F21" i="98"/>
  <c r="F20" i="98"/>
  <c r="D15" i="98"/>
  <c r="D11" i="98"/>
  <c r="F11" i="98" s="1"/>
  <c r="D19" i="98"/>
  <c r="Q66" i="73"/>
  <c r="R984" i="77"/>
  <c r="R985" i="77" s="1"/>
  <c r="R1049" i="77"/>
  <c r="Q65" i="73"/>
  <c r="H61" i="77"/>
  <c r="J66" i="77"/>
  <c r="J1070" i="77" s="1"/>
  <c r="M61" i="77"/>
  <c r="N61" i="77"/>
  <c r="N64" i="77" s="1"/>
  <c r="N909" i="77"/>
  <c r="N940" i="77" s="1"/>
  <c r="L62" i="77"/>
  <c r="L1015" i="77" s="1"/>
  <c r="L909" i="77"/>
  <c r="L940" i="77" s="1"/>
  <c r="J909" i="77"/>
  <c r="J940" i="77" s="1"/>
  <c r="J62" i="77"/>
  <c r="J1015" i="77" s="1"/>
  <c r="H909" i="77"/>
  <c r="H940" i="77" s="1"/>
  <c r="H66" i="77"/>
  <c r="H1070" i="77" s="1"/>
  <c r="G61" i="77"/>
  <c r="I61" i="77"/>
  <c r="M66" i="77"/>
  <c r="M1070" i="77" s="1"/>
  <c r="G62" i="77"/>
  <c r="G1015" i="77" s="1"/>
  <c r="K61" i="77"/>
  <c r="K62" i="77"/>
  <c r="K1015" i="77" s="1"/>
  <c r="I66" i="77"/>
  <c r="I1070" i="77" s="1"/>
  <c r="M62" i="77"/>
  <c r="M989" i="77" s="1"/>
  <c r="G909" i="77"/>
  <c r="G940" i="77" s="1"/>
  <c r="K909" i="77"/>
  <c r="K940" i="77" s="1"/>
  <c r="I62" i="77"/>
  <c r="I1015" i="77" s="1"/>
  <c r="N66" i="77"/>
  <c r="N1070" i="77" s="1"/>
  <c r="L61" i="77"/>
  <c r="K904" i="77"/>
  <c r="G904" i="77"/>
  <c r="I903" i="77"/>
  <c r="I887" i="77"/>
  <c r="M903" i="77"/>
  <c r="M887" i="77"/>
  <c r="N903" i="77"/>
  <c r="N887" i="77"/>
  <c r="L903" i="77"/>
  <c r="L887" i="77"/>
  <c r="J903" i="77"/>
  <c r="J887" i="77"/>
  <c r="H903" i="77"/>
  <c r="H887" i="77"/>
  <c r="F887" i="77"/>
  <c r="N1015" i="77"/>
  <c r="N989" i="77"/>
  <c r="J997" i="77"/>
  <c r="H989" i="77"/>
  <c r="H1015" i="77"/>
  <c r="M931" i="77"/>
  <c r="M797" i="77"/>
  <c r="M810" i="77" s="1"/>
  <c r="M811" i="77" s="1"/>
  <c r="M812" i="77"/>
  <c r="M818" i="77" s="1"/>
  <c r="K931" i="77"/>
  <c r="K797" i="77"/>
  <c r="K810" i="77" s="1"/>
  <c r="K811" i="77" s="1"/>
  <c r="K812" i="77"/>
  <c r="K818" i="77" s="1"/>
  <c r="I931" i="77"/>
  <c r="I797" i="77"/>
  <c r="I810" i="77" s="1"/>
  <c r="I811" i="77" s="1"/>
  <c r="I812" i="77"/>
  <c r="I818" i="77" s="1"/>
  <c r="G931" i="77"/>
  <c r="G797" i="77"/>
  <c r="G810" i="77" s="1"/>
  <c r="G811" i="77" s="1"/>
  <c r="G812" i="77"/>
  <c r="G818" i="77" s="1"/>
  <c r="M700" i="77"/>
  <c r="M713" i="77" s="1"/>
  <c r="M714" i="77" s="1"/>
  <c r="M919" i="77"/>
  <c r="M715" i="77"/>
  <c r="M716" i="77"/>
  <c r="M726" i="77"/>
  <c r="K919" i="77"/>
  <c r="K700" i="77"/>
  <c r="K713" i="77" s="1"/>
  <c r="K714" i="77" s="1"/>
  <c r="K726" i="77"/>
  <c r="K715" i="77"/>
  <c r="K716" i="77"/>
  <c r="I700" i="77"/>
  <c r="I713" i="77" s="1"/>
  <c r="I714" i="77" s="1"/>
  <c r="I919" i="77"/>
  <c r="I715" i="77"/>
  <c r="I716" i="77"/>
  <c r="I726" i="77"/>
  <c r="G919" i="77"/>
  <c r="G700" i="77"/>
  <c r="G713" i="77" s="1"/>
  <c r="G714" i="77" s="1"/>
  <c r="G726" i="77"/>
  <c r="G715" i="77"/>
  <c r="G716" i="77"/>
  <c r="M918" i="77"/>
  <c r="M569" i="77"/>
  <c r="M570" i="77"/>
  <c r="M580" i="77"/>
  <c r="M558" i="77"/>
  <c r="M567" i="77" s="1"/>
  <c r="M568" i="77" s="1"/>
  <c r="K918" i="77"/>
  <c r="K569" i="77"/>
  <c r="K570" i="77"/>
  <c r="K580" i="77"/>
  <c r="K558" i="77"/>
  <c r="K567" i="77" s="1"/>
  <c r="K568" i="77" s="1"/>
  <c r="I918" i="77"/>
  <c r="I569" i="77"/>
  <c r="I570" i="77"/>
  <c r="I580" i="77"/>
  <c r="I558" i="77"/>
  <c r="I567" i="77" s="1"/>
  <c r="I568" i="77" s="1"/>
  <c r="G918" i="77"/>
  <c r="G569" i="77"/>
  <c r="G570" i="77"/>
  <c r="G580" i="77"/>
  <c r="G558" i="77"/>
  <c r="G567" i="77" s="1"/>
  <c r="G568" i="77" s="1"/>
  <c r="M929" i="77"/>
  <c r="M474" i="77"/>
  <c r="M484" i="77" s="1"/>
  <c r="M485" i="77" s="1"/>
  <c r="M486" i="77"/>
  <c r="K929" i="77"/>
  <c r="K474" i="77"/>
  <c r="K484" i="77" s="1"/>
  <c r="K485" i="77" s="1"/>
  <c r="K486" i="77"/>
  <c r="I929" i="77"/>
  <c r="I474" i="77"/>
  <c r="I484" i="77" s="1"/>
  <c r="I485" i="77" s="1"/>
  <c r="I486" i="77"/>
  <c r="G929" i="77"/>
  <c r="G474" i="77"/>
  <c r="G484" i="77" s="1"/>
  <c r="G485" i="77" s="1"/>
  <c r="G486" i="77"/>
  <c r="M917" i="77"/>
  <c r="M395" i="77"/>
  <c r="M405" i="77" s="1"/>
  <c r="M406" i="77" s="1"/>
  <c r="M407" i="77"/>
  <c r="M408" i="77"/>
  <c r="M418" i="77"/>
  <c r="K917" i="77"/>
  <c r="K395" i="77"/>
  <c r="K405" i="77" s="1"/>
  <c r="K406" i="77" s="1"/>
  <c r="K407" i="77"/>
  <c r="K408" i="77"/>
  <c r="K418" i="77"/>
  <c r="I917" i="77"/>
  <c r="I395" i="77"/>
  <c r="I405" i="77" s="1"/>
  <c r="I406" i="77" s="1"/>
  <c r="I407" i="77"/>
  <c r="I408" i="77"/>
  <c r="I418" i="77"/>
  <c r="G917" i="77"/>
  <c r="G395" i="77"/>
  <c r="G405" i="77" s="1"/>
  <c r="G406" i="77" s="1"/>
  <c r="G407" i="77"/>
  <c r="G408" i="77"/>
  <c r="G418" i="77"/>
  <c r="M928" i="77"/>
  <c r="M305" i="77"/>
  <c r="M315" i="77" s="1"/>
  <c r="M316" i="77" s="1"/>
  <c r="M317" i="77"/>
  <c r="M318" i="77"/>
  <c r="K928" i="77"/>
  <c r="K305" i="77"/>
  <c r="K315" i="77" s="1"/>
  <c r="K316" i="77" s="1"/>
  <c r="K317" i="77"/>
  <c r="K318" i="77"/>
  <c r="I928" i="77"/>
  <c r="I305" i="77"/>
  <c r="I315" i="77" s="1"/>
  <c r="I316" i="77" s="1"/>
  <c r="I317" i="77"/>
  <c r="I318" i="77"/>
  <c r="G928" i="77"/>
  <c r="G305" i="77"/>
  <c r="G315" i="77" s="1"/>
  <c r="G316" i="77" s="1"/>
  <c r="G317" i="77"/>
  <c r="G318" i="77"/>
  <c r="N931" i="77"/>
  <c r="N797" i="77"/>
  <c r="N810" i="77" s="1"/>
  <c r="N811" i="77" s="1"/>
  <c r="N812" i="77"/>
  <c r="N818" i="77" s="1"/>
  <c r="L931" i="77"/>
  <c r="L797" i="77"/>
  <c r="L810" i="77" s="1"/>
  <c r="L811" i="77" s="1"/>
  <c r="L812" i="77"/>
  <c r="L818" i="77" s="1"/>
  <c r="J931" i="77"/>
  <c r="J797" i="77"/>
  <c r="J810" i="77" s="1"/>
  <c r="J811" i="77" s="1"/>
  <c r="J812" i="77"/>
  <c r="J818" i="77" s="1"/>
  <c r="H931" i="77"/>
  <c r="H797" i="77"/>
  <c r="H810" i="77" s="1"/>
  <c r="H811" i="77" s="1"/>
  <c r="H812" i="77"/>
  <c r="H818" i="77" s="1"/>
  <c r="N919" i="77"/>
  <c r="N715" i="77"/>
  <c r="N716" i="77"/>
  <c r="N726" i="77"/>
  <c r="N700" i="77"/>
  <c r="N713" i="77" s="1"/>
  <c r="N714" i="77" s="1"/>
  <c r="L919" i="77"/>
  <c r="L715" i="77"/>
  <c r="L716" i="77"/>
  <c r="L726" i="77"/>
  <c r="L700" i="77"/>
  <c r="L713" i="77" s="1"/>
  <c r="L714" i="77" s="1"/>
  <c r="J919" i="77"/>
  <c r="J715" i="77"/>
  <c r="J716" i="77"/>
  <c r="J726" i="77"/>
  <c r="J700" i="77"/>
  <c r="J713" i="77" s="1"/>
  <c r="J714" i="77" s="1"/>
  <c r="H919" i="77"/>
  <c r="H715" i="77"/>
  <c r="H716" i="77"/>
  <c r="H726" i="77"/>
  <c r="H700" i="77"/>
  <c r="H713" i="77" s="1"/>
  <c r="H714" i="77" s="1"/>
  <c r="N918" i="77"/>
  <c r="N558" i="77"/>
  <c r="N567" i="77" s="1"/>
  <c r="N568" i="77" s="1"/>
  <c r="N569" i="77"/>
  <c r="N570" i="77"/>
  <c r="N580" i="77"/>
  <c r="L918" i="77"/>
  <c r="L558" i="77"/>
  <c r="L567" i="77" s="1"/>
  <c r="L568" i="77" s="1"/>
  <c r="L569" i="77"/>
  <c r="L570" i="77"/>
  <c r="L580" i="77"/>
  <c r="J918" i="77"/>
  <c r="J558" i="77"/>
  <c r="J567" i="77" s="1"/>
  <c r="J568" i="77" s="1"/>
  <c r="J569" i="77"/>
  <c r="J570" i="77"/>
  <c r="J580" i="77"/>
  <c r="H918" i="77"/>
  <c r="H558" i="77"/>
  <c r="H567" i="77" s="1"/>
  <c r="H568" i="77" s="1"/>
  <c r="H569" i="77"/>
  <c r="H570" i="77"/>
  <c r="H580" i="77"/>
  <c r="N929" i="77"/>
  <c r="N474" i="77"/>
  <c r="N484" i="77" s="1"/>
  <c r="N485" i="77" s="1"/>
  <c r="N486" i="77"/>
  <c r="L929" i="77"/>
  <c r="L474" i="77"/>
  <c r="L484" i="77" s="1"/>
  <c r="L485" i="77" s="1"/>
  <c r="L486" i="77"/>
  <c r="J929" i="77"/>
  <c r="J474" i="77"/>
  <c r="J484" i="77" s="1"/>
  <c r="J485" i="77" s="1"/>
  <c r="J486" i="77"/>
  <c r="H929" i="77"/>
  <c r="H474" i="77"/>
  <c r="H484" i="77" s="1"/>
  <c r="H485" i="77" s="1"/>
  <c r="H486" i="77"/>
  <c r="N917" i="77"/>
  <c r="N395" i="77"/>
  <c r="N405" i="77" s="1"/>
  <c r="N406" i="77" s="1"/>
  <c r="N407" i="77"/>
  <c r="N408" i="77"/>
  <c r="N418" i="77"/>
  <c r="L917" i="77"/>
  <c r="L395" i="77"/>
  <c r="L405" i="77" s="1"/>
  <c r="L406" i="77" s="1"/>
  <c r="L407" i="77"/>
  <c r="L408" i="77"/>
  <c r="L418" i="77"/>
  <c r="J917" i="77"/>
  <c r="J395" i="77"/>
  <c r="J405" i="77" s="1"/>
  <c r="J406" i="77" s="1"/>
  <c r="J407" i="77"/>
  <c r="J408" i="77"/>
  <c r="J418" i="77"/>
  <c r="H917" i="77"/>
  <c r="H395" i="77"/>
  <c r="H405" i="77" s="1"/>
  <c r="H406" i="77" s="1"/>
  <c r="H407" i="77"/>
  <c r="H408" i="77"/>
  <c r="H418" i="77"/>
  <c r="N928" i="77"/>
  <c r="N305" i="77"/>
  <c r="N315" i="77" s="1"/>
  <c r="N316" i="77" s="1"/>
  <c r="N317" i="77"/>
  <c r="N318" i="77"/>
  <c r="L928" i="77"/>
  <c r="L305" i="77"/>
  <c r="L315" i="77" s="1"/>
  <c r="L316" i="77" s="1"/>
  <c r="L317" i="77"/>
  <c r="L318" i="77"/>
  <c r="J928" i="77"/>
  <c r="J305" i="77"/>
  <c r="J315" i="77" s="1"/>
  <c r="J316" i="77" s="1"/>
  <c r="J317" i="77"/>
  <c r="J318" i="77"/>
  <c r="H928" i="77"/>
  <c r="H305" i="77"/>
  <c r="H315" i="77" s="1"/>
  <c r="H316" i="77" s="1"/>
  <c r="H317" i="77"/>
  <c r="H318" i="77"/>
  <c r="N724" i="77" l="1"/>
  <c r="L816" i="77"/>
  <c r="G724" i="77"/>
  <c r="M724" i="77"/>
  <c r="K816" i="77"/>
  <c r="H816" i="77"/>
  <c r="G816" i="77"/>
  <c r="J816" i="77"/>
  <c r="I816" i="77"/>
  <c r="N816" i="77"/>
  <c r="M816" i="77"/>
  <c r="L724" i="77"/>
  <c r="H724" i="77"/>
  <c r="J724" i="77"/>
  <c r="I724" i="77"/>
  <c r="K724" i="77"/>
  <c r="H578" i="77"/>
  <c r="M578" i="77"/>
  <c r="J578" i="77"/>
  <c r="G578" i="77"/>
  <c r="L578" i="77"/>
  <c r="I578" i="77"/>
  <c r="N578" i="77"/>
  <c r="K578" i="77"/>
  <c r="J490" i="77"/>
  <c r="I490" i="77"/>
  <c r="N490" i="77"/>
  <c r="M490" i="77"/>
  <c r="L490" i="77"/>
  <c r="K490" i="77"/>
  <c r="H490" i="77"/>
  <c r="G490" i="77"/>
  <c r="N416" i="77"/>
  <c r="M416" i="77"/>
  <c r="H416" i="77"/>
  <c r="G416" i="77"/>
  <c r="J416" i="77"/>
  <c r="I416" i="77"/>
  <c r="L416" i="77"/>
  <c r="K416" i="77"/>
  <c r="H322" i="77"/>
  <c r="J322" i="77"/>
  <c r="L322" i="77"/>
  <c r="N322" i="77"/>
  <c r="G322" i="77"/>
  <c r="I322" i="77"/>
  <c r="K322" i="77"/>
  <c r="M322" i="77"/>
  <c r="L997" i="77"/>
  <c r="L64" i="77"/>
  <c r="K997" i="77"/>
  <c r="K64" i="77"/>
  <c r="G997" i="77"/>
  <c r="G64" i="77"/>
  <c r="M997" i="77"/>
  <c r="M64" i="77"/>
  <c r="I997" i="77"/>
  <c r="I64" i="77"/>
  <c r="H997" i="77"/>
  <c r="H64" i="77"/>
  <c r="J64" i="77"/>
  <c r="F15" i="98"/>
  <c r="F13" i="98"/>
  <c r="F19" i="98"/>
  <c r="F16" i="98"/>
  <c r="D22" i="98"/>
  <c r="F608" i="77"/>
  <c r="F931" i="77"/>
  <c r="R931" i="77" s="1"/>
  <c r="F812" i="77"/>
  <c r="R812" i="77" s="1"/>
  <c r="F797" i="77"/>
  <c r="F810" i="77" s="1"/>
  <c r="J989" i="77"/>
  <c r="F903" i="77"/>
  <c r="F904" i="77" s="1"/>
  <c r="R894" i="77"/>
  <c r="J925" i="77"/>
  <c r="J948" i="77" s="1"/>
  <c r="N997" i="77"/>
  <c r="L989" i="77"/>
  <c r="M1015" i="77"/>
  <c r="K989" i="77"/>
  <c r="G989" i="77"/>
  <c r="I989" i="77"/>
  <c r="M904" i="77"/>
  <c r="H904" i="77"/>
  <c r="J904" i="77"/>
  <c r="L904" i="77"/>
  <c r="N904" i="77"/>
  <c r="R887" i="77"/>
  <c r="I904" i="77"/>
  <c r="H415" i="77"/>
  <c r="L415" i="77"/>
  <c r="H492" i="77"/>
  <c r="L492" i="77"/>
  <c r="H577" i="77"/>
  <c r="L577" i="77"/>
  <c r="F597" i="77"/>
  <c r="H930" i="77"/>
  <c r="H949" i="77" s="1"/>
  <c r="H597" i="77"/>
  <c r="H606" i="77" s="1"/>
  <c r="H607" i="77" s="1"/>
  <c r="H608" i="77"/>
  <c r="J930" i="77"/>
  <c r="J949" i="77" s="1"/>
  <c r="J597" i="77"/>
  <c r="J606" i="77" s="1"/>
  <c r="J607" i="77" s="1"/>
  <c r="J608" i="77"/>
  <c r="L930" i="77"/>
  <c r="L949" i="77" s="1"/>
  <c r="L597" i="77"/>
  <c r="L606" i="77" s="1"/>
  <c r="L607" i="77" s="1"/>
  <c r="L608" i="77"/>
  <c r="N930" i="77"/>
  <c r="N949" i="77" s="1"/>
  <c r="N597" i="77"/>
  <c r="N606" i="77" s="1"/>
  <c r="N607" i="77" s="1"/>
  <c r="N608" i="77"/>
  <c r="J723" i="77"/>
  <c r="N723" i="77"/>
  <c r="I415" i="77"/>
  <c r="M415" i="77"/>
  <c r="G492" i="77"/>
  <c r="K492" i="77"/>
  <c r="G577" i="77"/>
  <c r="K577" i="77"/>
  <c r="H324" i="77"/>
  <c r="J324" i="77"/>
  <c r="L324" i="77"/>
  <c r="N324" i="77"/>
  <c r="J415" i="77"/>
  <c r="N415" i="77"/>
  <c r="J492" i="77"/>
  <c r="N492" i="77"/>
  <c r="J577" i="77"/>
  <c r="N577" i="77"/>
  <c r="H723" i="77"/>
  <c r="L723" i="77"/>
  <c r="G324" i="77"/>
  <c r="I324" i="77"/>
  <c r="K324" i="77"/>
  <c r="M324" i="77"/>
  <c r="G415" i="77"/>
  <c r="K415" i="77"/>
  <c r="I492" i="77"/>
  <c r="M492" i="77"/>
  <c r="I577" i="77"/>
  <c r="M577" i="77"/>
  <c r="G930" i="77"/>
  <c r="G949" i="77" s="1"/>
  <c r="G597" i="77"/>
  <c r="G606" i="77" s="1"/>
  <c r="G607" i="77" s="1"/>
  <c r="G608" i="77"/>
  <c r="I930" i="77"/>
  <c r="I949" i="77" s="1"/>
  <c r="I597" i="77"/>
  <c r="I606" i="77" s="1"/>
  <c r="I607" i="77" s="1"/>
  <c r="I608" i="77"/>
  <c r="K930" i="77"/>
  <c r="K949" i="77" s="1"/>
  <c r="K597" i="77"/>
  <c r="K606" i="77" s="1"/>
  <c r="K607" i="77" s="1"/>
  <c r="K608" i="77"/>
  <c r="M930" i="77"/>
  <c r="M949" i="77" s="1"/>
  <c r="M597" i="77"/>
  <c r="M606" i="77" s="1"/>
  <c r="M607" i="77" s="1"/>
  <c r="M608" i="77"/>
  <c r="G723" i="77"/>
  <c r="I723" i="77"/>
  <c r="K723" i="77"/>
  <c r="M723" i="77"/>
  <c r="F26" i="52"/>
  <c r="F27" i="52"/>
  <c r="F28" i="52"/>
  <c r="F29" i="52"/>
  <c r="F30" i="52"/>
  <c r="F31" i="52"/>
  <c r="G26" i="52"/>
  <c r="G27" i="52"/>
  <c r="G28" i="52"/>
  <c r="G29" i="52"/>
  <c r="G30" i="52"/>
  <c r="G31" i="52"/>
  <c r="H26" i="52"/>
  <c r="H27" i="52"/>
  <c r="H28" i="52"/>
  <c r="H29" i="52"/>
  <c r="H30" i="52"/>
  <c r="H31" i="52"/>
  <c r="I26" i="52"/>
  <c r="I27" i="52"/>
  <c r="I28" i="52"/>
  <c r="I29" i="52"/>
  <c r="I30" i="52"/>
  <c r="I31" i="52"/>
  <c r="J26" i="52"/>
  <c r="J27" i="52"/>
  <c r="J28" i="52"/>
  <c r="J29" i="52"/>
  <c r="J30" i="52"/>
  <c r="J31" i="52"/>
  <c r="K26" i="52"/>
  <c r="K27" i="52"/>
  <c r="K28" i="52"/>
  <c r="K29" i="52"/>
  <c r="K30" i="52"/>
  <c r="K31" i="52"/>
  <c r="L26" i="52"/>
  <c r="L27" i="52"/>
  <c r="L28" i="52"/>
  <c r="L29" i="52"/>
  <c r="L30" i="52"/>
  <c r="L31" i="52"/>
  <c r="M26" i="52"/>
  <c r="M27" i="52"/>
  <c r="M28" i="52"/>
  <c r="M29" i="52"/>
  <c r="M30" i="52"/>
  <c r="M31" i="52"/>
  <c r="N26" i="52"/>
  <c r="N27" i="52"/>
  <c r="N28" i="52"/>
  <c r="N29" i="52"/>
  <c r="N30" i="52"/>
  <c r="N31" i="52"/>
  <c r="F55" i="52"/>
  <c r="F56" i="52"/>
  <c r="F57" i="52"/>
  <c r="F58" i="52"/>
  <c r="F59" i="52"/>
  <c r="F60" i="52"/>
  <c r="F61" i="52"/>
  <c r="G55" i="52"/>
  <c r="G56" i="52"/>
  <c r="G57" i="52"/>
  <c r="G58" i="52"/>
  <c r="G59" i="52"/>
  <c r="G60" i="52"/>
  <c r="G61" i="52"/>
  <c r="H55" i="52"/>
  <c r="H56" i="52"/>
  <c r="H57" i="52"/>
  <c r="H58" i="52"/>
  <c r="H59" i="52"/>
  <c r="H60" i="52"/>
  <c r="H61" i="52"/>
  <c r="I55" i="52"/>
  <c r="I56" i="52"/>
  <c r="I57" i="52"/>
  <c r="I58" i="52"/>
  <c r="I59" i="52"/>
  <c r="I60" i="52"/>
  <c r="I61" i="52"/>
  <c r="J55" i="52"/>
  <c r="J56" i="52"/>
  <c r="J57" i="52"/>
  <c r="J58" i="52"/>
  <c r="J59" i="52"/>
  <c r="J60" i="52"/>
  <c r="J61" i="52"/>
  <c r="K55" i="52"/>
  <c r="K56" i="52"/>
  <c r="K57" i="52"/>
  <c r="K58" i="52"/>
  <c r="K59" i="52"/>
  <c r="K60" i="52"/>
  <c r="K61" i="52"/>
  <c r="L55" i="52"/>
  <c r="L56" i="52"/>
  <c r="L57" i="52"/>
  <c r="L58" i="52"/>
  <c r="L59" i="52"/>
  <c r="L60" i="52"/>
  <c r="L61" i="52"/>
  <c r="M55" i="52"/>
  <c r="M56" i="52"/>
  <c r="M57" i="52"/>
  <c r="M58" i="52"/>
  <c r="M59" i="52"/>
  <c r="M60" i="52"/>
  <c r="M61" i="52"/>
  <c r="N55" i="52"/>
  <c r="N56" i="52"/>
  <c r="N57" i="52"/>
  <c r="N58" i="52"/>
  <c r="N59" i="52"/>
  <c r="N60" i="52"/>
  <c r="N61" i="52"/>
  <c r="F79" i="52"/>
  <c r="F80" i="52"/>
  <c r="F81" i="52"/>
  <c r="F82" i="52"/>
  <c r="G79" i="52"/>
  <c r="G80" i="52"/>
  <c r="G81" i="52"/>
  <c r="G82" i="52"/>
  <c r="H79" i="52"/>
  <c r="H80" i="52"/>
  <c r="H81" i="52"/>
  <c r="H82" i="52"/>
  <c r="I79" i="52"/>
  <c r="I80" i="52"/>
  <c r="I81" i="52"/>
  <c r="I82" i="52"/>
  <c r="J79" i="52"/>
  <c r="J80" i="52"/>
  <c r="J81" i="52"/>
  <c r="J82" i="52"/>
  <c r="K79" i="52"/>
  <c r="K80" i="52"/>
  <c r="K81" i="52"/>
  <c r="K82" i="52"/>
  <c r="L79" i="52"/>
  <c r="L80" i="52"/>
  <c r="L81" i="52"/>
  <c r="L82" i="52"/>
  <c r="M79" i="52"/>
  <c r="M80" i="52"/>
  <c r="M81" i="52"/>
  <c r="M82" i="52"/>
  <c r="N79" i="52"/>
  <c r="N80" i="52"/>
  <c r="N81" i="52"/>
  <c r="N82" i="52"/>
  <c r="I55" i="33"/>
  <c r="J55" i="33"/>
  <c r="K55" i="33"/>
  <c r="N23" i="52"/>
  <c r="N87" i="52" s="1"/>
  <c r="N52" i="52"/>
  <c r="N88" i="52" s="1"/>
  <c r="N76" i="52"/>
  <c r="N89" i="52" s="1"/>
  <c r="M76" i="52"/>
  <c r="M89" i="52" s="1"/>
  <c r="L76" i="52"/>
  <c r="L89" i="52" s="1"/>
  <c r="M52" i="52"/>
  <c r="M88" i="52" s="1"/>
  <c r="L52" i="52"/>
  <c r="L88" i="52" s="1"/>
  <c r="M23" i="52"/>
  <c r="M87" i="52" s="1"/>
  <c r="L23" i="52"/>
  <c r="L87" i="52" s="1"/>
  <c r="I69" i="33"/>
  <c r="H69" i="33"/>
  <c r="G69" i="33"/>
  <c r="F69" i="33"/>
  <c r="E69" i="33"/>
  <c r="D69" i="33"/>
  <c r="C69" i="33"/>
  <c r="R23" i="52"/>
  <c r="R87" i="52" s="1"/>
  <c r="F23" i="52"/>
  <c r="F87" i="52" s="1"/>
  <c r="G23" i="52"/>
  <c r="G87" i="52" s="1"/>
  <c r="G52" i="52"/>
  <c r="G88" i="52" s="1"/>
  <c r="G76" i="52"/>
  <c r="G89" i="52" s="1"/>
  <c r="H23" i="52"/>
  <c r="H87" i="52" s="1"/>
  <c r="H52" i="52"/>
  <c r="H88" i="52" s="1"/>
  <c r="H76" i="52"/>
  <c r="H89" i="52" s="1"/>
  <c r="I23" i="52"/>
  <c r="I87" i="52" s="1"/>
  <c r="J23" i="52"/>
  <c r="J87" i="52" s="1"/>
  <c r="K23" i="52"/>
  <c r="K87" i="52" s="1"/>
  <c r="K52" i="52"/>
  <c r="K88" i="52" s="1"/>
  <c r="K76" i="52"/>
  <c r="K89" i="52" s="1"/>
  <c r="F52" i="52"/>
  <c r="F88" i="52" s="1"/>
  <c r="F76" i="52"/>
  <c r="F89" i="52" s="1"/>
  <c r="I52" i="52"/>
  <c r="I88" i="52" s="1"/>
  <c r="J52" i="52"/>
  <c r="J88" i="52" s="1"/>
  <c r="J76" i="52"/>
  <c r="J89" i="52" s="1"/>
  <c r="I76" i="52"/>
  <c r="I89" i="52" s="1"/>
  <c r="R76" i="52"/>
  <c r="R89" i="52" s="1"/>
  <c r="R52" i="52"/>
  <c r="R88" i="52" s="1"/>
  <c r="O55" i="33"/>
  <c r="L612" i="77" l="1"/>
  <c r="H612" i="77"/>
  <c r="G612" i="77"/>
  <c r="I612" i="77"/>
  <c r="N612" i="77"/>
  <c r="K612" i="77"/>
  <c r="M612" i="77"/>
  <c r="J612" i="77"/>
  <c r="F22" i="98"/>
  <c r="F27" i="98" s="1"/>
  <c r="D27" i="98"/>
  <c r="L90" i="52"/>
  <c r="L32" i="52"/>
  <c r="L93" i="52" s="1"/>
  <c r="F32" i="52"/>
  <c r="F93" i="52" s="1"/>
  <c r="I32" i="52"/>
  <c r="I93" i="52" s="1"/>
  <c r="F930" i="77"/>
  <c r="F949" i="77" s="1"/>
  <c r="R949" i="77" s="1"/>
  <c r="N90" i="52"/>
  <c r="M83" i="52"/>
  <c r="M95" i="52" s="1"/>
  <c r="I83" i="52"/>
  <c r="I95" i="52" s="1"/>
  <c r="M62" i="52"/>
  <c r="M94" i="52" s="1"/>
  <c r="N32" i="52"/>
  <c r="N93" i="52" s="1"/>
  <c r="J32" i="52"/>
  <c r="J93" i="52" s="1"/>
  <c r="H32" i="52"/>
  <c r="H93" i="52" s="1"/>
  <c r="M32" i="52"/>
  <c r="M93" i="52" s="1"/>
  <c r="K32" i="52"/>
  <c r="K93" i="52" s="1"/>
  <c r="G32" i="52"/>
  <c r="G93" i="52" s="1"/>
  <c r="F818" i="77"/>
  <c r="R818" i="77" s="1"/>
  <c r="I926" i="77"/>
  <c r="H90" i="52"/>
  <c r="J62" i="52"/>
  <c r="J94" i="52" s="1"/>
  <c r="H62" i="52"/>
  <c r="H94" i="52" s="1"/>
  <c r="O69" i="33"/>
  <c r="O35" i="33"/>
  <c r="R797" i="77"/>
  <c r="L371" i="77"/>
  <c r="L1073" i="77" s="1"/>
  <c r="H932" i="77"/>
  <c r="H951" i="77" s="1"/>
  <c r="M766" i="77"/>
  <c r="J449" i="77"/>
  <c r="J455" i="77" s="1"/>
  <c r="J1078" i="77" s="1"/>
  <c r="K766" i="77"/>
  <c r="L525" i="77"/>
  <c r="K83" i="52"/>
  <c r="K95" i="52" s="1"/>
  <c r="G83" i="52"/>
  <c r="G95" i="52" s="1"/>
  <c r="F83" i="52"/>
  <c r="F95" i="52" s="1"/>
  <c r="G90" i="52"/>
  <c r="K62" i="52"/>
  <c r="K94" i="52" s="1"/>
  <c r="F62" i="52"/>
  <c r="F94" i="52" s="1"/>
  <c r="J437" i="77"/>
  <c r="J447" i="77" s="1"/>
  <c r="J448" i="77" s="1"/>
  <c r="N83" i="52"/>
  <c r="N95" i="52" s="1"/>
  <c r="L83" i="52"/>
  <c r="L95" i="52" s="1"/>
  <c r="J83" i="52"/>
  <c r="J95" i="52" s="1"/>
  <c r="H83" i="52"/>
  <c r="H95" i="52" s="1"/>
  <c r="N62" i="52"/>
  <c r="N94" i="52" s="1"/>
  <c r="L62" i="52"/>
  <c r="L94" i="52" s="1"/>
  <c r="I62" i="52"/>
  <c r="I94" i="52" s="1"/>
  <c r="G62" i="52"/>
  <c r="G94" i="52" s="1"/>
  <c r="R82" i="52"/>
  <c r="R80" i="52"/>
  <c r="R61" i="52"/>
  <c r="R59" i="52"/>
  <c r="R57" i="52"/>
  <c r="R55" i="52"/>
  <c r="R30" i="52"/>
  <c r="R28" i="52"/>
  <c r="R26" i="52"/>
  <c r="R81" i="52"/>
  <c r="R79" i="52"/>
  <c r="R60" i="52"/>
  <c r="R58" i="52"/>
  <c r="R56" i="52"/>
  <c r="R31" i="52"/>
  <c r="R29" i="52"/>
  <c r="R27" i="52"/>
  <c r="R608" i="77"/>
  <c r="F919" i="77"/>
  <c r="R919" i="77" s="1"/>
  <c r="F716" i="77"/>
  <c r="R716" i="77" s="1"/>
  <c r="F700" i="77"/>
  <c r="F715" i="77"/>
  <c r="F726" i="77"/>
  <c r="R726" i="77" s="1"/>
  <c r="F918" i="77"/>
  <c r="R918" i="77" s="1"/>
  <c r="F569" i="77"/>
  <c r="F580" i="77"/>
  <c r="R580" i="77" s="1"/>
  <c r="F558" i="77"/>
  <c r="F570" i="77"/>
  <c r="R570" i="77" s="1"/>
  <c r="R475" i="77"/>
  <c r="F929" i="77"/>
  <c r="R929" i="77" s="1"/>
  <c r="F486" i="77"/>
  <c r="F474" i="77"/>
  <c r="F917" i="77"/>
  <c r="R917" i="77" s="1"/>
  <c r="F407" i="77"/>
  <c r="F418" i="77"/>
  <c r="R418" i="77" s="1"/>
  <c r="F395" i="77"/>
  <c r="F408" i="77"/>
  <c r="R408" i="77" s="1"/>
  <c r="R306" i="77"/>
  <c r="F928" i="77"/>
  <c r="R928" i="77" s="1"/>
  <c r="F317" i="77"/>
  <c r="F305" i="77"/>
  <c r="F318" i="77"/>
  <c r="R318" i="77" s="1"/>
  <c r="F606" i="77"/>
  <c r="R597" i="77"/>
  <c r="R598" i="77" s="1"/>
  <c r="F61" i="77"/>
  <c r="R57" i="77"/>
  <c r="F909" i="77"/>
  <c r="F62" i="77"/>
  <c r="F811" i="77"/>
  <c r="F816" i="77" s="1"/>
  <c r="R810" i="77"/>
  <c r="N1092" i="77"/>
  <c r="N1093" i="77" s="1"/>
  <c r="M1092" i="77"/>
  <c r="M1093" i="77" s="1"/>
  <c r="N1089" i="77"/>
  <c r="N1090" i="77" s="1"/>
  <c r="L1089" i="77"/>
  <c r="L1090" i="77" s="1"/>
  <c r="J1089" i="77"/>
  <c r="J1090" i="77" s="1"/>
  <c r="H1089" i="77"/>
  <c r="H1090" i="77" s="1"/>
  <c r="F1089" i="77"/>
  <c r="M1089" i="77"/>
  <c r="M1090" i="77" s="1"/>
  <c r="I1089" i="77"/>
  <c r="I1090" i="77" s="1"/>
  <c r="G1089" i="77"/>
  <c r="G1090" i="77" s="1"/>
  <c r="K1089" i="77"/>
  <c r="K1090" i="77" s="1"/>
  <c r="L1092" i="77"/>
  <c r="R903" i="77"/>
  <c r="N913" i="77"/>
  <c r="N945" i="77" s="1"/>
  <c r="N514" i="77"/>
  <c r="N523" i="77" s="1"/>
  <c r="N524" i="77" s="1"/>
  <c r="N526" i="77"/>
  <c r="N525" i="77"/>
  <c r="N536" i="77"/>
  <c r="N1074" i="77" s="1"/>
  <c r="N912" i="77"/>
  <c r="N944" i="77" s="1"/>
  <c r="N348" i="77"/>
  <c r="N358" i="77" s="1"/>
  <c r="N359" i="77" s="1"/>
  <c r="N361" i="77"/>
  <c r="N360" i="77"/>
  <c r="N371" i="77"/>
  <c r="N1073" i="77" s="1"/>
  <c r="L914" i="77"/>
  <c r="L946" i="77" s="1"/>
  <c r="L644" i="77"/>
  <c r="L657" i="77" s="1"/>
  <c r="L658" i="77" s="1"/>
  <c r="L659" i="77"/>
  <c r="L670" i="77"/>
  <c r="L1075" i="77" s="1"/>
  <c r="L660" i="77"/>
  <c r="J913" i="77"/>
  <c r="J945" i="77" s="1"/>
  <c r="J514" i="77"/>
  <c r="J523" i="77" s="1"/>
  <c r="J524" i="77" s="1"/>
  <c r="J526" i="77"/>
  <c r="J525" i="77"/>
  <c r="J536" i="77"/>
  <c r="J1074" i="77" s="1"/>
  <c r="J912" i="77"/>
  <c r="J944" i="77" s="1"/>
  <c r="J348" i="77"/>
  <c r="J358" i="77" s="1"/>
  <c r="J359" i="77" s="1"/>
  <c r="J361" i="77"/>
  <c r="J360" i="77"/>
  <c r="J371" i="77"/>
  <c r="J1073" i="77" s="1"/>
  <c r="H914" i="77"/>
  <c r="H946" i="77" s="1"/>
  <c r="H644" i="77"/>
  <c r="H657" i="77" s="1"/>
  <c r="H658" i="77" s="1"/>
  <c r="H659" i="77"/>
  <c r="H670" i="77"/>
  <c r="H1075" i="77" s="1"/>
  <c r="H660" i="77"/>
  <c r="M914" i="77"/>
  <c r="M946" i="77" s="1"/>
  <c r="M644" i="77"/>
  <c r="M657" i="77" s="1"/>
  <c r="M658" i="77" s="1"/>
  <c r="M659" i="77"/>
  <c r="M670" i="77"/>
  <c r="M1075" i="77" s="1"/>
  <c r="M660" i="77"/>
  <c r="M913" i="77"/>
  <c r="M945" i="77" s="1"/>
  <c r="M514" i="77"/>
  <c r="M523" i="77" s="1"/>
  <c r="M524" i="77" s="1"/>
  <c r="M525" i="77"/>
  <c r="M536" i="77"/>
  <c r="M1074" i="77" s="1"/>
  <c r="M526" i="77"/>
  <c r="K912" i="77"/>
  <c r="K944" i="77" s="1"/>
  <c r="K348" i="77"/>
  <c r="K358" i="77" s="1"/>
  <c r="K359" i="77" s="1"/>
  <c r="K361" i="77"/>
  <c r="K360" i="77"/>
  <c r="K371" i="77"/>
  <c r="K1073" i="77" s="1"/>
  <c r="I914" i="77"/>
  <c r="I946" i="77" s="1"/>
  <c r="I644" i="77"/>
  <c r="I657" i="77" s="1"/>
  <c r="I658" i="77" s="1"/>
  <c r="I659" i="77"/>
  <c r="I670" i="77"/>
  <c r="I1075" i="77" s="1"/>
  <c r="I660" i="77"/>
  <c r="I913" i="77"/>
  <c r="I945" i="77" s="1"/>
  <c r="I514" i="77"/>
  <c r="I523" i="77" s="1"/>
  <c r="I524" i="77" s="1"/>
  <c r="I525" i="77"/>
  <c r="I536" i="77"/>
  <c r="I1074" i="77" s="1"/>
  <c r="I526" i="77"/>
  <c r="N914" i="77"/>
  <c r="N946" i="77" s="1"/>
  <c r="N644" i="77"/>
  <c r="N657" i="77" s="1"/>
  <c r="N658" i="77" s="1"/>
  <c r="N660" i="77"/>
  <c r="N659" i="77"/>
  <c r="N670" i="77"/>
  <c r="N1075" i="77" s="1"/>
  <c r="J914" i="77"/>
  <c r="J946" i="77" s="1"/>
  <c r="J644" i="77"/>
  <c r="J657" i="77" s="1"/>
  <c r="J658" i="77" s="1"/>
  <c r="J660" i="77"/>
  <c r="J659" i="77"/>
  <c r="J670" i="77"/>
  <c r="J1075" i="77" s="1"/>
  <c r="H913" i="77"/>
  <c r="H945" i="77" s="1"/>
  <c r="H514" i="77"/>
  <c r="H523" i="77" s="1"/>
  <c r="H524" i="77" s="1"/>
  <c r="H525" i="77"/>
  <c r="H536" i="77"/>
  <c r="H1074" i="77" s="1"/>
  <c r="H526" i="77"/>
  <c r="H912" i="77"/>
  <c r="H944" i="77" s="1"/>
  <c r="H348" i="77"/>
  <c r="H358" i="77" s="1"/>
  <c r="H359" i="77" s="1"/>
  <c r="H360" i="77"/>
  <c r="H371" i="77"/>
  <c r="H1073" i="77" s="1"/>
  <c r="H361" i="77"/>
  <c r="M912" i="77"/>
  <c r="M944" i="77" s="1"/>
  <c r="M348" i="77"/>
  <c r="M358" i="77" s="1"/>
  <c r="M359" i="77" s="1"/>
  <c r="M360" i="77"/>
  <c r="M371" i="77"/>
  <c r="M1073" i="77" s="1"/>
  <c r="M361" i="77"/>
  <c r="K914" i="77"/>
  <c r="K946" i="77" s="1"/>
  <c r="K644" i="77"/>
  <c r="K657" i="77" s="1"/>
  <c r="K658" i="77" s="1"/>
  <c r="K660" i="77"/>
  <c r="K659" i="77"/>
  <c r="K670" i="77"/>
  <c r="K1075" i="77" s="1"/>
  <c r="K913" i="77"/>
  <c r="K945" i="77" s="1"/>
  <c r="K514" i="77"/>
  <c r="K523" i="77" s="1"/>
  <c r="K524" i="77" s="1"/>
  <c r="K526" i="77"/>
  <c r="K525" i="77"/>
  <c r="K536" i="77"/>
  <c r="K1074" i="77" s="1"/>
  <c r="I912" i="77"/>
  <c r="I944" i="77" s="1"/>
  <c r="I348" i="77"/>
  <c r="I358" i="77" s="1"/>
  <c r="I359" i="77" s="1"/>
  <c r="I360" i="77"/>
  <c r="I371" i="77"/>
  <c r="I1073" i="77" s="1"/>
  <c r="I361" i="77"/>
  <c r="G914" i="77"/>
  <c r="G946" i="77" s="1"/>
  <c r="G644" i="77"/>
  <c r="G657" i="77" s="1"/>
  <c r="G658" i="77" s="1"/>
  <c r="G660" i="77"/>
  <c r="G659" i="77"/>
  <c r="G670" i="77"/>
  <c r="G1075" i="77" s="1"/>
  <c r="G913" i="77"/>
  <c r="G945" i="77" s="1"/>
  <c r="G514" i="77"/>
  <c r="G523" i="77" s="1"/>
  <c r="G524" i="77" s="1"/>
  <c r="G526" i="77"/>
  <c r="G525" i="77"/>
  <c r="G536" i="77"/>
  <c r="G1074" i="77" s="1"/>
  <c r="G912" i="77"/>
  <c r="G944" i="77" s="1"/>
  <c r="G348" i="77"/>
  <c r="G358" i="77" s="1"/>
  <c r="G359" i="77" s="1"/>
  <c r="G361" i="77"/>
  <c r="G360" i="77"/>
  <c r="G371" i="77"/>
  <c r="G1073" i="77" s="1"/>
  <c r="N192" i="77"/>
  <c r="N911" i="77"/>
  <c r="N179" i="77"/>
  <c r="N189" i="77" s="1"/>
  <c r="N190" i="77" s="1"/>
  <c r="N202" i="77"/>
  <c r="N89" i="77"/>
  <c r="N85" i="77"/>
  <c r="N910" i="77"/>
  <c r="N83" i="77"/>
  <c r="J192" i="77"/>
  <c r="J911" i="77"/>
  <c r="J179" i="77"/>
  <c r="J189" i="77" s="1"/>
  <c r="J190" i="77" s="1"/>
  <c r="J202" i="77"/>
  <c r="J89" i="77"/>
  <c r="J85" i="77"/>
  <c r="J910" i="77"/>
  <c r="J83" i="77"/>
  <c r="L192" i="77"/>
  <c r="L179" i="77"/>
  <c r="L189" i="77" s="1"/>
  <c r="L190" i="77" s="1"/>
  <c r="L911" i="77"/>
  <c r="L202" i="77"/>
  <c r="L89" i="77"/>
  <c r="L85" i="77"/>
  <c r="L910" i="77"/>
  <c r="L83" i="77"/>
  <c r="H192" i="77"/>
  <c r="H179" i="77"/>
  <c r="H189" i="77" s="1"/>
  <c r="H190" i="77" s="1"/>
  <c r="H911" i="77"/>
  <c r="H202" i="77"/>
  <c r="H89" i="77"/>
  <c r="H85" i="77"/>
  <c r="H910" i="77"/>
  <c r="H83" i="77"/>
  <c r="K910" i="77"/>
  <c r="K85" i="77"/>
  <c r="K89" i="77"/>
  <c r="K83" i="77"/>
  <c r="K911" i="77"/>
  <c r="K179" i="77"/>
  <c r="K189" i="77" s="1"/>
  <c r="K190" i="77" s="1"/>
  <c r="K192" i="77"/>
  <c r="K202" i="77"/>
  <c r="G910" i="77"/>
  <c r="G85" i="77"/>
  <c r="G89" i="77"/>
  <c r="G83" i="77"/>
  <c r="G911" i="77"/>
  <c r="G179" i="77"/>
  <c r="G189" i="77" s="1"/>
  <c r="G190" i="77" s="1"/>
  <c r="G202" i="77"/>
  <c r="G192" i="77"/>
  <c r="M1024" i="77"/>
  <c r="M614" i="77"/>
  <c r="M1079" i="77" s="1"/>
  <c r="K1006" i="77"/>
  <c r="I614" i="77"/>
  <c r="I1079" i="77" s="1"/>
  <c r="I1024" i="77"/>
  <c r="G1006" i="77"/>
  <c r="N1024" i="77"/>
  <c r="N614" i="77"/>
  <c r="N1079" i="77" s="1"/>
  <c r="L1006" i="77"/>
  <c r="J1024" i="77"/>
  <c r="J614" i="77"/>
  <c r="J1079" i="77" s="1"/>
  <c r="H1006" i="77"/>
  <c r="F1024" i="77"/>
  <c r="F614" i="77"/>
  <c r="F1079" i="77" s="1"/>
  <c r="M910" i="77"/>
  <c r="M85" i="77"/>
  <c r="M83" i="77"/>
  <c r="M89" i="77"/>
  <c r="M911" i="77"/>
  <c r="M192" i="77"/>
  <c r="M179" i="77"/>
  <c r="M189" i="77" s="1"/>
  <c r="M190" i="77" s="1"/>
  <c r="M202" i="77"/>
  <c r="I910" i="77"/>
  <c r="I85" i="77"/>
  <c r="I89" i="77"/>
  <c r="I83" i="77"/>
  <c r="I911" i="77"/>
  <c r="I192" i="77"/>
  <c r="I179" i="77"/>
  <c r="I189" i="77" s="1"/>
  <c r="I190" i="77" s="1"/>
  <c r="I202" i="77"/>
  <c r="M1006" i="77"/>
  <c r="K614" i="77"/>
  <c r="K1079" i="77" s="1"/>
  <c r="K1024" i="77"/>
  <c r="I1006" i="77"/>
  <c r="G614" i="77"/>
  <c r="G1079" i="77" s="1"/>
  <c r="G1024" i="77"/>
  <c r="N1006" i="77"/>
  <c r="L1024" i="77"/>
  <c r="L614" i="77"/>
  <c r="L1079" i="77" s="1"/>
  <c r="J1006" i="77"/>
  <c r="H1024" i="77"/>
  <c r="H614" i="77"/>
  <c r="H1079" i="77" s="1"/>
  <c r="N926" i="77"/>
  <c r="N751" i="77"/>
  <c r="N764" i="77" s="1"/>
  <c r="N765" i="77" s="1"/>
  <c r="N766" i="77"/>
  <c r="J926" i="77"/>
  <c r="J751" i="77"/>
  <c r="J764" i="77" s="1"/>
  <c r="J765" i="77" s="1"/>
  <c r="J766" i="77"/>
  <c r="H926" i="77"/>
  <c r="H751" i="77"/>
  <c r="H764" i="77" s="1"/>
  <c r="H765" i="77" s="1"/>
  <c r="H766" i="77"/>
  <c r="G766" i="77"/>
  <c r="G926" i="77"/>
  <c r="G751" i="77"/>
  <c r="G764" i="77" s="1"/>
  <c r="G765" i="77" s="1"/>
  <c r="J932" i="77"/>
  <c r="J951" i="77" s="1"/>
  <c r="K90" i="52"/>
  <c r="J90" i="52"/>
  <c r="F90" i="52"/>
  <c r="M90" i="52"/>
  <c r="I90" i="52"/>
  <c r="R90" i="52"/>
  <c r="G770" i="77" l="1"/>
  <c r="H770" i="77"/>
  <c r="J770" i="77"/>
  <c r="N770" i="77"/>
  <c r="K668" i="77"/>
  <c r="J668" i="77"/>
  <c r="G668" i="77"/>
  <c r="N668" i="77"/>
  <c r="M668" i="77"/>
  <c r="L668" i="77"/>
  <c r="I668" i="77"/>
  <c r="H668" i="77"/>
  <c r="G200" i="77"/>
  <c r="I534" i="77"/>
  <c r="K534" i="77"/>
  <c r="H534" i="77"/>
  <c r="G534" i="77"/>
  <c r="N534" i="77"/>
  <c r="M534" i="77"/>
  <c r="J534" i="77"/>
  <c r="H200" i="77"/>
  <c r="L200" i="77"/>
  <c r="I200" i="77"/>
  <c r="M200" i="77"/>
  <c r="J1005" i="77"/>
  <c r="J453" i="77"/>
  <c r="H369" i="77"/>
  <c r="I369" i="77"/>
  <c r="K369" i="77"/>
  <c r="J369" i="77"/>
  <c r="G369" i="77"/>
  <c r="N369" i="77"/>
  <c r="M369" i="77"/>
  <c r="K200" i="77"/>
  <c r="J200" i="77"/>
  <c r="N200" i="77"/>
  <c r="I87" i="77"/>
  <c r="M87" i="77"/>
  <c r="G87" i="77"/>
  <c r="K87" i="77"/>
  <c r="H87" i="77"/>
  <c r="L87" i="77"/>
  <c r="J87" i="77"/>
  <c r="N87" i="77"/>
  <c r="F64" i="77"/>
  <c r="L96" i="52"/>
  <c r="K96" i="52"/>
  <c r="G96" i="52"/>
  <c r="R32" i="52"/>
  <c r="R93" i="52"/>
  <c r="H96" i="52"/>
  <c r="R930" i="77"/>
  <c r="I751" i="77"/>
  <c r="I764" i="77" s="1"/>
  <c r="I765" i="77" s="1"/>
  <c r="I96" i="52"/>
  <c r="M96" i="52"/>
  <c r="R904" i="77"/>
  <c r="K932" i="77"/>
  <c r="K951" i="77" s="1"/>
  <c r="L360" i="77"/>
  <c r="L1018" i="77" s="1"/>
  <c r="I766" i="77"/>
  <c r="F96" i="52"/>
  <c r="R94" i="52"/>
  <c r="G932" i="77"/>
  <c r="G951" i="77" s="1"/>
  <c r="L514" i="77"/>
  <c r="L523" i="77" s="1"/>
  <c r="L524" i="77" s="1"/>
  <c r="M932" i="77"/>
  <c r="M951" i="77" s="1"/>
  <c r="M751" i="77"/>
  <c r="M764" i="77" s="1"/>
  <c r="M765" i="77" s="1"/>
  <c r="M770" i="77" s="1"/>
  <c r="L526" i="77"/>
  <c r="L913" i="77"/>
  <c r="L945" i="77" s="1"/>
  <c r="I932" i="77"/>
  <c r="I951" i="77" s="1"/>
  <c r="L536" i="77"/>
  <c r="L1074" i="77" s="1"/>
  <c r="N932" i="77"/>
  <c r="N951" i="77" s="1"/>
  <c r="K926" i="77"/>
  <c r="K950" i="77" s="1"/>
  <c r="K751" i="77"/>
  <c r="K764" i="77" s="1"/>
  <c r="K765" i="77" s="1"/>
  <c r="L348" i="77"/>
  <c r="L358" i="77" s="1"/>
  <c r="L359" i="77" s="1"/>
  <c r="L361" i="77"/>
  <c r="L912" i="77"/>
  <c r="L944" i="77" s="1"/>
  <c r="M926" i="77"/>
  <c r="M950" i="77" s="1"/>
  <c r="J1023" i="77"/>
  <c r="R95" i="52"/>
  <c r="N96" i="52"/>
  <c r="J96" i="52"/>
  <c r="L1093" i="77"/>
  <c r="R1092" i="77"/>
  <c r="R1093" i="77" s="1"/>
  <c r="F1090" i="77"/>
  <c r="R1089" i="77"/>
  <c r="R1090" i="77" s="1"/>
  <c r="R83" i="52"/>
  <c r="R62" i="52"/>
  <c r="R1079" i="77"/>
  <c r="R614" i="77"/>
  <c r="R124" i="77"/>
  <c r="R811" i="77"/>
  <c r="R816" i="77" s="1"/>
  <c r="F940" i="77"/>
  <c r="R940" i="77" s="1"/>
  <c r="R909" i="77"/>
  <c r="F607" i="77"/>
  <c r="F612" i="77" s="1"/>
  <c r="R606" i="77"/>
  <c r="R607" i="77" s="1"/>
  <c r="R612" i="77" s="1"/>
  <c r="R317" i="77"/>
  <c r="F324" i="77"/>
  <c r="F405" i="77"/>
  <c r="R395" i="77"/>
  <c r="R396" i="77" s="1"/>
  <c r="R407" i="77"/>
  <c r="R415" i="77" s="1"/>
  <c r="F415" i="77"/>
  <c r="F484" i="77"/>
  <c r="R474" i="77"/>
  <c r="R715" i="77"/>
  <c r="R723" i="77" s="1"/>
  <c r="F723" i="77"/>
  <c r="R1024" i="77"/>
  <c r="F1015" i="77"/>
  <c r="R1015" i="77" s="1"/>
  <c r="R62" i="77"/>
  <c r="F989" i="77"/>
  <c r="R989" i="77" s="1"/>
  <c r="F1070" i="77"/>
  <c r="R1070" i="77" s="1"/>
  <c r="R66" i="77"/>
  <c r="R61" i="77"/>
  <c r="R64" i="77" s="1"/>
  <c r="F997" i="77"/>
  <c r="F315" i="77"/>
  <c r="R305" i="77"/>
  <c r="R486" i="77"/>
  <c r="F492" i="77"/>
  <c r="R492" i="77" s="1"/>
  <c r="F567" i="77"/>
  <c r="R558" i="77"/>
  <c r="R559" i="77" s="1"/>
  <c r="R569" i="77"/>
  <c r="F577" i="77"/>
  <c r="R577" i="77" s="1"/>
  <c r="F713" i="77"/>
  <c r="R700" i="77"/>
  <c r="R701" i="77" s="1"/>
  <c r="K923" i="77"/>
  <c r="K943" i="77" s="1"/>
  <c r="K129" i="77"/>
  <c r="K1021" i="77" s="1"/>
  <c r="K128" i="77"/>
  <c r="K130" i="77"/>
  <c r="N923" i="77"/>
  <c r="N943" i="77" s="1"/>
  <c r="N129" i="77"/>
  <c r="N1021" i="77" s="1"/>
  <c r="N130" i="77"/>
  <c r="N128" i="77"/>
  <c r="M923" i="77"/>
  <c r="M943" i="77" s="1"/>
  <c r="M129" i="77"/>
  <c r="M1021" i="77" s="1"/>
  <c r="M130" i="77"/>
  <c r="M128" i="77"/>
  <c r="L923" i="77"/>
  <c r="L943" i="77" s="1"/>
  <c r="L129" i="77"/>
  <c r="L1021" i="77" s="1"/>
  <c r="L130" i="77"/>
  <c r="L128" i="77"/>
  <c r="I923" i="77"/>
  <c r="I943" i="77" s="1"/>
  <c r="I129" i="77"/>
  <c r="I1021" i="77" s="1"/>
  <c r="I130" i="77"/>
  <c r="I128" i="77"/>
  <c r="J923" i="77"/>
  <c r="J943" i="77" s="1"/>
  <c r="J129" i="77"/>
  <c r="J1021" i="77" s="1"/>
  <c r="J128" i="77"/>
  <c r="J130" i="77"/>
  <c r="H923" i="77"/>
  <c r="H943" i="77" s="1"/>
  <c r="H129" i="77"/>
  <c r="H1021" i="77" s="1"/>
  <c r="H130" i="77"/>
  <c r="H128" i="77"/>
  <c r="G923" i="77"/>
  <c r="G943" i="77" s="1"/>
  <c r="G129" i="77"/>
  <c r="G1021" i="77" s="1"/>
  <c r="G128" i="77"/>
  <c r="G130" i="77"/>
  <c r="H924" i="77"/>
  <c r="H947" i="77" s="1"/>
  <c r="H280" i="77"/>
  <c r="H267" i="77"/>
  <c r="H277" i="77" s="1"/>
  <c r="H278" i="77" s="1"/>
  <c r="H279" i="77"/>
  <c r="I924" i="77"/>
  <c r="I947" i="77" s="1"/>
  <c r="I280" i="77"/>
  <c r="I267" i="77"/>
  <c r="I277" i="77" s="1"/>
  <c r="I278" i="77" s="1"/>
  <c r="I279" i="77"/>
  <c r="N924" i="77"/>
  <c r="N947" i="77" s="1"/>
  <c r="N279" i="77"/>
  <c r="N280" i="77"/>
  <c r="N267" i="77"/>
  <c r="N277" i="77" s="1"/>
  <c r="N278" i="77" s="1"/>
  <c r="G925" i="77"/>
  <c r="G948" i="77" s="1"/>
  <c r="G449" i="77"/>
  <c r="G437" i="77"/>
  <c r="G447" i="77" s="1"/>
  <c r="G448" i="77" s="1"/>
  <c r="G924" i="77"/>
  <c r="G947" i="77" s="1"/>
  <c r="G280" i="77"/>
  <c r="G267" i="77"/>
  <c r="G277" i="77" s="1"/>
  <c r="G278" i="77" s="1"/>
  <c r="G279" i="77"/>
  <c r="K925" i="77"/>
  <c r="K948" i="77" s="1"/>
  <c r="K449" i="77"/>
  <c r="K437" i="77"/>
  <c r="K447" i="77" s="1"/>
  <c r="K448" i="77" s="1"/>
  <c r="M925" i="77"/>
  <c r="M948" i="77" s="1"/>
  <c r="M449" i="77"/>
  <c r="M437" i="77"/>
  <c r="M447" i="77" s="1"/>
  <c r="M448" i="77" s="1"/>
  <c r="H925" i="77"/>
  <c r="H948" i="77" s="1"/>
  <c r="H437" i="77"/>
  <c r="H447" i="77" s="1"/>
  <c r="H448" i="77" s="1"/>
  <c r="H449" i="77"/>
  <c r="I925" i="77"/>
  <c r="I948" i="77" s="1"/>
  <c r="I449" i="77"/>
  <c r="I437" i="77"/>
  <c r="I447" i="77" s="1"/>
  <c r="I448" i="77" s="1"/>
  <c r="N925" i="77"/>
  <c r="N948" i="77" s="1"/>
  <c r="N449" i="77"/>
  <c r="N437" i="77"/>
  <c r="N447" i="77" s="1"/>
  <c r="N448" i="77" s="1"/>
  <c r="K924" i="77"/>
  <c r="K947" i="77" s="1"/>
  <c r="K280" i="77"/>
  <c r="K267" i="77"/>
  <c r="K277" i="77" s="1"/>
  <c r="K278" i="77" s="1"/>
  <c r="K279" i="77"/>
  <c r="M924" i="77"/>
  <c r="M947" i="77" s="1"/>
  <c r="M280" i="77"/>
  <c r="M267" i="77"/>
  <c r="M277" i="77" s="1"/>
  <c r="M278" i="77" s="1"/>
  <c r="M279" i="77"/>
  <c r="J924" i="77"/>
  <c r="J947" i="77" s="1"/>
  <c r="J279" i="77"/>
  <c r="J280" i="77"/>
  <c r="J267" i="77"/>
  <c r="J277" i="77" s="1"/>
  <c r="J278" i="77" s="1"/>
  <c r="G368" i="77"/>
  <c r="G1018" i="77"/>
  <c r="G1000" i="77"/>
  <c r="G1054" i="77" s="1"/>
  <c r="G533" i="77"/>
  <c r="G1019" i="77"/>
  <c r="G1001" i="77"/>
  <c r="I1000" i="77"/>
  <c r="K667" i="77"/>
  <c r="K1020" i="77"/>
  <c r="K1002" i="77"/>
  <c r="M368" i="77"/>
  <c r="M1018" i="77"/>
  <c r="H368" i="77"/>
  <c r="H1018" i="77"/>
  <c r="H1001" i="77"/>
  <c r="H1055" i="77" s="1"/>
  <c r="L533" i="77"/>
  <c r="L1019" i="77"/>
  <c r="N667" i="77"/>
  <c r="N1020" i="77"/>
  <c r="N1002" i="77"/>
  <c r="I1001" i="77"/>
  <c r="I667" i="77"/>
  <c r="I1020" i="77"/>
  <c r="K368" i="77"/>
  <c r="K1018" i="77"/>
  <c r="K1000" i="77"/>
  <c r="M533" i="77"/>
  <c r="M1019" i="77"/>
  <c r="M1002" i="77"/>
  <c r="H1002" i="77"/>
  <c r="J533" i="77"/>
  <c r="J1019" i="77"/>
  <c r="J1001" i="77"/>
  <c r="J1055" i="77" s="1"/>
  <c r="L667" i="77"/>
  <c r="L1020" i="77"/>
  <c r="N368" i="77"/>
  <c r="N1018" i="77"/>
  <c r="N1000" i="77"/>
  <c r="G667" i="77"/>
  <c r="G1020" i="77"/>
  <c r="G1002" i="77"/>
  <c r="I368" i="77"/>
  <c r="I1018" i="77"/>
  <c r="K533" i="77"/>
  <c r="K1019" i="77"/>
  <c r="K1001" i="77"/>
  <c r="M1000" i="77"/>
  <c r="H1000" i="77"/>
  <c r="H533" i="77"/>
  <c r="H1019" i="77"/>
  <c r="J667" i="77"/>
  <c r="J1020" i="77"/>
  <c r="J1002" i="77"/>
  <c r="I533" i="77"/>
  <c r="I1019" i="77"/>
  <c r="I1002" i="77"/>
  <c r="M1001" i="77"/>
  <c r="M1055" i="77" s="1"/>
  <c r="M667" i="77"/>
  <c r="M1020" i="77"/>
  <c r="H667" i="77"/>
  <c r="H1020" i="77"/>
  <c r="J368" i="77"/>
  <c r="J1018" i="77"/>
  <c r="J1000" i="77"/>
  <c r="L1002" i="77"/>
  <c r="N533" i="77"/>
  <c r="N1019" i="77"/>
  <c r="N1001" i="77"/>
  <c r="G908" i="77"/>
  <c r="G1014" i="77"/>
  <c r="G46" i="77"/>
  <c r="H46" i="77"/>
  <c r="H1069" i="77" s="1"/>
  <c r="H908" i="77"/>
  <c r="H1014" i="77"/>
  <c r="N1014" i="77"/>
  <c r="N908" i="77"/>
  <c r="N46" i="77"/>
  <c r="N1069" i="77" s="1"/>
  <c r="I199" i="77"/>
  <c r="M199" i="77"/>
  <c r="K199" i="77"/>
  <c r="H199" i="77"/>
  <c r="L199" i="77"/>
  <c r="J199" i="77"/>
  <c r="N199" i="77"/>
  <c r="I908" i="77"/>
  <c r="I1014" i="77"/>
  <c r="I46" i="77"/>
  <c r="I1069" i="77" s="1"/>
  <c r="M908" i="77"/>
  <c r="M1014" i="77"/>
  <c r="M46" i="77"/>
  <c r="M1069" i="77" s="1"/>
  <c r="K916" i="77"/>
  <c r="K942" i="77" s="1"/>
  <c r="K225" i="77"/>
  <c r="K235" i="77" s="1"/>
  <c r="K236" i="77" s="1"/>
  <c r="K238" i="77"/>
  <c r="K245" i="77" s="1"/>
  <c r="K248" i="77"/>
  <c r="K1072" i="77" s="1"/>
  <c r="K908" i="77"/>
  <c r="K1014" i="77"/>
  <c r="K46" i="77"/>
  <c r="K1069" i="77" s="1"/>
  <c r="L46" i="77"/>
  <c r="L1069" i="77" s="1"/>
  <c r="L908" i="77"/>
  <c r="L1014" i="77"/>
  <c r="J916" i="77"/>
  <c r="J942" i="77" s="1"/>
  <c r="J225" i="77"/>
  <c r="J235" i="77" s="1"/>
  <c r="J236" i="77" s="1"/>
  <c r="J238" i="77"/>
  <c r="J245" i="77" s="1"/>
  <c r="J248" i="77"/>
  <c r="J1072" i="77" s="1"/>
  <c r="J1014" i="77"/>
  <c r="J908" i="77"/>
  <c r="J46" i="77"/>
  <c r="J1069" i="77" s="1"/>
  <c r="G199" i="77"/>
  <c r="G1008" i="77"/>
  <c r="G1062" i="77" s="1"/>
  <c r="I1008" i="77"/>
  <c r="I1062" i="77" s="1"/>
  <c r="K1008" i="77"/>
  <c r="K1062" i="77" s="1"/>
  <c r="M1008" i="77"/>
  <c r="M1062" i="77" s="1"/>
  <c r="J1008" i="77"/>
  <c r="J1062" i="77" s="1"/>
  <c r="N1008" i="77"/>
  <c r="N1062" i="77" s="1"/>
  <c r="G950" i="77"/>
  <c r="I950" i="77"/>
  <c r="H1007" i="77"/>
  <c r="J1025" i="77"/>
  <c r="J772" i="77"/>
  <c r="J950" i="77"/>
  <c r="N1025" i="77"/>
  <c r="N772" i="77"/>
  <c r="N950" i="77"/>
  <c r="G1007" i="77"/>
  <c r="G1025" i="77"/>
  <c r="G772" i="77"/>
  <c r="K1025" i="77"/>
  <c r="K772" i="77"/>
  <c r="M1025" i="77"/>
  <c r="M772" i="77"/>
  <c r="H1025" i="77"/>
  <c r="H772" i="77"/>
  <c r="H950" i="77"/>
  <c r="J1007" i="77"/>
  <c r="J1061" i="77" s="1"/>
  <c r="N1007" i="77"/>
  <c r="J1056" i="77" l="1"/>
  <c r="G1056" i="77"/>
  <c r="M1054" i="77"/>
  <c r="L1056" i="77"/>
  <c r="H1061" i="77"/>
  <c r="H1054" i="77"/>
  <c r="N1061" i="77"/>
  <c r="I1054" i="77"/>
  <c r="K1055" i="77"/>
  <c r="N1054" i="77"/>
  <c r="H1056" i="77"/>
  <c r="K1054" i="77"/>
  <c r="K1056" i="77"/>
  <c r="G1055" i="77"/>
  <c r="M1056" i="77"/>
  <c r="I1055" i="77"/>
  <c r="G1061" i="77"/>
  <c r="N1055" i="77"/>
  <c r="J1054" i="77"/>
  <c r="I1056" i="77"/>
  <c r="N1056" i="77"/>
  <c r="J1059" i="77"/>
  <c r="K1007" i="77"/>
  <c r="K1061" i="77" s="1"/>
  <c r="K770" i="77"/>
  <c r="I1007" i="77"/>
  <c r="I770" i="77"/>
  <c r="L534" i="77"/>
  <c r="N453" i="77"/>
  <c r="K453" i="77"/>
  <c r="I453" i="77"/>
  <c r="H453" i="77"/>
  <c r="G453" i="77"/>
  <c r="L369" i="77"/>
  <c r="M453" i="77"/>
  <c r="J284" i="77"/>
  <c r="I284" i="77"/>
  <c r="H284" i="77"/>
  <c r="G284" i="77"/>
  <c r="M284" i="77"/>
  <c r="K284" i="77"/>
  <c r="J246" i="77"/>
  <c r="K246" i="77"/>
  <c r="N284" i="77"/>
  <c r="G132" i="77"/>
  <c r="K132" i="77"/>
  <c r="H132" i="77"/>
  <c r="I132" i="77"/>
  <c r="L132" i="77"/>
  <c r="M132" i="77"/>
  <c r="N132" i="77"/>
  <c r="J132" i="77"/>
  <c r="K44" i="77"/>
  <c r="M44" i="77"/>
  <c r="I44" i="77"/>
  <c r="N44" i="77"/>
  <c r="H44" i="77"/>
  <c r="G44" i="77"/>
  <c r="L44" i="77"/>
  <c r="J44" i="77"/>
  <c r="G1003" i="77"/>
  <c r="G1057" i="77" s="1"/>
  <c r="J1003" i="77"/>
  <c r="J1057" i="77" s="1"/>
  <c r="K1003" i="77"/>
  <c r="K1057" i="77" s="1"/>
  <c r="H1003" i="77"/>
  <c r="H1057" i="77" s="1"/>
  <c r="I1003" i="77"/>
  <c r="I1057" i="77" s="1"/>
  <c r="L1003" i="77"/>
  <c r="L1057" i="77" s="1"/>
  <c r="M1003" i="77"/>
  <c r="M1057" i="77" s="1"/>
  <c r="N1003" i="77"/>
  <c r="N1057" i="77" s="1"/>
  <c r="K999" i="77"/>
  <c r="J999" i="77"/>
  <c r="E20" i="97"/>
  <c r="E20" i="96"/>
  <c r="D20" i="97"/>
  <c r="G1069" i="77"/>
  <c r="L368" i="77"/>
  <c r="F128" i="77"/>
  <c r="I772" i="77"/>
  <c r="I1080" i="77" s="1"/>
  <c r="I1025" i="77"/>
  <c r="R96" i="52"/>
  <c r="D26" i="96" s="1"/>
  <c r="L1001" i="77"/>
  <c r="L1055" i="77" s="1"/>
  <c r="M1007" i="77"/>
  <c r="M1061" i="77" s="1"/>
  <c r="L1000" i="77"/>
  <c r="L1054" i="77" s="1"/>
  <c r="H1008" i="77"/>
  <c r="H1062" i="77" s="1"/>
  <c r="R923" i="77"/>
  <c r="F129" i="77"/>
  <c r="F130" i="77"/>
  <c r="R130" i="77" s="1"/>
  <c r="F923" i="77"/>
  <c r="F943" i="77" s="1"/>
  <c r="R324" i="77"/>
  <c r="F1006" i="77"/>
  <c r="F714" i="77"/>
  <c r="F724" i="77" s="1"/>
  <c r="R713" i="77"/>
  <c r="F568" i="77"/>
  <c r="F578" i="77" s="1"/>
  <c r="R567" i="77"/>
  <c r="F316" i="77"/>
  <c r="F322" i="77" s="1"/>
  <c r="R315" i="77"/>
  <c r="R997" i="77"/>
  <c r="R1051" i="77"/>
  <c r="F485" i="77"/>
  <c r="F490" i="77" s="1"/>
  <c r="R484" i="77"/>
  <c r="F406" i="77"/>
  <c r="F416" i="77" s="1"/>
  <c r="R405" i="77"/>
  <c r="M1004" i="77"/>
  <c r="K1004" i="77"/>
  <c r="K1058" i="77" s="1"/>
  <c r="N455" i="77"/>
  <c r="N1078" i="77" s="1"/>
  <c r="N1023" i="77"/>
  <c r="I1005" i="77"/>
  <c r="H1005" i="77"/>
  <c r="M1005" i="77"/>
  <c r="K455" i="77"/>
  <c r="K1078" i="77" s="1"/>
  <c r="K1023" i="77"/>
  <c r="G286" i="77"/>
  <c r="G1077" i="77" s="1"/>
  <c r="G1022" i="77"/>
  <c r="G1005" i="77"/>
  <c r="N1004" i="77"/>
  <c r="N286" i="77"/>
  <c r="N1077" i="77" s="1"/>
  <c r="N1022" i="77"/>
  <c r="I286" i="77"/>
  <c r="I1077" i="77" s="1"/>
  <c r="I1022" i="77"/>
  <c r="H286" i="77"/>
  <c r="H1077" i="77" s="1"/>
  <c r="H1022" i="77"/>
  <c r="G134" i="77"/>
  <c r="G1076" i="77" s="1"/>
  <c r="H933" i="77"/>
  <c r="J933" i="77"/>
  <c r="I933" i="77"/>
  <c r="M933" i="77"/>
  <c r="N933" i="77"/>
  <c r="K933" i="77"/>
  <c r="J1004" i="77"/>
  <c r="J286" i="77"/>
  <c r="J1077" i="77" s="1"/>
  <c r="J1022" i="77"/>
  <c r="M286" i="77"/>
  <c r="M1077" i="77" s="1"/>
  <c r="M1022" i="77"/>
  <c r="K286" i="77"/>
  <c r="K1077" i="77" s="1"/>
  <c r="K1022" i="77"/>
  <c r="N1005" i="77"/>
  <c r="N1059" i="77" s="1"/>
  <c r="I455" i="77"/>
  <c r="I1078" i="77" s="1"/>
  <c r="I1023" i="77"/>
  <c r="H455" i="77"/>
  <c r="H1078" i="77" s="1"/>
  <c r="H1023" i="77"/>
  <c r="M455" i="77"/>
  <c r="M1078" i="77" s="1"/>
  <c r="M1023" i="77"/>
  <c r="K1005" i="77"/>
  <c r="K1059" i="77" s="1"/>
  <c r="G1004" i="77"/>
  <c r="G1058" i="77" s="1"/>
  <c r="G455" i="77"/>
  <c r="G1078" i="77" s="1"/>
  <c r="G1023" i="77"/>
  <c r="I1004" i="77"/>
  <c r="I1058" i="77" s="1"/>
  <c r="H1004" i="77"/>
  <c r="H1058" i="77" s="1"/>
  <c r="G933" i="77"/>
  <c r="H134" i="77"/>
  <c r="H1076" i="77" s="1"/>
  <c r="J134" i="77"/>
  <c r="J1076" i="77" s="1"/>
  <c r="I134" i="77"/>
  <c r="I1076" i="77" s="1"/>
  <c r="L134" i="77"/>
  <c r="L1076" i="77" s="1"/>
  <c r="M134" i="77"/>
  <c r="M1076" i="77" s="1"/>
  <c r="N134" i="77"/>
  <c r="N1076" i="77" s="1"/>
  <c r="K134" i="77"/>
  <c r="K1076" i="77" s="1"/>
  <c r="K1017" i="77"/>
  <c r="K939" i="77"/>
  <c r="M939" i="77"/>
  <c r="I939" i="77"/>
  <c r="N996" i="77"/>
  <c r="N1050" i="77" s="1"/>
  <c r="N939" i="77"/>
  <c r="N916" i="77"/>
  <c r="N942" i="77" s="1"/>
  <c r="N225" i="77"/>
  <c r="N235" i="77" s="1"/>
  <c r="N236" i="77" s="1"/>
  <c r="N238" i="77"/>
  <c r="N248" i="77"/>
  <c r="N1072" i="77" s="1"/>
  <c r="N915" i="77"/>
  <c r="N941" i="77" s="1"/>
  <c r="N106" i="77"/>
  <c r="N108" i="77"/>
  <c r="N112" i="77"/>
  <c r="N1071" i="77" s="1"/>
  <c r="H996" i="77"/>
  <c r="H1050" i="77" s="1"/>
  <c r="H939" i="77"/>
  <c r="K915" i="77"/>
  <c r="K941" i="77" s="1"/>
  <c r="K106" i="77"/>
  <c r="K108" i="77"/>
  <c r="K112" i="77"/>
  <c r="K1071" i="77" s="1"/>
  <c r="G996" i="77"/>
  <c r="G1050" i="77" s="1"/>
  <c r="G916" i="77"/>
  <c r="G942" i="77" s="1"/>
  <c r="G225" i="77"/>
  <c r="G235" i="77" s="1"/>
  <c r="G236" i="77" s="1"/>
  <c r="G238" i="77"/>
  <c r="G248" i="77"/>
  <c r="G1072" i="77" s="1"/>
  <c r="I916" i="77"/>
  <c r="I942" i="77" s="1"/>
  <c r="I225" i="77"/>
  <c r="I235" i="77" s="1"/>
  <c r="I236" i="77" s="1"/>
  <c r="I238" i="77"/>
  <c r="I248" i="77"/>
  <c r="I1072" i="77" s="1"/>
  <c r="J1017" i="77"/>
  <c r="J996" i="77"/>
  <c r="J1050" i="77" s="1"/>
  <c r="J939" i="77"/>
  <c r="J915" i="77"/>
  <c r="J941" i="77" s="1"/>
  <c r="J106" i="77"/>
  <c r="J108" i="77"/>
  <c r="J112" i="77"/>
  <c r="J1071" i="77" s="1"/>
  <c r="L996" i="77"/>
  <c r="L1050" i="77" s="1"/>
  <c r="L939" i="77"/>
  <c r="L916" i="77"/>
  <c r="L942" i="77" s="1"/>
  <c r="L225" i="77"/>
  <c r="L235" i="77" s="1"/>
  <c r="L236" i="77" s="1"/>
  <c r="L238" i="77"/>
  <c r="L248" i="77"/>
  <c r="L1072" i="77" s="1"/>
  <c r="L915" i="77"/>
  <c r="L941" i="77" s="1"/>
  <c r="L106" i="77"/>
  <c r="L108" i="77"/>
  <c r="L112" i="77"/>
  <c r="L1071" i="77" s="1"/>
  <c r="K996" i="77"/>
  <c r="K1050" i="77" s="1"/>
  <c r="G915" i="77"/>
  <c r="G941" i="77" s="1"/>
  <c r="G106" i="77"/>
  <c r="G108" i="77"/>
  <c r="G112" i="77"/>
  <c r="G1071" i="77" s="1"/>
  <c r="M996" i="77"/>
  <c r="M1050" i="77" s="1"/>
  <c r="M916" i="77"/>
  <c r="M942" i="77" s="1"/>
  <c r="M225" i="77"/>
  <c r="M235" i="77" s="1"/>
  <c r="M236" i="77" s="1"/>
  <c r="M238" i="77"/>
  <c r="M248" i="77"/>
  <c r="M1072" i="77" s="1"/>
  <c r="I915" i="77"/>
  <c r="I941" i="77" s="1"/>
  <c r="I106" i="77"/>
  <c r="I108" i="77"/>
  <c r="I112" i="77"/>
  <c r="I1071" i="77" s="1"/>
  <c r="H916" i="77"/>
  <c r="H942" i="77" s="1"/>
  <c r="H225" i="77"/>
  <c r="H235" i="77" s="1"/>
  <c r="H236" i="77" s="1"/>
  <c r="H238" i="77"/>
  <c r="H248" i="77"/>
  <c r="H1072" i="77" s="1"/>
  <c r="H915" i="77"/>
  <c r="H941" i="77" s="1"/>
  <c r="H106" i="77"/>
  <c r="H108" i="77"/>
  <c r="H112" i="77"/>
  <c r="H1071" i="77" s="1"/>
  <c r="M915" i="77"/>
  <c r="M941" i="77" s="1"/>
  <c r="M106" i="77"/>
  <c r="M108" i="77"/>
  <c r="M112" i="77"/>
  <c r="M1071" i="77" s="1"/>
  <c r="I996" i="77"/>
  <c r="I1050" i="77" s="1"/>
  <c r="G939" i="77"/>
  <c r="H1080" i="77"/>
  <c r="M1080" i="77"/>
  <c r="J1080" i="77"/>
  <c r="K1080" i="77"/>
  <c r="G1080" i="77"/>
  <c r="N1080" i="77"/>
  <c r="M1058" i="77" l="1"/>
  <c r="N1058" i="77"/>
  <c r="M1059" i="77"/>
  <c r="J1053" i="77"/>
  <c r="I1059" i="77"/>
  <c r="H1059" i="77"/>
  <c r="I1061" i="77"/>
  <c r="G1059" i="77"/>
  <c r="K1053" i="77"/>
  <c r="J1058" i="77"/>
  <c r="H246" i="77"/>
  <c r="M246" i="77"/>
  <c r="N246" i="77"/>
  <c r="L246" i="77"/>
  <c r="I246" i="77"/>
  <c r="G246" i="77"/>
  <c r="F132" i="77"/>
  <c r="H110" i="77"/>
  <c r="J998" i="77"/>
  <c r="J110" i="77"/>
  <c r="K998" i="77"/>
  <c r="K110" i="77"/>
  <c r="G998" i="77"/>
  <c r="G110" i="77"/>
  <c r="M110" i="77"/>
  <c r="I110" i="77"/>
  <c r="L110" i="77"/>
  <c r="N110" i="77"/>
  <c r="D28" i="96"/>
  <c r="R129" i="77"/>
  <c r="F1021" i="77"/>
  <c r="R1021" i="77" s="1"/>
  <c r="R128" i="77"/>
  <c r="F1003" i="77"/>
  <c r="G999" i="77"/>
  <c r="I999" i="77"/>
  <c r="H999" i="77"/>
  <c r="M999" i="77"/>
  <c r="L999" i="77"/>
  <c r="N999" i="77"/>
  <c r="M998" i="77"/>
  <c r="H998" i="77"/>
  <c r="I998" i="77"/>
  <c r="L998" i="77"/>
  <c r="N998" i="77"/>
  <c r="J990" i="77"/>
  <c r="G991" i="77"/>
  <c r="F134" i="77"/>
  <c r="G952" i="77"/>
  <c r="I952" i="77"/>
  <c r="R406" i="77"/>
  <c r="R416" i="77" s="1"/>
  <c r="R485" i="77"/>
  <c r="R490" i="77" s="1"/>
  <c r="R316" i="77"/>
  <c r="R322" i="77" s="1"/>
  <c r="R568" i="77"/>
  <c r="R578" i="77" s="1"/>
  <c r="R714" i="77"/>
  <c r="R724" i="77" s="1"/>
  <c r="R1006" i="77"/>
  <c r="R1060" i="77"/>
  <c r="R943" i="77"/>
  <c r="L925" i="77"/>
  <c r="L948" i="77" s="1"/>
  <c r="L449" i="77"/>
  <c r="L437" i="77"/>
  <c r="L447" i="77" s="1"/>
  <c r="L448" i="77" s="1"/>
  <c r="L924" i="77"/>
  <c r="L280" i="77"/>
  <c r="L267" i="77"/>
  <c r="L277" i="77" s="1"/>
  <c r="L278" i="77" s="1"/>
  <c r="L279" i="77"/>
  <c r="N1082" i="77"/>
  <c r="K991" i="77"/>
  <c r="I1082" i="77"/>
  <c r="K952" i="77"/>
  <c r="J991" i="77"/>
  <c r="H991" i="77"/>
  <c r="G920" i="77"/>
  <c r="G935" i="77" s="1"/>
  <c r="N991" i="77"/>
  <c r="M952" i="77"/>
  <c r="N952" i="77"/>
  <c r="M1082" i="77"/>
  <c r="G1082" i="77"/>
  <c r="K1082" i="77"/>
  <c r="I991" i="77"/>
  <c r="M991" i="77"/>
  <c r="H1082" i="77"/>
  <c r="H952" i="77"/>
  <c r="N920" i="77"/>
  <c r="N935" i="77" s="1"/>
  <c r="L920" i="77"/>
  <c r="J920" i="77"/>
  <c r="J935" i="77" s="1"/>
  <c r="J952" i="77"/>
  <c r="I990" i="77"/>
  <c r="G990" i="77"/>
  <c r="I245" i="77"/>
  <c r="I1017" i="77"/>
  <c r="G245" i="77"/>
  <c r="G1017" i="77"/>
  <c r="K988" i="77"/>
  <c r="K1016" i="77"/>
  <c r="K1027" i="77" s="1"/>
  <c r="I920" i="77"/>
  <c r="I935" i="77" s="1"/>
  <c r="M920" i="77"/>
  <c r="M935" i="77" s="1"/>
  <c r="K920" i="77"/>
  <c r="K935" i="77" s="1"/>
  <c r="M1016" i="77"/>
  <c r="M988" i="77"/>
  <c r="H1016" i="77"/>
  <c r="H988" i="77"/>
  <c r="H245" i="77"/>
  <c r="H1017" i="77"/>
  <c r="I1016" i="77"/>
  <c r="I988" i="77"/>
  <c r="M245" i="77"/>
  <c r="M1017" i="77"/>
  <c r="G988" i="77"/>
  <c r="G1016" i="77"/>
  <c r="L1016" i="77"/>
  <c r="L245" i="77"/>
  <c r="L1017" i="77"/>
  <c r="J988" i="77"/>
  <c r="J1016" i="77"/>
  <c r="J1027" i="77" s="1"/>
  <c r="N1016" i="77"/>
  <c r="N988" i="77"/>
  <c r="N245" i="77"/>
  <c r="N1017" i="77"/>
  <c r="H920" i="77"/>
  <c r="H935" i="77" s="1"/>
  <c r="H990" i="77"/>
  <c r="J1082" i="77"/>
  <c r="K990" i="77"/>
  <c r="H1052" i="77" l="1"/>
  <c r="M1053" i="77"/>
  <c r="N1052" i="77"/>
  <c r="M1052" i="77"/>
  <c r="H1053" i="77"/>
  <c r="L1052" i="77"/>
  <c r="N1053" i="77"/>
  <c r="I1053" i="77"/>
  <c r="G1052" i="77"/>
  <c r="J1009" i="77"/>
  <c r="J1010" i="77" s="1"/>
  <c r="J1052" i="77"/>
  <c r="K1052" i="77"/>
  <c r="K1063" i="77" s="1"/>
  <c r="I1052" i="77"/>
  <c r="L1053" i="77"/>
  <c r="G1053" i="77"/>
  <c r="R1003" i="77"/>
  <c r="D14" i="96" s="1"/>
  <c r="F1057" i="77"/>
  <c r="D20" i="96"/>
  <c r="L453" i="77"/>
  <c r="L284" i="77"/>
  <c r="R132" i="77"/>
  <c r="J20" i="96"/>
  <c r="J26" i="96"/>
  <c r="G28" i="96"/>
  <c r="F1076" i="77"/>
  <c r="R1076" i="77" s="1"/>
  <c r="E14" i="97" s="1"/>
  <c r="D14" i="97"/>
  <c r="E14" i="96"/>
  <c r="R1057" i="77"/>
  <c r="G953" i="77"/>
  <c r="J1087" i="77"/>
  <c r="F89" i="77"/>
  <c r="R89" i="77" s="1"/>
  <c r="H1009" i="77"/>
  <c r="H1010" i="77" s="1"/>
  <c r="F915" i="77"/>
  <c r="G1087" i="77"/>
  <c r="I953" i="77"/>
  <c r="F911" i="77"/>
  <c r="R911" i="77" s="1"/>
  <c r="F908" i="77"/>
  <c r="I1083" i="77"/>
  <c r="F916" i="77"/>
  <c r="I1027" i="77"/>
  <c r="I1028" i="77" s="1"/>
  <c r="F925" i="77"/>
  <c r="F948" i="77" s="1"/>
  <c r="R948" i="77" s="1"/>
  <c r="F437" i="77"/>
  <c r="F449" i="77"/>
  <c r="L286" i="77"/>
  <c r="L1077" i="77" s="1"/>
  <c r="L1022" i="77"/>
  <c r="L1005" i="77"/>
  <c r="L1004" i="77"/>
  <c r="L947" i="77"/>
  <c r="L455" i="77"/>
  <c r="L1078" i="77" s="1"/>
  <c r="L1023" i="77"/>
  <c r="N1083" i="77"/>
  <c r="J1083" i="77"/>
  <c r="H953" i="77"/>
  <c r="K953" i="77"/>
  <c r="K1083" i="77"/>
  <c r="L751" i="77"/>
  <c r="L764" i="77" s="1"/>
  <c r="L765" i="77" s="1"/>
  <c r="L926" i="77"/>
  <c r="L766" i="77"/>
  <c r="L932" i="77"/>
  <c r="L951" i="77" s="1"/>
  <c r="H1083" i="77"/>
  <c r="G1027" i="77"/>
  <c r="G1028" i="77" s="1"/>
  <c r="M953" i="77"/>
  <c r="M1083" i="77"/>
  <c r="G1083" i="77"/>
  <c r="J1028" i="77"/>
  <c r="N953" i="77"/>
  <c r="N1087" i="77"/>
  <c r="J953" i="77"/>
  <c r="H1027" i="77"/>
  <c r="H1028" i="77" s="1"/>
  <c r="K1087" i="77"/>
  <c r="G1009" i="77"/>
  <c r="G1010" i="77" s="1"/>
  <c r="M1027" i="77"/>
  <c r="M1028" i="77" s="1"/>
  <c r="I1087" i="77"/>
  <c r="M1087" i="77"/>
  <c r="K1028" i="77"/>
  <c r="J1063" i="77"/>
  <c r="I1009" i="77"/>
  <c r="I1010" i="77" s="1"/>
  <c r="H1087" i="77"/>
  <c r="N1027" i="77"/>
  <c r="N1028" i="77" s="1"/>
  <c r="K1009" i="77"/>
  <c r="K1010" i="77" s="1"/>
  <c r="L1059" i="77" l="1"/>
  <c r="L1058" i="77"/>
  <c r="G14" i="96"/>
  <c r="J14" i="96" s="1"/>
  <c r="K1065" i="77"/>
  <c r="K1064" i="77"/>
  <c r="J1065" i="77"/>
  <c r="J1064" i="77"/>
  <c r="L770" i="77"/>
  <c r="F932" i="77"/>
  <c r="R932" i="77" s="1"/>
  <c r="R102" i="77"/>
  <c r="F112" i="77"/>
  <c r="F1071" i="77" s="1"/>
  <c r="R1071" i="77" s="1"/>
  <c r="F106" i="77"/>
  <c r="F108" i="77"/>
  <c r="R108" i="77" s="1"/>
  <c r="R83" i="77"/>
  <c r="I1063" i="77"/>
  <c r="F85" i="77"/>
  <c r="F87" i="77" s="1"/>
  <c r="F910" i="77"/>
  <c r="R910" i="77" s="1"/>
  <c r="R79" i="77"/>
  <c r="G1063" i="77"/>
  <c r="F179" i="77"/>
  <c r="R179" i="77" s="1"/>
  <c r="R180" i="77" s="1"/>
  <c r="F192" i="77"/>
  <c r="F199" i="77" s="1"/>
  <c r="F225" i="77"/>
  <c r="F235" i="77" s="1"/>
  <c r="F238" i="77"/>
  <c r="F245" i="77" s="1"/>
  <c r="F248" i="77"/>
  <c r="F202" i="77"/>
  <c r="F46" i="77"/>
  <c r="R37" i="77"/>
  <c r="L990" i="77"/>
  <c r="R1086" i="77"/>
  <c r="R842" i="77"/>
  <c r="F514" i="77"/>
  <c r="F525" i="77"/>
  <c r="F913" i="77"/>
  <c r="F526" i="77"/>
  <c r="R526" i="77" s="1"/>
  <c r="F536" i="77"/>
  <c r="F942" i="77"/>
  <c r="R942" i="77" s="1"/>
  <c r="R916" i="77"/>
  <c r="R915" i="77"/>
  <c r="F455" i="77"/>
  <c r="R449" i="77"/>
  <c r="F1023" i="77"/>
  <c r="R1023" i="77" s="1"/>
  <c r="F644" i="77"/>
  <c r="F659" i="77"/>
  <c r="F914" i="77"/>
  <c r="F660" i="77"/>
  <c r="R660" i="77" s="1"/>
  <c r="F670" i="77"/>
  <c r="F751" i="77"/>
  <c r="F926" i="77"/>
  <c r="F766" i="77"/>
  <c r="F447" i="77"/>
  <c r="R437" i="77"/>
  <c r="R438" i="77" s="1"/>
  <c r="F912" i="77"/>
  <c r="F361" i="77"/>
  <c r="R361" i="77" s="1"/>
  <c r="F371" i="77"/>
  <c r="F348" i="77"/>
  <c r="F360" i="77"/>
  <c r="F924" i="77"/>
  <c r="F279" i="77"/>
  <c r="F280" i="77"/>
  <c r="R280" i="77" s="1"/>
  <c r="R908" i="77"/>
  <c r="F939" i="77"/>
  <c r="L933" i="77"/>
  <c r="L935" i="77" s="1"/>
  <c r="L1008" i="77"/>
  <c r="L1062" i="77" s="1"/>
  <c r="L950" i="77"/>
  <c r="L952" i="77" s="1"/>
  <c r="L772" i="77"/>
  <c r="L1025" i="77"/>
  <c r="L1027" i="77" s="1"/>
  <c r="L988" i="77"/>
  <c r="L1007" i="77"/>
  <c r="H1063" i="77"/>
  <c r="M990" i="77"/>
  <c r="N990" i="77"/>
  <c r="L1061" i="77" l="1"/>
  <c r="H1064" i="77"/>
  <c r="H1065" i="77"/>
  <c r="G1064" i="77"/>
  <c r="G1065" i="77"/>
  <c r="I1065" i="77"/>
  <c r="I1064" i="77"/>
  <c r="F998" i="77"/>
  <c r="F110" i="77"/>
  <c r="R41" i="77"/>
  <c r="F44" i="77"/>
  <c r="F988" i="77"/>
  <c r="R988" i="77" s="1"/>
  <c r="R106" i="77"/>
  <c r="R110" i="77" s="1"/>
  <c r="R85" i="77"/>
  <c r="R87" i="77" s="1"/>
  <c r="D18" i="97"/>
  <c r="E18" i="96"/>
  <c r="F1069" i="77"/>
  <c r="R1069" i="77" s="1"/>
  <c r="E13" i="97"/>
  <c r="R202" i="77"/>
  <c r="R192" i="77"/>
  <c r="R199" i="77" s="1"/>
  <c r="F951" i="77"/>
  <c r="R951" i="77" s="1"/>
  <c r="R112" i="77"/>
  <c r="R925" i="77"/>
  <c r="F941" i="77"/>
  <c r="R941" i="77" s="1"/>
  <c r="F1016" i="77"/>
  <c r="R1016" i="77" s="1"/>
  <c r="R238" i="77"/>
  <c r="R245" i="77" s="1"/>
  <c r="F189" i="77"/>
  <c r="F190" i="77" s="1"/>
  <c r="F200" i="77" s="1"/>
  <c r="F1072" i="77"/>
  <c r="R1072" i="77" s="1"/>
  <c r="F1017" i="77"/>
  <c r="R1017" i="77" s="1"/>
  <c r="F920" i="77"/>
  <c r="F996" i="77"/>
  <c r="R248" i="77"/>
  <c r="R225" i="77"/>
  <c r="R226" i="77" s="1"/>
  <c r="F1014" i="77"/>
  <c r="R42" i="77"/>
  <c r="R46" i="77"/>
  <c r="L1009" i="77"/>
  <c r="L1010" i="77" s="1"/>
  <c r="F286" i="77"/>
  <c r="R279" i="77"/>
  <c r="F1022" i="77"/>
  <c r="R1022" i="77" s="1"/>
  <c r="F947" i="77"/>
  <c r="R947" i="77" s="1"/>
  <c r="F933" i="77"/>
  <c r="F358" i="77"/>
  <c r="R348" i="77"/>
  <c r="R349" i="77" s="1"/>
  <c r="R926" i="77"/>
  <c r="F950" i="77"/>
  <c r="R950" i="77" s="1"/>
  <c r="F1075" i="77"/>
  <c r="R1075" i="77" s="1"/>
  <c r="R670" i="77"/>
  <c r="F946" i="77"/>
  <c r="R946" i="77" s="1"/>
  <c r="R914" i="77"/>
  <c r="F657" i="77"/>
  <c r="R644" i="77"/>
  <c r="R645" i="77" s="1"/>
  <c r="F1074" i="77"/>
  <c r="R1074" i="77" s="1"/>
  <c r="R536" i="77"/>
  <c r="F945" i="77"/>
  <c r="R945" i="77" s="1"/>
  <c r="R913" i="77"/>
  <c r="F523" i="77"/>
  <c r="R514" i="77"/>
  <c r="R515" i="77" s="1"/>
  <c r="R939" i="77"/>
  <c r="F277" i="77"/>
  <c r="R267" i="77"/>
  <c r="R268" i="77" s="1"/>
  <c r="R360" i="77"/>
  <c r="F368" i="77"/>
  <c r="R368" i="77" s="1"/>
  <c r="F1018" i="77"/>
  <c r="R1018" i="77" s="1"/>
  <c r="F1073" i="77"/>
  <c r="R1073" i="77" s="1"/>
  <c r="R371" i="77"/>
  <c r="F944" i="77"/>
  <c r="R944" i="77" s="1"/>
  <c r="R912" i="77"/>
  <c r="F448" i="77"/>
  <c r="F453" i="77" s="1"/>
  <c r="R447" i="77"/>
  <c r="R448" i="77" s="1"/>
  <c r="R453" i="77" s="1"/>
  <c r="R766" i="77"/>
  <c r="F772" i="77"/>
  <c r="F1025" i="77"/>
  <c r="R1025" i="77" s="1"/>
  <c r="F764" i="77"/>
  <c r="R751" i="77"/>
  <c r="R752" i="77" s="1"/>
  <c r="R659" i="77"/>
  <c r="R667" i="77" s="1"/>
  <c r="F667" i="77"/>
  <c r="F1020" i="77"/>
  <c r="R1020" i="77" s="1"/>
  <c r="R455" i="77"/>
  <c r="F1078" i="77"/>
  <c r="R1078" i="77" s="1"/>
  <c r="F236" i="77"/>
  <c r="F246" i="77" s="1"/>
  <c r="R235" i="77"/>
  <c r="R236" i="77" s="1"/>
  <c r="R525" i="77"/>
  <c r="R533" i="77" s="1"/>
  <c r="F1019" i="77"/>
  <c r="R1019" i="77" s="1"/>
  <c r="F533" i="77"/>
  <c r="L1028" i="77"/>
  <c r="L1063" i="77"/>
  <c r="L1080" i="77"/>
  <c r="L1082" i="77" s="1"/>
  <c r="L991" i="77"/>
  <c r="L953" i="77"/>
  <c r="L1087" i="77"/>
  <c r="N1009" i="77"/>
  <c r="N1010" i="77" s="1"/>
  <c r="M1063" i="77"/>
  <c r="M1009" i="77"/>
  <c r="M1010" i="77" s="1"/>
  <c r="R998" i="77" l="1"/>
  <c r="D13" i="96" s="1"/>
  <c r="F1052" i="77"/>
  <c r="L1064" i="77"/>
  <c r="L1065" i="77"/>
  <c r="M1065" i="77"/>
  <c r="M1064" i="77"/>
  <c r="R996" i="77"/>
  <c r="D12" i="96" s="1"/>
  <c r="F1050" i="77"/>
  <c r="R1050" i="77" s="1"/>
  <c r="R246" i="77"/>
  <c r="R44" i="77"/>
  <c r="F1027" i="77"/>
  <c r="F1028" i="77" s="1"/>
  <c r="F999" i="77"/>
  <c r="F1053" i="77" s="1"/>
  <c r="F991" i="77"/>
  <c r="R991" i="77" s="1"/>
  <c r="E19" i="97"/>
  <c r="E12" i="97"/>
  <c r="E17" i="97"/>
  <c r="D19" i="97"/>
  <c r="E19" i="96"/>
  <c r="E18" i="97"/>
  <c r="D21" i="97"/>
  <c r="E21" i="96"/>
  <c r="D17" i="97"/>
  <c r="E17" i="96"/>
  <c r="E21" i="97"/>
  <c r="E15" i="97"/>
  <c r="D13" i="97"/>
  <c r="E13" i="96"/>
  <c r="D22" i="97"/>
  <c r="E22" i="96"/>
  <c r="D16" i="97"/>
  <c r="E16" i="96"/>
  <c r="D15" i="97"/>
  <c r="E15" i="96"/>
  <c r="R924" i="77"/>
  <c r="F935" i="77"/>
  <c r="F1087" i="77" s="1"/>
  <c r="R189" i="77"/>
  <c r="R190" i="77" s="1"/>
  <c r="R200" i="77" s="1"/>
  <c r="R1052" i="77"/>
  <c r="R1014" i="77"/>
  <c r="R952" i="77"/>
  <c r="F1005" i="77"/>
  <c r="F1059" i="77" s="1"/>
  <c r="F952" i="77"/>
  <c r="R920" i="77"/>
  <c r="F765" i="77"/>
  <c r="F770" i="77" s="1"/>
  <c r="R764" i="77"/>
  <c r="R765" i="77" s="1"/>
  <c r="R770" i="77" s="1"/>
  <c r="R772" i="77"/>
  <c r="F1080" i="77"/>
  <c r="R1080" i="77" s="1"/>
  <c r="F278" i="77"/>
  <c r="F284" i="77" s="1"/>
  <c r="R277" i="77"/>
  <c r="F1008" i="77"/>
  <c r="F524" i="77"/>
  <c r="F534" i="77" s="1"/>
  <c r="R523" i="77"/>
  <c r="R524" i="77" s="1"/>
  <c r="R534" i="77" s="1"/>
  <c r="R286" i="77"/>
  <c r="F1077" i="77"/>
  <c r="R1077" i="77" s="1"/>
  <c r="F658" i="77"/>
  <c r="F668" i="77" s="1"/>
  <c r="R657" i="77"/>
  <c r="R658" i="77" s="1"/>
  <c r="R668" i="77" s="1"/>
  <c r="F359" i="77"/>
  <c r="F369" i="77" s="1"/>
  <c r="R358" i="77"/>
  <c r="R359" i="77" s="1"/>
  <c r="R369" i="77" s="1"/>
  <c r="L1083" i="77"/>
  <c r="N1063" i="77"/>
  <c r="F1062" i="77" l="1"/>
  <c r="R1062" i="77" s="1"/>
  <c r="G13" i="96"/>
  <c r="J13" i="96" s="1"/>
  <c r="N1065" i="77"/>
  <c r="N1064" i="77"/>
  <c r="R1008" i="77"/>
  <c r="E16" i="97"/>
  <c r="E22" i="97"/>
  <c r="E12" i="96"/>
  <c r="G12" i="96" s="1"/>
  <c r="D12" i="97"/>
  <c r="D24" i="97" s="1"/>
  <c r="R933" i="77"/>
  <c r="R1082" i="77"/>
  <c r="F953" i="77"/>
  <c r="F1082" i="77"/>
  <c r="F1083" i="77" s="1"/>
  <c r="R1027" i="77"/>
  <c r="F1000" i="77"/>
  <c r="F1054" i="77" s="1"/>
  <c r="F1002" i="77"/>
  <c r="F1056" i="77" s="1"/>
  <c r="F1001" i="77"/>
  <c r="F1055" i="77" s="1"/>
  <c r="R1005" i="77"/>
  <c r="D18" i="96" s="1"/>
  <c r="G18" i="96" s="1"/>
  <c r="R1059" i="77"/>
  <c r="R999" i="77"/>
  <c r="D15" i="96" s="1"/>
  <c r="G15" i="96" s="1"/>
  <c r="R278" i="77"/>
  <c r="R284" i="77" s="1"/>
  <c r="F1004" i="77"/>
  <c r="F1058" i="77" s="1"/>
  <c r="F1007" i="77"/>
  <c r="F1061" i="77" s="1"/>
  <c r="F990" i="77"/>
  <c r="R990" i="77" s="1"/>
  <c r="G23" i="96" l="1"/>
  <c r="J12" i="96"/>
  <c r="J18" i="96"/>
  <c r="E24" i="96"/>
  <c r="E29" i="96" s="1"/>
  <c r="E24" i="97"/>
  <c r="I24" i="97" s="1"/>
  <c r="H24" i="97"/>
  <c r="R935" i="77"/>
  <c r="R1087" i="77" s="1"/>
  <c r="R1083" i="77"/>
  <c r="R1028" i="77"/>
  <c r="F1009" i="77"/>
  <c r="F1010" i="77" s="1"/>
  <c r="R1004" i="77"/>
  <c r="D16" i="96" s="1"/>
  <c r="G16" i="96" s="1"/>
  <c r="R1058" i="77"/>
  <c r="R1055" i="77"/>
  <c r="R1001" i="77"/>
  <c r="D19" i="96" s="1"/>
  <c r="G19" i="96" s="1"/>
  <c r="R1007" i="77"/>
  <c r="R1061" i="77"/>
  <c r="R1053" i="77"/>
  <c r="J15" i="96" s="1"/>
  <c r="R1056" i="77"/>
  <c r="R1002" i="77"/>
  <c r="D21" i="96" s="1"/>
  <c r="G21" i="96" s="1"/>
  <c r="R1054" i="77"/>
  <c r="R1000" i="77"/>
  <c r="D17" i="96" s="1"/>
  <c r="G17" i="96" s="1"/>
  <c r="D22" i="96" l="1"/>
  <c r="G22" i="96" s="1"/>
  <c r="G24" i="96" s="1"/>
  <c r="J21" i="96"/>
  <c r="J17" i="96"/>
  <c r="J16" i="96"/>
  <c r="J19" i="96"/>
  <c r="R953" i="77"/>
  <c r="R1063" i="77"/>
  <c r="R1009" i="77"/>
  <c r="R1010" i="77" s="1"/>
  <c r="F1063" i="77"/>
  <c r="J22" i="96" l="1"/>
  <c r="D24" i="96"/>
  <c r="D29" i="96" s="1"/>
  <c r="F1064" i="77"/>
  <c r="F1065" i="77"/>
  <c r="R1064" i="77"/>
  <c r="R1065" i="77"/>
  <c r="G29" i="96" l="1"/>
</calcChain>
</file>

<file path=xl/comments1.xml><?xml version="1.0" encoding="utf-8"?>
<comments xmlns="http://schemas.openxmlformats.org/spreadsheetml/2006/main">
  <authors>
    <author>Janet Phelps</author>
    <author>jphelp</author>
  </authors>
  <commentList>
    <comment ref="C338" authorId="0">
      <text>
        <r>
          <rPr>
            <b/>
            <sz val="8"/>
            <color indexed="81"/>
            <rFont val="Tahoma"/>
            <family val="2"/>
          </rPr>
          <t>Janet Phelps:</t>
        </r>
        <r>
          <rPr>
            <sz val="8"/>
            <color indexed="81"/>
            <rFont val="Tahoma"/>
            <family val="2"/>
          </rPr>
          <t xml:space="preserve">
Gas supply demand charge includes revenue adjustment factor. (10/05)</t>
        </r>
      </text>
    </comment>
    <comment ref="C385" authorId="0">
      <text>
        <r>
          <rPr>
            <b/>
            <sz val="8"/>
            <color indexed="81"/>
            <rFont val="Tahoma"/>
            <family val="2"/>
          </rPr>
          <t>Janet Phelps:</t>
        </r>
        <r>
          <rPr>
            <sz val="8"/>
            <color indexed="81"/>
            <rFont val="Tahoma"/>
            <family val="2"/>
          </rPr>
          <t xml:space="preserve">
Gas supply demand charge includes revenue adjustment factor. (10/05)</t>
        </r>
      </text>
    </comment>
    <comment ref="C505" authorId="0">
      <text>
        <r>
          <rPr>
            <b/>
            <sz val="8"/>
            <color indexed="81"/>
            <rFont val="Tahoma"/>
            <family val="2"/>
          </rPr>
          <t>Janet Phelps:</t>
        </r>
        <r>
          <rPr>
            <sz val="8"/>
            <color indexed="81"/>
            <rFont val="Tahoma"/>
            <family val="2"/>
          </rPr>
          <t xml:space="preserve">
Gas supply demand charge includes revenue adjustment factor. (10/05)</t>
        </r>
      </text>
    </comment>
    <comment ref="C631" authorId="0">
      <text>
        <r>
          <rPr>
            <b/>
            <sz val="8"/>
            <color indexed="81"/>
            <rFont val="Tahoma"/>
            <family val="2"/>
          </rPr>
          <t>Janet Phelps:</t>
        </r>
        <r>
          <rPr>
            <sz val="8"/>
            <color indexed="81"/>
            <rFont val="Tahoma"/>
            <family val="2"/>
          </rPr>
          <t xml:space="preserve">
Gas supply demand charge includes revenue adjustment factor. (10/05)</t>
        </r>
      </text>
    </comment>
    <comment ref="C687" authorId="0">
      <text>
        <r>
          <rPr>
            <b/>
            <sz val="8"/>
            <color indexed="81"/>
            <rFont val="Tahoma"/>
            <family val="2"/>
          </rPr>
          <t>Janet Phelps:</t>
        </r>
        <r>
          <rPr>
            <sz val="8"/>
            <color indexed="81"/>
            <rFont val="Tahoma"/>
            <family val="2"/>
          </rPr>
          <t xml:space="preserve">
Gas supply demand charge includes revenue adjustment factor. (10/05)</t>
        </r>
      </text>
    </comment>
    <comment ref="B1086" authorId="1">
      <text>
        <r>
          <rPr>
            <b/>
            <sz val="8"/>
            <color indexed="81"/>
            <rFont val="Tahoma"/>
            <family val="2"/>
          </rPr>
          <t>jphelp:</t>
        </r>
        <r>
          <rPr>
            <sz val="8"/>
            <color indexed="81"/>
            <rFont val="Tahoma"/>
            <family val="2"/>
          </rPr>
          <t xml:space="preserve">
Sales and transportation.</t>
        </r>
      </text>
    </comment>
  </commentList>
</comments>
</file>

<file path=xl/comments2.xml><?xml version="1.0" encoding="utf-8"?>
<comments xmlns="http://schemas.openxmlformats.org/spreadsheetml/2006/main">
  <authors>
    <author>jphelp</author>
  </authors>
  <commentList>
    <comment ref="F52" authorId="0">
      <text>
        <r>
          <rPr>
            <b/>
            <sz val="8"/>
            <color indexed="81"/>
            <rFont val="Tahoma"/>
            <family val="2"/>
          </rPr>
          <t>jphelp:</t>
        </r>
        <r>
          <rPr>
            <sz val="8"/>
            <color indexed="81"/>
            <rFont val="Tahoma"/>
            <family val="2"/>
          </rPr>
          <t xml:space="preserve">
Revenue from the first 900 therms is counted under minimum bill charges, because all customers pay the minimum whether they consume 900 therms or not. (03/09)</t>
        </r>
      </text>
    </comment>
    <comment ref="F74" authorId="0">
      <text>
        <r>
          <rPr>
            <b/>
            <sz val="8"/>
            <color indexed="81"/>
            <rFont val="Tahoma"/>
            <family val="2"/>
          </rPr>
          <t>jphelp:</t>
        </r>
        <r>
          <rPr>
            <sz val="8"/>
            <color indexed="81"/>
            <rFont val="Tahoma"/>
            <family val="2"/>
          </rPr>
          <t xml:space="preserve">
Revenue from the first 900 therms is counted under minimum bill charges, because all customers pay the minimum whether they consume 900 therms or not. (03/09)</t>
        </r>
      </text>
    </comment>
    <comment ref="F93" authorId="0">
      <text>
        <r>
          <rPr>
            <b/>
            <sz val="8"/>
            <color indexed="81"/>
            <rFont val="Tahoma"/>
            <family val="2"/>
          </rPr>
          <t>jphelp:</t>
        </r>
        <r>
          <rPr>
            <sz val="8"/>
            <color indexed="81"/>
            <rFont val="Tahoma"/>
            <family val="2"/>
          </rPr>
          <t xml:space="preserve">
Revenue from the first 900 therms is counted under minimum bill charges, because all customers pay the minimum whether they consume 900 therms or not. (03/09)</t>
        </r>
      </text>
    </comment>
  </commentList>
</comments>
</file>

<file path=xl/comments3.xml><?xml version="1.0" encoding="utf-8"?>
<comments xmlns="http://schemas.openxmlformats.org/spreadsheetml/2006/main">
  <authors>
    <author>Puget Sound Energy</author>
  </authors>
  <commentList>
    <comment ref="P10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Non-leap year February Normal. Leap Year February normal will be prorated</t>
        </r>
      </text>
    </comment>
    <comment ref="AB10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Non leap year February normal</t>
        </r>
      </text>
    </comment>
  </commentList>
</comments>
</file>

<file path=xl/sharedStrings.xml><?xml version="1.0" encoding="utf-8"?>
<sst xmlns="http://schemas.openxmlformats.org/spreadsheetml/2006/main" count="3154" uniqueCount="602">
  <si>
    <t xml:space="preserve">Mantle Counts </t>
  </si>
  <si>
    <t>Puget Sound Energy</t>
  </si>
  <si>
    <t>Units</t>
  </si>
  <si>
    <t>Delivery charge</t>
  </si>
  <si>
    <t>Schedule</t>
  </si>
  <si>
    <t>$/month</t>
  </si>
  <si>
    <t>$/therm</t>
  </si>
  <si>
    <t>Rates</t>
  </si>
  <si>
    <t>Billing Determinants</t>
  </si>
  <si>
    <t>Estimated Revenue</t>
  </si>
  <si>
    <t>Therms</t>
  </si>
  <si>
    <t>Mantles</t>
  </si>
  <si>
    <t>Therms per mantle</t>
  </si>
  <si>
    <t>$/mantle</t>
  </si>
  <si>
    <t>Total mantles</t>
  </si>
  <si>
    <t xml:space="preserve">  First 5,000 therms</t>
  </si>
  <si>
    <t xml:space="preserve">  Over 5,000 therms</t>
  </si>
  <si>
    <t>Total volume</t>
  </si>
  <si>
    <t>Demand charges</t>
  </si>
  <si>
    <t>Delivery demand charge</t>
  </si>
  <si>
    <t>Gas supply demand charge</t>
  </si>
  <si>
    <t>Minimum bills</t>
  </si>
  <si>
    <t>Bills</t>
  </si>
  <si>
    <t>Total demand charges</t>
  </si>
  <si>
    <t>Total revenue</t>
  </si>
  <si>
    <t>Total cost of gas (volume &amp; demand)</t>
  </si>
  <si>
    <t>Subtotal delivery charge</t>
  </si>
  <si>
    <t>Schedule 23 Residential</t>
  </si>
  <si>
    <t>Cost of propane</t>
  </si>
  <si>
    <t>Demand</t>
  </si>
  <si>
    <t>Volume</t>
  </si>
  <si>
    <t>First 25,000 therms</t>
  </si>
  <si>
    <t>Next 25,000 therms</t>
  </si>
  <si>
    <t>Next 50,000 therms</t>
  </si>
  <si>
    <t>Next 100,000 therms</t>
  </si>
  <si>
    <t>Schedule 71 Residential Water Heater Rental</t>
  </si>
  <si>
    <t>Standard models</t>
  </si>
  <si>
    <t>Conservation models</t>
  </si>
  <si>
    <t>Direct vent models</t>
  </si>
  <si>
    <t>High recovery models</t>
  </si>
  <si>
    <t>High efficiency standard</t>
  </si>
  <si>
    <t>High efficiency direct vent</t>
  </si>
  <si>
    <t>Total units</t>
  </si>
  <si>
    <t>Schedule 72 Large Volume Water Heater Rental</t>
  </si>
  <si>
    <t>25-40 gallons; 30,000-50,000 Btu</t>
  </si>
  <si>
    <t>45-55 gallons; 70,000-79,000 Btu</t>
  </si>
  <si>
    <t>45-55 gallons; 51,000-75,000 Btu</t>
  </si>
  <si>
    <t>50-65 gallons; 60,000-69,000 Btu</t>
  </si>
  <si>
    <t>60-84 gallons; 70,000-129,000 Btu</t>
  </si>
  <si>
    <t>75-90 gallons; 130,000-169,000 Btu</t>
  </si>
  <si>
    <t>75-100 gallons; 170,000-200,000 Btu</t>
  </si>
  <si>
    <t>Schedule 74 Gas Conversion Burner Rental</t>
  </si>
  <si>
    <t>Standard models 45,000-400,000 Btu/hour</t>
  </si>
  <si>
    <t>Conservation models 45,000-400,000 Btu/hour</t>
  </si>
  <si>
    <t>Standard models 401,000-700,000 Btu/hour</t>
  </si>
  <si>
    <t>Standard models 701,000-1,300,000 Btu/hour</t>
  </si>
  <si>
    <t xml:space="preserve">  First 25,000 therms</t>
  </si>
  <si>
    <t xml:space="preserve">  Next 25,000 therms</t>
  </si>
  <si>
    <t xml:space="preserve">  Over 50,000 therms</t>
  </si>
  <si>
    <t xml:space="preserve">  First 1,000 therms</t>
  </si>
  <si>
    <t xml:space="preserve">  Over 1,000 therms</t>
  </si>
  <si>
    <t>Procurement charge</t>
  </si>
  <si>
    <t xml:space="preserve">  Next 50,000 therms</t>
  </si>
  <si>
    <t xml:space="preserve">  Next 100,000 therms</t>
  </si>
  <si>
    <t xml:space="preserve">  Next 300,000 therms</t>
  </si>
  <si>
    <t xml:space="preserve">  Over 500,000 therms</t>
  </si>
  <si>
    <t>Total Billing Determinants</t>
  </si>
  <si>
    <t>Billed demand</t>
  </si>
  <si>
    <t>Burners</t>
  </si>
  <si>
    <t>Tanks</t>
  </si>
  <si>
    <t>Estimated Total Revenue</t>
  </si>
  <si>
    <t>Gas lighting</t>
  </si>
  <si>
    <t>Residential</t>
  </si>
  <si>
    <t>Commercial &amp; industrial</t>
  </si>
  <si>
    <t>Large volume</t>
  </si>
  <si>
    <t>Propane</t>
  </si>
  <si>
    <t>Residential water heater rental</t>
  </si>
  <si>
    <t>Summary of Billing Determinants &amp; Revenue</t>
  </si>
  <si>
    <t>Large volume water heater rental</t>
  </si>
  <si>
    <t>Gas conversion burner rental</t>
  </si>
  <si>
    <t>Total estimated revenue</t>
  </si>
  <si>
    <t>Total billed demand</t>
  </si>
  <si>
    <t>Gas converstion burner rental</t>
  </si>
  <si>
    <t>Total rentals</t>
  </si>
  <si>
    <t>Sales volume (therms)</t>
  </si>
  <si>
    <t>Transportation volume (therms)</t>
  </si>
  <si>
    <t>Total sales volume</t>
  </si>
  <si>
    <t>Total transportation volume</t>
  </si>
  <si>
    <t>Schedule 85 Interruptible with Firm Option - Commercial</t>
  </si>
  <si>
    <t>Schedule 86 Limited Interruptible with Firm Option - Commercial</t>
  </si>
  <si>
    <t>Schedule 87 Non-exclusive Interruptible with Firm Option - Commercial</t>
  </si>
  <si>
    <t>Schedule 31 General Service - Commercial</t>
  </si>
  <si>
    <t>Schedule 41 Large Volume - Commercial</t>
  </si>
  <si>
    <t>Schedule 16 Gas Lighting - Residential</t>
  </si>
  <si>
    <t>Schedule 53 Propane - Residential</t>
  </si>
  <si>
    <t>Schedule 31 General Service - Industrial</t>
  </si>
  <si>
    <t>Schedule 41 Large Volume - Industrial</t>
  </si>
  <si>
    <t>Schedule 85 Interruptible with Firm Option - Industrial</t>
  </si>
  <si>
    <t>Schedule 87 Non-exclusive Interruptible with Firm Option - Industrial</t>
  </si>
  <si>
    <t>Schedule 86 Limited Interruptible with Firm Option - Industrial</t>
  </si>
  <si>
    <t>Contract thms</t>
  </si>
  <si>
    <t>General service - commercial</t>
  </si>
  <si>
    <t>Large volume - commercial</t>
  </si>
  <si>
    <t>Interruptible with firm option - com</t>
  </si>
  <si>
    <t>General service - industrial</t>
  </si>
  <si>
    <t>Large volume - industrial</t>
  </si>
  <si>
    <t>Interruptible with firm option - ind</t>
  </si>
  <si>
    <t>Limited interrupt w/ firm option - ind</t>
  </si>
  <si>
    <t>Limited interrupt w/ firm option - com</t>
  </si>
  <si>
    <t>Total volume (sales and transportation)</t>
  </si>
  <si>
    <t>Non-exclus interrupt/firm option - com</t>
  </si>
  <si>
    <t>Revenue</t>
  </si>
  <si>
    <t>Line</t>
  </si>
  <si>
    <t>Total</t>
  </si>
  <si>
    <t>Check</t>
  </si>
  <si>
    <t>Lookup</t>
  </si>
  <si>
    <t>Description</t>
  </si>
  <si>
    <t>Rate Class</t>
  </si>
  <si>
    <t>Rate Sch.</t>
  </si>
  <si>
    <t>Total sales &amp; transportation volume</t>
  </si>
  <si>
    <t>Total weather normalized volume</t>
  </si>
  <si>
    <t>Weather Data</t>
  </si>
  <si>
    <t>Weather Normalization Coefficients</t>
  </si>
  <si>
    <t>Percent change</t>
  </si>
  <si>
    <t>Firm</t>
  </si>
  <si>
    <t>Interruptible</t>
  </si>
  <si>
    <t>Transportation</t>
  </si>
  <si>
    <t>Normal heating degree days (HDD)</t>
  </si>
  <si>
    <t>Total weather normalized portion of volume</t>
  </si>
  <si>
    <t>Total adjustment</t>
  </si>
  <si>
    <t>GAS</t>
  </si>
  <si>
    <t>Commercial</t>
  </si>
  <si>
    <t>Industrial</t>
  </si>
  <si>
    <t>Ltd interrupt w/ firm option - com</t>
  </si>
  <si>
    <t>Interrupt with firm option - com</t>
  </si>
  <si>
    <t>Interrupt with firm option - ind</t>
  </si>
  <si>
    <t>Ltd interrupt w/ firm option - ind</t>
  </si>
  <si>
    <t>Non-excl inter/firm option - ind</t>
  </si>
  <si>
    <t>Non-exclus inter/firm opt - com</t>
  </si>
  <si>
    <t>Total other volume</t>
  </si>
  <si>
    <t>Schedule Number</t>
  </si>
  <si>
    <t>View</t>
  </si>
  <si>
    <t xml:space="preserve">Lighting - Gas </t>
  </si>
  <si>
    <t>Special contract</t>
  </si>
  <si>
    <t>Summary of Calendar Therms by Rate Class</t>
  </si>
  <si>
    <t>Schedule 99 - Industrial</t>
  </si>
  <si>
    <t>Special contract - ind</t>
  </si>
  <si>
    <t>BASE</t>
  </si>
  <si>
    <t>Summary of Revenue by Type</t>
  </si>
  <si>
    <t>Adjustment</t>
  </si>
  <si>
    <t>Weather</t>
  </si>
  <si>
    <t>Normalization</t>
  </si>
  <si>
    <t>Residential (23,53)</t>
  </si>
  <si>
    <t>Large volume (41)</t>
  </si>
  <si>
    <t>Commercial &amp; industrial (31)</t>
  </si>
  <si>
    <t>Residential (16)</t>
  </si>
  <si>
    <t>Interruptible (85)</t>
  </si>
  <si>
    <t>Limited interruptible (86)</t>
  </si>
  <si>
    <t>Non exclusive interruptible (87)</t>
  </si>
  <si>
    <t>Standby &amp; auxiliary heating (61)</t>
  </si>
  <si>
    <t>Total revenue from sales and transport</t>
  </si>
  <si>
    <t>Other operating revenue</t>
  </si>
  <si>
    <t>Gas Revenue (Schedule 101)</t>
  </si>
  <si>
    <t>Total revenue from sales of gas</t>
  </si>
  <si>
    <t>Total Revenue Less Trackers</t>
  </si>
  <si>
    <t>Adjustments to Volume (Therms) by Rate Schedule</t>
  </si>
  <si>
    <t>Total sales and transport volume</t>
  </si>
  <si>
    <t>Total revenue from sales/transport</t>
  </si>
  <si>
    <t>Residential lamps</t>
  </si>
  <si>
    <t>Sch. 101</t>
  </si>
  <si>
    <t>Estimated volume</t>
  </si>
  <si>
    <t>Residential lights</t>
  </si>
  <si>
    <t>Total operating revenue</t>
  </si>
  <si>
    <t>A</t>
  </si>
  <si>
    <t>B</t>
  </si>
  <si>
    <t>C</t>
  </si>
  <si>
    <t>D</t>
  </si>
  <si>
    <t>E</t>
  </si>
  <si>
    <t>F</t>
  </si>
  <si>
    <t>G</t>
  </si>
  <si>
    <t>H</t>
  </si>
  <si>
    <t>I</t>
  </si>
  <si>
    <t>Summary of Customer Counts by Rate Groups</t>
  </si>
  <si>
    <t>Residential (16,23,53)</t>
  </si>
  <si>
    <t>Rentals</t>
  </si>
  <si>
    <t>Total customer counts</t>
  </si>
  <si>
    <t xml:space="preserve">Interruptible with firm option </t>
  </si>
  <si>
    <t xml:space="preserve">Limited interrupt w/ firm option </t>
  </si>
  <si>
    <t xml:space="preserve">Non-exclus interrupt/firm option </t>
  </si>
  <si>
    <t xml:space="preserve">Large volume </t>
  </si>
  <si>
    <t>Residential &amp; residential propane</t>
  </si>
  <si>
    <t>Residential (53)</t>
  </si>
  <si>
    <t>Commercial - Gas</t>
  </si>
  <si>
    <t>41G-C2</t>
  </si>
  <si>
    <t>86G-C2</t>
  </si>
  <si>
    <t>Industrial - Gas</t>
  </si>
  <si>
    <t>41G-I2</t>
  </si>
  <si>
    <t>86G-I2</t>
  </si>
  <si>
    <t>SC-99G</t>
  </si>
  <si>
    <t>16G-C</t>
  </si>
  <si>
    <t>16G-R</t>
  </si>
  <si>
    <t>Residential - Gas</t>
  </si>
  <si>
    <t>Total other operating revenue</t>
  </si>
  <si>
    <t>31 C</t>
  </si>
  <si>
    <t>31 I</t>
  </si>
  <si>
    <t>41 C</t>
  </si>
  <si>
    <t>41 I</t>
  </si>
  <si>
    <t>85 C</t>
  </si>
  <si>
    <t>85 I</t>
  </si>
  <si>
    <t>86 C</t>
  </si>
  <si>
    <t>86 I</t>
  </si>
  <si>
    <t>87 C</t>
  </si>
  <si>
    <t>87 I</t>
  </si>
  <si>
    <t>Margin Revenue (Excluding Trackers)</t>
  </si>
  <si>
    <t>Total margin and gas revenue</t>
  </si>
  <si>
    <t>Gas revenue (Sch. 101)</t>
  </si>
  <si>
    <t>Weather Normalized Usage per Customer (Therms)</t>
  </si>
  <si>
    <t>Weather Normalized Volume - Rate Class Analysis (Therms)</t>
  </si>
  <si>
    <t>Weather Adjustment to Volume - Rate Class Analysis (Therms)</t>
  </si>
  <si>
    <t>Weather Adjustment by Group - System Level Analysis (Therms)</t>
  </si>
  <si>
    <t>Weather Adjustment to Volume - System Level Analysis Spread to Rate Classes (Therms)</t>
  </si>
  <si>
    <t>Weather Normalized Volume - System Level Analysis (Therms)</t>
  </si>
  <si>
    <t>Weather Adjustment by Rate Class (Therms)</t>
  </si>
  <si>
    <t>Summary of Weather Normalized Volume by Rate Class (Therms)</t>
  </si>
  <si>
    <t>Summary of Weather Normalized Volume by Rate Groups (Therms)</t>
  </si>
  <si>
    <t>Weather Normalized Usage Per Customer (Therms)</t>
  </si>
  <si>
    <t>Usage Per Customer (Therms)</t>
  </si>
  <si>
    <t>General service - commercial &amp; industrial</t>
  </si>
  <si>
    <t>Actual heating degree days (HDD)</t>
  </si>
  <si>
    <t>Schedule 85T Interruptible with Firm Option - Commercial</t>
  </si>
  <si>
    <t>Schedule 87T Non-exclusive Interruptible with Firm Option - Commercial</t>
  </si>
  <si>
    <t>85T</t>
  </si>
  <si>
    <t>87T</t>
  </si>
  <si>
    <t>Schedule 85T Interruptible with Firm Option - Industrial</t>
  </si>
  <si>
    <t>Schedule 87T Non-exclusive Interruptible with Firm Option - Industrial</t>
  </si>
  <si>
    <t>Schedule 41T Large Volume - Industrial</t>
  </si>
  <si>
    <t>41T</t>
  </si>
  <si>
    <t>Gas procurement charge</t>
  </si>
  <si>
    <t xml:space="preserve">Contracts </t>
  </si>
  <si>
    <t>Contracts</t>
  </si>
  <si>
    <t>Residential (23)</t>
  </si>
  <si>
    <t xml:space="preserve">  First 900 therms</t>
  </si>
  <si>
    <t xml:space="preserve">  Next 4,100 therms</t>
  </si>
  <si>
    <t>41T C</t>
  </si>
  <si>
    <t>41T I</t>
  </si>
  <si>
    <t>85T C</t>
  </si>
  <si>
    <t>85T I</t>
  </si>
  <si>
    <t>87T C</t>
  </si>
  <si>
    <t>87T I</t>
  </si>
  <si>
    <t xml:space="preserve"> </t>
  </si>
  <si>
    <t>85G-C3</t>
  </si>
  <si>
    <t>87G-C4</t>
  </si>
  <si>
    <t>85G-I3</t>
  </si>
  <si>
    <t>87G-I4</t>
  </si>
  <si>
    <t xml:space="preserve">General service - commercial </t>
  </si>
  <si>
    <t xml:space="preserve">Large volume - commercial </t>
  </si>
  <si>
    <t>Trans. non-exclus inter/firm option - com</t>
  </si>
  <si>
    <t>Trans. interrupt with firm option - ind</t>
  </si>
  <si>
    <t>Trans. non-exclus inter/firm option - ind</t>
  </si>
  <si>
    <t>Trans. large volume - commercial</t>
  </si>
  <si>
    <t>Trans. interrupt with firm option - com</t>
  </si>
  <si>
    <t>Trans. large volume - industrial</t>
  </si>
  <si>
    <t>Trans. non-exclus inter w/ firm option - ind</t>
  </si>
  <si>
    <t>Trans. non-exclus inter w/ firm option - com</t>
  </si>
  <si>
    <t>Non-excl interrupt w/ firm option - ind</t>
  </si>
  <si>
    <t>Non-excl interrupt w/ firm option - com</t>
  </si>
  <si>
    <t>Trans. large volume (41T)</t>
  </si>
  <si>
    <t>Trans. interrupt with firm option (85T)</t>
  </si>
  <si>
    <t>Trans. non-exclus inter w/firm option (87T)</t>
  </si>
  <si>
    <t xml:space="preserve">Residential (16,23,53) </t>
  </si>
  <si>
    <t>Special contracts - ind</t>
  </si>
  <si>
    <t>Weather Normalization of Volume</t>
  </si>
  <si>
    <t>Transportation - large volume (41T)</t>
  </si>
  <si>
    <t>Transportation - interrupt with firm option (85T)</t>
  </si>
  <si>
    <t>Transportation - non-exclus inter/firm option (87T)</t>
  </si>
  <si>
    <t>Special contracts</t>
  </si>
  <si>
    <t>Subtotal transportation</t>
  </si>
  <si>
    <t>Trans.large volume - commercial</t>
  </si>
  <si>
    <t>Trans.interrupt with firm option - com</t>
  </si>
  <si>
    <t>Transportation - interruptible (85T)</t>
  </si>
  <si>
    <t>Transportation - non exclusive interruptible (87T)</t>
  </si>
  <si>
    <t>Change</t>
  </si>
  <si>
    <t>Basic charge</t>
  </si>
  <si>
    <t>Total bills (Basic charges)</t>
  </si>
  <si>
    <t xml:space="preserve">Residential </t>
  </si>
  <si>
    <t xml:space="preserve">Interruptible </t>
  </si>
  <si>
    <t>Limited interruptible</t>
  </si>
  <si>
    <t>Non exclusive interruptible</t>
  </si>
  <si>
    <t xml:space="preserve">Transportation - large volume </t>
  </si>
  <si>
    <t>Transportation - interrupt with firm option</t>
  </si>
  <si>
    <t xml:space="preserve">Transportation - non-exclus inter/firm option </t>
  </si>
  <si>
    <t>Billed demand by rate schedule</t>
  </si>
  <si>
    <t>check</t>
  </si>
  <si>
    <t>Volume (therms) by rate schedule</t>
  </si>
  <si>
    <t>Schedule 41T Large Volume - Commercial</t>
  </si>
  <si>
    <t xml:space="preserve">Billing Determinants </t>
  </si>
  <si>
    <t xml:space="preserve">Minimum Bill Revenue by Rate Schedule </t>
  </si>
  <si>
    <t xml:space="preserve">Total count </t>
  </si>
  <si>
    <t>86T</t>
  </si>
  <si>
    <t xml:space="preserve">Estimated Revenue </t>
  </si>
  <si>
    <t>Difference (actual - normal HDD)</t>
  </si>
  <si>
    <t>Balancing charge (gas cost)</t>
  </si>
  <si>
    <t xml:space="preserve">Billed Demand by Rate Schedule (therms) </t>
  </si>
  <si>
    <t>Gas rates with RAF</t>
  </si>
  <si>
    <t>Gas cost</t>
  </si>
  <si>
    <t>GASCOST</t>
  </si>
  <si>
    <t>Gas revenue with RAF</t>
  </si>
  <si>
    <t>Gas rate with RAF</t>
  </si>
  <si>
    <t>Schedule 53 gas cost</t>
  </si>
  <si>
    <t>Base rates (customer, volume, demand, procure, min)</t>
  </si>
  <si>
    <t>Gas supply demand cost</t>
  </si>
  <si>
    <t>Gas cupply demand cost</t>
  </si>
  <si>
    <t>Trans.non-exclus inter/firm option - com</t>
  </si>
  <si>
    <t>Trans.large volume - industrial</t>
  </si>
  <si>
    <t>Trans.interrupt with firm option - ind</t>
  </si>
  <si>
    <t>Trans.non-exclus inter/firm option - ind</t>
  </si>
  <si>
    <t>Bills (basic charges)</t>
  </si>
  <si>
    <t>Bills (basic charges) by rate schedule</t>
  </si>
  <si>
    <t>Schedule 86T Limited Interruptible with Firm Option - Industrial</t>
  </si>
  <si>
    <t>Balancing charge</t>
  </si>
  <si>
    <t>86TG-I</t>
  </si>
  <si>
    <t>Trans. limited interrupt w/ firm option - ind</t>
  </si>
  <si>
    <t>Trans. limited interrupt w/ firm option (86T)</t>
  </si>
  <si>
    <t>Transportation - Limited interruptible (86T)</t>
  </si>
  <si>
    <t>86T I</t>
  </si>
  <si>
    <t>Transportation - limited interrupt with firm option</t>
  </si>
  <si>
    <t>Transportation - limited interrupt with firm option - ind</t>
  </si>
  <si>
    <t xml:space="preserve">Transportation - limited interrupt with firm option </t>
  </si>
  <si>
    <t>Transportation - limited interrupt with firm option (86T)</t>
  </si>
  <si>
    <t>Trans.limited interrupt with firm option - ind</t>
  </si>
  <si>
    <t>Transportation - limited interruptible (86T)</t>
  </si>
  <si>
    <t xml:space="preserve">Bills by Rate Schedule </t>
  </si>
  <si>
    <t>31</t>
  </si>
  <si>
    <t>41</t>
  </si>
  <si>
    <t>85</t>
  </si>
  <si>
    <t>86</t>
  </si>
  <si>
    <t>87</t>
  </si>
  <si>
    <t>23</t>
  </si>
  <si>
    <t>53</t>
  </si>
  <si>
    <t>Customer Counts</t>
  </si>
  <si>
    <t>Trans. limited interrupt w/ firm option - ind (86T)</t>
  </si>
  <si>
    <t>Total normalized volume</t>
  </si>
  <si>
    <t>Restated</t>
  </si>
  <si>
    <t>Normalized</t>
  </si>
  <si>
    <t>Gas Costs (Schedule 101)</t>
  </si>
  <si>
    <t>Total gas cost</t>
  </si>
  <si>
    <t>SC</t>
  </si>
  <si>
    <t>Total customer charges from A11a less adjustments</t>
  </si>
  <si>
    <t>Total demand data from A11a less adjustments</t>
  </si>
  <si>
    <t>SCH_031GC : Natural Gas Commercial General Service</t>
  </si>
  <si>
    <t>SCH_041GC : Natural Gas Large Vol. High Load Factor</t>
  </si>
  <si>
    <t>SCH_041GTC : NGDS Transportation Service Firm LVHLF</t>
  </si>
  <si>
    <t>SCH_031GTC : NGDS Transportation Service Firm Com</t>
  </si>
  <si>
    <t>SCH_085GC : Natural Gas Inter Service w/ Firm Option</t>
  </si>
  <si>
    <t>SCH_085GTC : NGDS Trans Service Inter. w/ Firm Option</t>
  </si>
  <si>
    <t>SCH_086GC : Nat Gas Limit Inter Serv w/ Firm Option</t>
  </si>
  <si>
    <t>SCH_087GC : Nat Gas Non-Ex Inter Serv w/ Firm Option</t>
  </si>
  <si>
    <t>SCH_087GTC : NGDS Trans Serv Non-Excl Inter w/ Firm</t>
  </si>
  <si>
    <t>SCH_031GI : Natural Gas Industrial General Service</t>
  </si>
  <si>
    <t>SCH_041GI : Natural Gas Large Vol. High Load Factor</t>
  </si>
  <si>
    <t>SCH_041GTI : NGDS Transportation Service Firm LVHLF</t>
  </si>
  <si>
    <t>SCH_085GI : Natural Gas Inter Service w/ Firm Option</t>
  </si>
  <si>
    <t>SCH_085GTI : NGDS Trans Service Inter. w/ Firm Option</t>
  </si>
  <si>
    <t>SCH_086GI : Nat Gas Limit Inter Serv w/ Firm Option</t>
  </si>
  <si>
    <t>SCH_086GTI : NGDS Trans Service Limited Inter w/ Firm</t>
  </si>
  <si>
    <t>SCH_087GI : Nat Gas Non-Ex Inter Serv w/ Firm Option</t>
  </si>
  <si>
    <t>SCH_087GTI : NGDS Trans Serv Non-Excl Inter w/ Firm</t>
  </si>
  <si>
    <t>SCH_099GT : NGDS Transportation Service Special</t>
  </si>
  <si>
    <t>SCH_023G : Natural Gas Residential General Service</t>
  </si>
  <si>
    <t>SCH_053G : Propane Service</t>
  </si>
  <si>
    <t>41T-C</t>
  </si>
  <si>
    <t>First 900 therms</t>
  </si>
  <si>
    <t>Next 4,100 therms</t>
  </si>
  <si>
    <t>All over 5,000 therms</t>
  </si>
  <si>
    <t>41T-I</t>
  </si>
  <si>
    <t>First 1,000 therms</t>
  </si>
  <si>
    <t>All over 1,000 therms</t>
  </si>
  <si>
    <t xml:space="preserve">First 900 therms or less  </t>
  </si>
  <si>
    <t>85T-C</t>
  </si>
  <si>
    <t>All over 50,000 therms</t>
  </si>
  <si>
    <t>85T-I</t>
  </si>
  <si>
    <t>87T-C</t>
  </si>
  <si>
    <t>Next 300,000 therms</t>
  </si>
  <si>
    <t>All over 500,000 therms</t>
  </si>
  <si>
    <t>87T-I</t>
  </si>
  <si>
    <t>31T C</t>
  </si>
  <si>
    <t>Schedule 31T General Service - Commercial</t>
  </si>
  <si>
    <t>31T</t>
  </si>
  <si>
    <t>Tran. General service - commercial</t>
  </si>
  <si>
    <t>Transportation - General Service (31T)</t>
  </si>
  <si>
    <t>Trans. - commercial</t>
  </si>
  <si>
    <t>Trans. General services (31T)</t>
  </si>
  <si>
    <t>Transportation - general services (31T)</t>
  </si>
  <si>
    <t>Transportation - Commercial &amp; Industrial (31T)</t>
  </si>
  <si>
    <t>Total Revenue</t>
  </si>
  <si>
    <t>Demand Charge</t>
  </si>
  <si>
    <t>CAL</t>
  </si>
  <si>
    <t>2018 Gas Expedited Rate Filing (ERF)</t>
  </si>
  <si>
    <t>Actual Therms by Rate Schedule</t>
  </si>
  <si>
    <t>31T I</t>
  </si>
  <si>
    <t>SCH_031GTI : NGDS Tranportation General Service</t>
  </si>
  <si>
    <t>Emergency Compressed Nature Gas Service</t>
  </si>
  <si>
    <t>Trans.  - commercial</t>
  </si>
  <si>
    <t>Total sales &amp; transportation volume Schedules (85,87,85T &amp; 87T) &amp; Special Contracts</t>
  </si>
  <si>
    <t>Standby &amp; auxiliary heating - res</t>
  </si>
  <si>
    <t>Standby &amp; auxiliary heating - com</t>
  </si>
  <si>
    <t>Standby &amp; auxiliary heating - ind</t>
  </si>
  <si>
    <t>Standby service (61)</t>
  </si>
  <si>
    <t>Current and Proposed Rates by Rate Schedule</t>
  </si>
  <si>
    <t xml:space="preserve">Billing </t>
  </si>
  <si>
    <t>Current</t>
  </si>
  <si>
    <t>Proposed</t>
  </si>
  <si>
    <t xml:space="preserve">Difference </t>
  </si>
  <si>
    <t>Target</t>
  </si>
  <si>
    <t>Resulting</t>
  </si>
  <si>
    <t>Determinants</t>
  </si>
  <si>
    <t>Revenues</t>
  </si>
  <si>
    <t>$</t>
  </si>
  <si>
    <t>%</t>
  </si>
  <si>
    <t>Increase</t>
  </si>
  <si>
    <t>Percent</t>
  </si>
  <si>
    <t>Schedule 23</t>
  </si>
  <si>
    <t>TARGET 23/53</t>
  </si>
  <si>
    <t>Basic Charge</t>
  </si>
  <si>
    <t>Delivery Charge</t>
  </si>
  <si>
    <t>over (under)</t>
  </si>
  <si>
    <t>Gas Revenue (Schedule 101) (1)</t>
  </si>
  <si>
    <t>Total Revenues</t>
  </si>
  <si>
    <t>Schedule 53</t>
  </si>
  <si>
    <t>Total Delivery Charges</t>
  </si>
  <si>
    <t>Schedule 16</t>
  </si>
  <si>
    <t>TARGET 16</t>
  </si>
  <si>
    <t>Total Delivery Charge</t>
  </si>
  <si>
    <t>Calculated Total Therms</t>
  </si>
  <si>
    <t>Residential Summary</t>
  </si>
  <si>
    <t>Total Residential Gas (Schedule 101) Revenues</t>
  </si>
  <si>
    <t>Total Residential Margin Revenues</t>
  </si>
  <si>
    <t>Total Residential Revenues</t>
  </si>
  <si>
    <t>(1) Schedule 101 rates at proposed revenue adjustment factor (RAF).</t>
  </si>
  <si>
    <t>Schedule 31 - Sales</t>
  </si>
  <si>
    <t>TARGET 31/31T</t>
  </si>
  <si>
    <t>Procurement Charge</t>
  </si>
  <si>
    <t>Schedule 31 - Transportation</t>
  </si>
  <si>
    <t>Gas Balancing Service Charge</t>
  </si>
  <si>
    <t>Schedule 31 - Total</t>
  </si>
  <si>
    <t>Schedule 41 - Sales</t>
  </si>
  <si>
    <t>TARGET 41/41T</t>
  </si>
  <si>
    <t>Minimum Bill</t>
  </si>
  <si>
    <t>Delivery Charge:</t>
  </si>
  <si>
    <t>in minimum bills</t>
  </si>
  <si>
    <t>Total Volume</t>
  </si>
  <si>
    <t>Volumetric Charge</t>
  </si>
  <si>
    <t>Total Gas Revenue</t>
  </si>
  <si>
    <t>Schedule 41 - Transportation</t>
  </si>
  <si>
    <t>Schedule 41 - Total</t>
  </si>
  <si>
    <t>Commercial &amp; Industrial Summary</t>
  </si>
  <si>
    <t>Total Gas (Schedule 101) Revenues</t>
  </si>
  <si>
    <t>Schedules 31, 31T, 61</t>
  </si>
  <si>
    <t>Schedule 41, 41T</t>
  </si>
  <si>
    <t>Total Margin Revenues</t>
  </si>
  <si>
    <t>Schedules 31, 31T</t>
  </si>
  <si>
    <t>Schedule 85 - Sales</t>
  </si>
  <si>
    <t>TARGET 85/85T</t>
  </si>
  <si>
    <t>Minimum Bills</t>
  </si>
  <si>
    <t>First 25,000 Therms</t>
  </si>
  <si>
    <t>Next 25,000 Therms</t>
  </si>
  <si>
    <t>All over 50,000 Therms</t>
  </si>
  <si>
    <t>Schedule 85 - Transportation</t>
  </si>
  <si>
    <t>Next 50,000 Therms</t>
  </si>
  <si>
    <t>Schedule 85 - Total</t>
  </si>
  <si>
    <t>Schedule 86 - Sales</t>
  </si>
  <si>
    <t>TARGET 86/86T</t>
  </si>
  <si>
    <t>Schedule 86 - Transportation</t>
  </si>
  <si>
    <t>Schedule 86 - Total</t>
  </si>
  <si>
    <t>Schedule 87 - Sales</t>
  </si>
  <si>
    <t>TARGET 87/87T</t>
  </si>
  <si>
    <t>Schedule 87 - Transportation</t>
  </si>
  <si>
    <t>Schedule 87 - Total</t>
  </si>
  <si>
    <t>Interruptible Summary</t>
  </si>
  <si>
    <t>Schedules 85, 85T</t>
  </si>
  <si>
    <t>Schedules 86, 86T</t>
  </si>
  <si>
    <t>Schedules 87, 87T</t>
  </si>
  <si>
    <t>Total Summary</t>
  </si>
  <si>
    <t>Plus Contracts</t>
  </si>
  <si>
    <t>Plus Rentals</t>
  </si>
  <si>
    <t>Grand Total</t>
  </si>
  <si>
    <t>Rental Schedules 71, 72 and 74</t>
  </si>
  <si>
    <t>Rate</t>
  </si>
  <si>
    <t>Annual</t>
  </si>
  <si>
    <t xml:space="preserve">Under </t>
  </si>
  <si>
    <t>Charges</t>
  </si>
  <si>
    <t>Existing Rates</t>
  </si>
  <si>
    <t>Proposed Rates</t>
  </si>
  <si>
    <t>71</t>
  </si>
  <si>
    <t>71G-A</t>
  </si>
  <si>
    <t xml:space="preserve">Standard Models </t>
  </si>
  <si>
    <t>71G-B</t>
  </si>
  <si>
    <t xml:space="preserve">Conservation Models </t>
  </si>
  <si>
    <t>71G-C</t>
  </si>
  <si>
    <t xml:space="preserve">Direct Vent Models </t>
  </si>
  <si>
    <t>71G-D</t>
  </si>
  <si>
    <t xml:space="preserve">High Recovery Models </t>
  </si>
  <si>
    <t>71G-E</t>
  </si>
  <si>
    <t xml:space="preserve">High Efficiency Standard (Energy Factor ≥.60)  </t>
  </si>
  <si>
    <t>71G-F</t>
  </si>
  <si>
    <t xml:space="preserve">High Efficiency Direct Vent (Energy Factor ≥.60) </t>
  </si>
  <si>
    <t>72</t>
  </si>
  <si>
    <t>72G-F</t>
  </si>
  <si>
    <t xml:space="preserve">25 - 40 gallon storage 30,000 to 50,000 </t>
  </si>
  <si>
    <t>72G-G</t>
  </si>
  <si>
    <t xml:space="preserve">45 - 55 gallon storage 70,000 to 79,000 </t>
  </si>
  <si>
    <t>72G-H</t>
  </si>
  <si>
    <t xml:space="preserve">45 - 55 gallon storage 51,000 to 75,000 </t>
  </si>
  <si>
    <t>72G-I</t>
  </si>
  <si>
    <t xml:space="preserve">50 - 65 gallon storage 60,000 to 69,000 </t>
  </si>
  <si>
    <t>72G-J</t>
  </si>
  <si>
    <t xml:space="preserve">60 - 84 gallon storage 70,000 to 129,000 </t>
  </si>
  <si>
    <t>72G-K</t>
  </si>
  <si>
    <t xml:space="preserve">75 - 90 gallon storage 130,000 to 169,000 </t>
  </si>
  <si>
    <t>72G-L</t>
  </si>
  <si>
    <t xml:space="preserve">75 - 100 gallon storage 170,000 to 200,000 </t>
  </si>
  <si>
    <t>74</t>
  </si>
  <si>
    <t>74G-A</t>
  </si>
  <si>
    <t xml:space="preserve">45,000 to 400,000 Standard Models </t>
  </si>
  <si>
    <t>TARGET</t>
  </si>
  <si>
    <t>74G-B</t>
  </si>
  <si>
    <t xml:space="preserve">401,000 to 700,000 Standard Models </t>
  </si>
  <si>
    <t>74G-C</t>
  </si>
  <si>
    <t xml:space="preserve">701,000 to 1,300,000 Standard Models </t>
  </si>
  <si>
    <t>74G-D</t>
  </si>
  <si>
    <t xml:space="preserve">45,000 to 400,000 Conservation Models </t>
  </si>
  <si>
    <t>Test Year Ended September 2016</t>
  </si>
  <si>
    <t>Calendarized Volume (Therms)</t>
  </si>
  <si>
    <t>Summary of Restated Gas Revenues &amp; Cost by Rate Schedule</t>
  </si>
  <si>
    <t>D = B + C</t>
  </si>
  <si>
    <t>Trans. General Service - Industrial</t>
  </si>
  <si>
    <t>Schedule 31T General Service - Industrial</t>
  </si>
  <si>
    <t>Trans. General service - industrial</t>
  </si>
  <si>
    <t>Trans. General service - commercial</t>
  </si>
  <si>
    <t>Tran. General Service</t>
  </si>
  <si>
    <t>2017 Gas General Rate Case - Updated For Tax Reform</t>
  </si>
  <si>
    <t>2017 Gas General Rate Case - Updated for Tax Reform</t>
  </si>
  <si>
    <t>Test Year Ended June 30, 2018</t>
  </si>
  <si>
    <t>Data Source: Water Heaters_A11A Cal 8-30-18_Jul17-Jun18.xlsx</t>
  </si>
  <si>
    <t>Water Heater Rental Revenue at UG-180283 Rates (Tax Reform)</t>
  </si>
  <si>
    <t>Data Source: A11A_Calender_08-08-18.xlsx</t>
  </si>
  <si>
    <t>Data Source: Calendar Volumes by Block Jul17-Jun18_08-08-18 Data.xlsx</t>
  </si>
  <si>
    <t>(1)</t>
  </si>
  <si>
    <t>Summary of Restated Normalized Revenues by Rate Schedule</t>
  </si>
  <si>
    <t>Actual</t>
  </si>
  <si>
    <t>CRM rate</t>
  </si>
  <si>
    <t>CRM</t>
  </si>
  <si>
    <t>CRM revenue</t>
  </si>
  <si>
    <t>CRM rates</t>
  </si>
  <si>
    <t>CRM revevue</t>
  </si>
  <si>
    <t>CRM Revenue (Schedule 149)</t>
  </si>
  <si>
    <t>Sch. 149</t>
  </si>
  <si>
    <t>E = B + C + D</t>
  </si>
  <si>
    <t>(2)</t>
  </si>
  <si>
    <t>Revenue (1)</t>
  </si>
  <si>
    <t>Margin</t>
  </si>
  <si>
    <t>(3)</t>
  </si>
  <si>
    <t>Gas Revenue (2)</t>
  </si>
  <si>
    <t>CRM Revenue (3)</t>
  </si>
  <si>
    <t xml:space="preserve">Total </t>
  </si>
  <si>
    <t>ERF Adjustments</t>
  </si>
  <si>
    <t>Decoupling mechanism Adjustments</t>
  </si>
  <si>
    <t>Margin Impact from Weather Adjustment</t>
  </si>
  <si>
    <t>Gas Weather Normalization Revenue Calculation For Non-Decoupled Rate Schedules</t>
  </si>
  <si>
    <t>Calculated Weather Normalized Revenue at UG-180283 Rates (Tax Reform)</t>
  </si>
  <si>
    <t xml:space="preserve">2017 -2018 TEMPERATURE ADJUSTMENT TO  GAS SYSTEM SENDOUT </t>
  </si>
  <si>
    <t>Actual Data</t>
  </si>
  <si>
    <t>HDD65</t>
  </si>
  <si>
    <t>HDD45</t>
  </si>
  <si>
    <t>Temperature Adjustment to Actual (Actual - Normalized)</t>
  </si>
  <si>
    <t>Total Sales (therms)</t>
  </si>
  <si>
    <t>Customers</t>
  </si>
  <si>
    <t>UPC (therms)</t>
  </si>
  <si>
    <t>Coefficient</t>
  </si>
  <si>
    <t>UPC Impact (therms)</t>
  </si>
  <si>
    <t>Sendout (therms)</t>
  </si>
  <si>
    <t>Temperature Adj./Actual Sendout (%)</t>
  </si>
  <si>
    <t>% Deviation from</t>
  </si>
  <si>
    <t>Year</t>
  </si>
  <si>
    <t>Month</t>
  </si>
  <si>
    <t>Transport</t>
  </si>
  <si>
    <t>Normal</t>
  </si>
  <si>
    <t>Difference</t>
  </si>
  <si>
    <t>Normal HDD65</t>
  </si>
  <si>
    <t>Note:  1) Monthly gas firm, interruptible and transportation sendout figures were obtained by summing the daily sendout data posted by Gas Operations.</t>
  </si>
  <si>
    <t xml:space="preserve">             2) Normal weather values are the average values calculated for 1988 -2017.</t>
  </si>
  <si>
    <t>Shaded Information is Designated as CONFIDENTIAL per WAC 480-07-160</t>
  </si>
  <si>
    <t>Restated Margin Revenue at current tax reform rates (UG-180283) effective May 1, 2018.</t>
  </si>
  <si>
    <t>Restated Gas Revenue at current Schedule 101 rates effective November 1, 2018.</t>
  </si>
  <si>
    <t>Restated Gas Revenue at current Schedule 149 rates effective November 1, 2018.</t>
  </si>
  <si>
    <t>Gas Revenue (1)</t>
  </si>
  <si>
    <t>Gas Cost (1)</t>
  </si>
  <si>
    <t>Restated Gas Revenue and Cost at current Schedule 101 rates effective November 1, 2018.</t>
  </si>
  <si>
    <t>Billing Determinants and Minimum Bill Revenue Data</t>
  </si>
  <si>
    <t>Actual Therms by Rate Block</t>
  </si>
  <si>
    <t>REDACTED</t>
  </si>
  <si>
    <t>REDACTED VERSION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</si>
</sst>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5">
    <numFmt numFmtId="5" formatCode="&quot;$&quot;#,##0_);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.00000_);_(&quot;$&quot;* \(#,##0.00000\);_(&quot;$&quot;* &quot;-&quot;?????_);_(@_)"/>
    <numFmt numFmtId="165" formatCode="_(&quot;$&quot;* #,##0.00_);_(&quot;$&quot;* \(#,##0.00\);_(&quot;$&quot;* &quot;-&quot;?????_);_(@_)"/>
    <numFmt numFmtId="166" formatCode="0.0%"/>
    <numFmt numFmtId="167" formatCode="0.000000"/>
    <numFmt numFmtId="168" formatCode="0.00000"/>
    <numFmt numFmtId="169" formatCode="0.0000"/>
    <numFmt numFmtId="170" formatCode="_(* #,##0_);_(* \(#,##0\);_(* &quot;-&quot;??_);_(@_)"/>
    <numFmt numFmtId="171" formatCode="_(&quot;$&quot;* #,##0_);_(&quot;$&quot;* \(#,##0\);_(&quot;$&quot;* &quot;-&quot;??_);_(@_)"/>
    <numFmt numFmtId="172" formatCode="#,##0.000000_);\(#,##0.000000\)"/>
    <numFmt numFmtId="173" formatCode="_(&quot;$&quot;* #,##0.000000_);_(&quot;$&quot;* \(#,##0.000000\);_(&quot;$&quot;* &quot;-&quot;_);_(@_)"/>
    <numFmt numFmtId="174" formatCode="[$-409]mmm\-yy;@"/>
    <numFmt numFmtId="175" formatCode="0.000%"/>
    <numFmt numFmtId="176" formatCode="#,##0;&quot;-&quot;#,##0"/>
    <numFmt numFmtId="177" formatCode="_(* #,##0.000000_);_(* \(#,##0.000000\);_(* &quot;-&quot;??_);_(@_)"/>
    <numFmt numFmtId="178" formatCode="&quot;$&quot;#,##0.00\ ;\(&quot;$&quot;#,##0.00\)"/>
    <numFmt numFmtId="179" formatCode="&quot;$&quot;#,##0\ ;\(&quot;$&quot;#,##0\)"/>
    <numFmt numFmtId="180" formatCode="&quot;$&quot;#,##0.00000"/>
    <numFmt numFmtId="181" formatCode="&quot;$&quot;#,##0.00000\ ;\(&quot;$&quot;#,##0.00000\)"/>
    <numFmt numFmtId="182" formatCode="0.0000%"/>
    <numFmt numFmtId="183" formatCode="#,##0.00000"/>
    <numFmt numFmtId="184" formatCode="&quot;$&quot;#,##0.0000\ ;\(&quot;$&quot;#,##0.0000\)"/>
    <numFmt numFmtId="185" formatCode="#,##0.0"/>
    <numFmt numFmtId="186" formatCode="_(&quot;$&quot;* #,##0.00000_);_(&quot;$&quot;* \(#,##0.00000\);_(&quot;$&quot;* &quot;-&quot;??_);_(@_)"/>
    <numFmt numFmtId="187" formatCode="&quot;$&quot;#,##0"/>
    <numFmt numFmtId="188" formatCode="&quot;$&quot;#,##0.000\ ;\(&quot;$&quot;#,##0.000\)"/>
    <numFmt numFmtId="189" formatCode="_(&quot;$&quot;* #,##0.00000_);_(&quot;$&quot;* \(#,##0.00000\);_(&quot;$&quot;* &quot;-&quot;??????_);_(@_)"/>
    <numFmt numFmtId="190" formatCode="_(* #,##0.0_);_(* \(#,##0.0\);_(* &quot;-&quot;??_);_(@_)"/>
    <numFmt numFmtId="191" formatCode="_(* #,##0.0000_);_(* \(#,##0.0000\);_(* &quot;-&quot;??_);_(@_)"/>
    <numFmt numFmtId="192" formatCode="0.0"/>
  </numFmts>
  <fonts count="43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12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8"/>
      <name val="Arial"/>
      <family val="2"/>
    </font>
    <font>
      <sz val="10"/>
      <color indexed="12"/>
      <name val="Arial"/>
      <family val="2"/>
    </font>
    <font>
      <sz val="10"/>
      <color indexed="21"/>
      <name val="Arial"/>
      <family val="2"/>
    </font>
    <font>
      <sz val="10"/>
      <color indexed="21"/>
      <name val="Arial"/>
      <family val="2"/>
    </font>
    <font>
      <sz val="10"/>
      <color indexed="12"/>
      <name val="Arial"/>
      <family val="2"/>
    </font>
    <font>
      <sz val="10"/>
      <color indexed="10"/>
      <name val="Arial"/>
      <family val="2"/>
    </font>
    <font>
      <sz val="10"/>
      <color indexed="12"/>
      <name val="Arial"/>
      <family val="2"/>
    </font>
    <font>
      <sz val="10"/>
      <color rgb="FF008080"/>
      <name val="Arial"/>
      <family val="2"/>
    </font>
    <font>
      <sz val="10"/>
      <color rgb="FF0000FF"/>
      <name val="Arial"/>
      <family val="2"/>
    </font>
    <font>
      <sz val="10"/>
      <name val="Arial"/>
      <family val="2"/>
    </font>
    <font>
      <sz val="11"/>
      <color indexed="12"/>
      <name val="Calibri"/>
      <family val="2"/>
      <scheme val="minor"/>
    </font>
    <font>
      <sz val="10"/>
      <color theme="1"/>
      <name val="Arial"/>
      <family val="2"/>
    </font>
    <font>
      <sz val="11"/>
      <color rgb="FF0000FF"/>
      <name val="Calibri"/>
      <family val="2"/>
      <scheme val="minor"/>
    </font>
    <font>
      <sz val="11"/>
      <color rgb="FF008080"/>
      <name val="Calibri"/>
      <family val="2"/>
      <scheme val="minor"/>
    </font>
    <font>
      <b/>
      <sz val="10"/>
      <color theme="1"/>
      <name val="Arial"/>
      <family val="2"/>
    </font>
    <font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theme="8" tint="-0.249977111117893"/>
      <name val="Arial"/>
      <family val="2"/>
    </font>
    <font>
      <sz val="10"/>
      <color rgb="FFFF0000"/>
      <name val="Arial"/>
      <family val="2"/>
    </font>
    <font>
      <sz val="10"/>
      <color indexed="9"/>
      <name val="Arial"/>
      <family val="2"/>
    </font>
    <font>
      <b/>
      <sz val="12"/>
      <name val="Arial"/>
      <family val="2"/>
    </font>
    <font>
      <b/>
      <sz val="11"/>
      <color theme="1"/>
      <name val="Calibri"/>
      <family val="2"/>
      <scheme val="minor"/>
    </font>
    <font>
      <sz val="8"/>
      <color rgb="FFFF0000"/>
      <name val="Arial"/>
      <family val="2"/>
    </font>
    <font>
      <b/>
      <sz val="14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0070C0"/>
      <name val="Calibri"/>
      <family val="2"/>
      <scheme val="minor"/>
    </font>
    <font>
      <sz val="10"/>
      <color theme="4" tint="-0.249977111117893"/>
      <name val="Calibri"/>
      <family val="2"/>
      <scheme val="minor"/>
    </font>
    <font>
      <sz val="10"/>
      <color rgb="FF008080"/>
      <name val="Calibri"/>
      <family val="2"/>
      <scheme val="minor"/>
    </font>
    <font>
      <sz val="10"/>
      <color theme="4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0"/>
      <color theme="0"/>
      <name val="Arial"/>
      <family val="2"/>
    </font>
    <font>
      <b/>
      <sz val="16"/>
      <color theme="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/>
        <bgColor indexed="64"/>
      </patternFill>
    </fill>
  </fills>
  <borders count="5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10"/>
      </left>
      <right/>
      <top/>
      <bottom/>
      <diagonal/>
    </border>
    <border>
      <left/>
      <right style="medium">
        <color indexed="10"/>
      </right>
      <top/>
      <bottom/>
      <diagonal/>
    </border>
    <border>
      <left style="medium">
        <color indexed="10"/>
      </left>
      <right/>
      <top/>
      <bottom style="medium">
        <color indexed="10"/>
      </bottom>
      <diagonal/>
    </border>
    <border>
      <left/>
      <right/>
      <top/>
      <bottom style="medium">
        <color indexed="10"/>
      </bottom>
      <diagonal/>
    </border>
    <border>
      <left/>
      <right style="medium">
        <color indexed="10"/>
      </right>
      <top/>
      <bottom style="medium">
        <color indexed="10"/>
      </bottom>
      <diagonal/>
    </border>
    <border>
      <left/>
      <right/>
      <top style="thin">
        <color auto="1"/>
      </top>
      <bottom/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/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/>
      <top/>
      <bottom/>
      <diagonal/>
    </border>
    <border>
      <left/>
      <right style="medium">
        <color rgb="FFFF0000"/>
      </right>
      <top/>
      <bottom/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/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/>
      <right/>
      <top style="medium">
        <color indexed="10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FFFF00"/>
      </left>
      <right/>
      <top style="thin">
        <color rgb="FFFFFF00"/>
      </top>
      <bottom style="thin">
        <color rgb="FFFFFF00"/>
      </bottom>
      <diagonal/>
    </border>
    <border>
      <left/>
      <right/>
      <top style="thin">
        <color rgb="FFFFFF00"/>
      </top>
      <bottom style="thin">
        <color rgb="FFFFFF00"/>
      </bottom>
      <diagonal/>
    </border>
    <border>
      <left/>
      <right style="thin">
        <color rgb="FFFFFF00"/>
      </right>
      <top style="thin">
        <color rgb="FFFFFF00"/>
      </top>
      <bottom style="thin">
        <color rgb="FFFFFF00"/>
      </bottom>
      <diagonal/>
    </border>
    <border>
      <left/>
      <right/>
      <top/>
      <bottom style="thin">
        <color indexed="64"/>
      </bottom>
      <diagonal/>
    </border>
    <border>
      <left style="medium">
        <color indexed="10"/>
      </left>
      <right/>
      <top style="medium">
        <color indexed="10"/>
      </top>
      <bottom/>
      <diagonal/>
    </border>
    <border>
      <left/>
      <right style="medium">
        <color indexed="10"/>
      </right>
      <top style="medium">
        <color indexed="10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FFFF00"/>
      </left>
      <right/>
      <top style="thin">
        <color rgb="FFFFFF00"/>
      </top>
      <bottom/>
      <diagonal/>
    </border>
    <border>
      <left/>
      <right/>
      <top style="thin">
        <color rgb="FFFFFF00"/>
      </top>
      <bottom/>
      <diagonal/>
    </border>
    <border>
      <left/>
      <right style="thin">
        <color rgb="FFFFFF00"/>
      </right>
      <top style="thin">
        <color rgb="FFFFFF00"/>
      </top>
      <bottom/>
      <diagonal/>
    </border>
    <border>
      <left style="thin">
        <color rgb="FFFFFF00"/>
      </left>
      <right/>
      <top/>
      <bottom/>
      <diagonal/>
    </border>
    <border>
      <left/>
      <right style="thin">
        <color rgb="FFFFFF00"/>
      </right>
      <top/>
      <bottom/>
      <diagonal/>
    </border>
    <border>
      <left style="thin">
        <color rgb="FFFFFF00"/>
      </left>
      <right/>
      <top/>
      <bottom style="thin">
        <color rgb="FFFFFF00"/>
      </bottom>
      <diagonal/>
    </border>
    <border>
      <left/>
      <right/>
      <top/>
      <bottom style="thin">
        <color rgb="FFFFFF00"/>
      </bottom>
      <diagonal/>
    </border>
    <border>
      <left/>
      <right style="thin">
        <color rgb="FFFFFF00"/>
      </right>
      <top/>
      <bottom style="thin">
        <color rgb="FFFFFF00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rgb="FFFFFF00"/>
      </right>
      <top/>
      <bottom style="thin">
        <color indexed="64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 style="medium">
        <color rgb="FFFF0000"/>
      </right>
      <top/>
      <bottom/>
      <diagonal/>
    </border>
    <border>
      <left style="medium">
        <color rgb="FFFF0000"/>
      </left>
      <right style="medium">
        <color rgb="FFFF0000"/>
      </right>
      <top/>
      <bottom style="medium">
        <color rgb="FFFF0000"/>
      </bottom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925">
    <xf numFmtId="0" fontId="0" fillId="0" borderId="0" xfId="0"/>
    <xf numFmtId="170" fontId="17" fillId="0" borderId="0" xfId="0" applyNumberFormat="1" applyFont="1"/>
    <xf numFmtId="170" fontId="4" fillId="0" borderId="0" xfId="0" applyNumberFormat="1" applyFont="1" applyAlignment="1">
      <alignment horizontal="left"/>
    </xf>
    <xf numFmtId="170" fontId="4" fillId="0" borderId="0" xfId="0" applyNumberFormat="1" applyFont="1"/>
    <xf numFmtId="170" fontId="3" fillId="0" borderId="0" xfId="0" applyNumberFormat="1" applyFont="1"/>
    <xf numFmtId="17" fontId="4" fillId="0" borderId="0" xfId="0" applyNumberFormat="1" applyFont="1"/>
    <xf numFmtId="0" fontId="4" fillId="0" borderId="28" xfId="0" applyFont="1" applyBorder="1" applyAlignment="1">
      <alignment horizontal="center"/>
    </xf>
    <xf numFmtId="17" fontId="4" fillId="0" borderId="28" xfId="0" applyNumberFormat="1" applyFont="1" applyBorder="1" applyAlignment="1">
      <alignment horizontal="center"/>
    </xf>
    <xf numFmtId="0" fontId="5" fillId="0" borderId="0" xfId="0" applyFont="1"/>
    <xf numFmtId="0" fontId="4" fillId="0" borderId="0" xfId="0" applyFont="1"/>
    <xf numFmtId="43" fontId="18" fillId="0" borderId="0" xfId="0" applyNumberFormat="1" applyFont="1" applyFill="1"/>
    <xf numFmtId="43" fontId="20" fillId="0" borderId="0" xfId="0" applyNumberFormat="1" applyFont="1" applyFill="1"/>
    <xf numFmtId="0" fontId="4" fillId="0" borderId="0" xfId="0" quotePrefix="1" applyNumberFormat="1" applyFont="1"/>
    <xf numFmtId="0" fontId="20" fillId="0" borderId="3" xfId="0" applyFont="1" applyBorder="1" applyAlignment="1">
      <alignment horizontal="center"/>
    </xf>
    <xf numFmtId="17" fontId="20" fillId="0" borderId="3" xfId="0" applyNumberFormat="1" applyFont="1" applyBorder="1" applyAlignment="1">
      <alignment horizontal="center"/>
    </xf>
    <xf numFmtId="0" fontId="5" fillId="0" borderId="0" xfId="0" applyFont="1"/>
    <xf numFmtId="0" fontId="0" fillId="0" borderId="3" xfId="0" applyBorder="1" applyAlignment="1">
      <alignment horizontal="center"/>
    </xf>
    <xf numFmtId="44" fontId="0" fillId="0" borderId="0" xfId="0" applyNumberFormat="1"/>
    <xf numFmtId="164" fontId="0" fillId="0" borderId="0" xfId="0" applyNumberFormat="1"/>
    <xf numFmtId="44" fontId="6" fillId="0" borderId="0" xfId="0" applyNumberFormat="1" applyFont="1"/>
    <xf numFmtId="164" fontId="0" fillId="0" borderId="0" xfId="0" applyNumberFormat="1" applyBorder="1"/>
    <xf numFmtId="0" fontId="0" fillId="0" borderId="0" xfId="0" applyAlignment="1">
      <alignment horizontal="right"/>
    </xf>
    <xf numFmtId="3" fontId="0" fillId="0" borderId="0" xfId="0" applyNumberFormat="1"/>
    <xf numFmtId="42" fontId="0" fillId="0" borderId="0" xfId="0" applyNumberFormat="1"/>
    <xf numFmtId="42" fontId="0" fillId="0" borderId="2" xfId="0" applyNumberFormat="1" applyBorder="1"/>
    <xf numFmtId="3" fontId="6" fillId="0" borderId="0" xfId="0" applyNumberFormat="1" applyFont="1"/>
    <xf numFmtId="44" fontId="0" fillId="0" borderId="0" xfId="0" applyNumberFormat="1" applyBorder="1"/>
    <xf numFmtId="0" fontId="0" fillId="0" borderId="0" xfId="0" applyBorder="1" applyAlignment="1">
      <alignment horizontal="center"/>
    </xf>
    <xf numFmtId="17" fontId="0" fillId="0" borderId="0" xfId="0" applyNumberFormat="1" applyBorder="1" applyAlignment="1">
      <alignment horizontal="center"/>
    </xf>
    <xf numFmtId="0" fontId="5" fillId="0" borderId="0" xfId="0" applyFont="1" applyFill="1"/>
    <xf numFmtId="0" fontId="0" fillId="0" borderId="0" xfId="0" applyFill="1"/>
    <xf numFmtId="0" fontId="0" fillId="0" borderId="0" xfId="0" applyFill="1" applyBorder="1"/>
    <xf numFmtId="44" fontId="0" fillId="0" borderId="0" xfId="0" applyNumberFormat="1" applyFill="1" applyBorder="1"/>
    <xf numFmtId="3" fontId="6" fillId="0" borderId="0" xfId="0" applyNumberFormat="1" applyFont="1" applyFill="1"/>
    <xf numFmtId="42" fontId="0" fillId="0" borderId="0" xfId="0" applyNumberFormat="1" applyFill="1"/>
    <xf numFmtId="42" fontId="0" fillId="0" borderId="2" xfId="0" applyNumberFormat="1" applyFill="1" applyBorder="1"/>
    <xf numFmtId="42" fontId="0" fillId="0" borderId="0" xfId="0" applyNumberFormat="1" applyFill="1" applyBorder="1"/>
    <xf numFmtId="0" fontId="6" fillId="0" borderId="0" xfId="0" applyFont="1" applyFill="1"/>
    <xf numFmtId="0" fontId="0" fillId="0" borderId="0" xfId="0" applyAlignment="1">
      <alignment horizontal="center"/>
    </xf>
    <xf numFmtId="3" fontId="0" fillId="0" borderId="2" xfId="0" applyNumberFormat="1" applyBorder="1"/>
    <xf numFmtId="42" fontId="0" fillId="0" borderId="0" xfId="0" applyNumberFormat="1" applyBorder="1"/>
    <xf numFmtId="0" fontId="0" fillId="0" borderId="0" xfId="0" applyFill="1" applyBorder="1" applyAlignment="1">
      <alignment horizontal="center"/>
    </xf>
    <xf numFmtId="42" fontId="10" fillId="0" borderId="0" xfId="0" applyNumberFormat="1" applyFont="1"/>
    <xf numFmtId="3" fontId="0" fillId="0" borderId="0" xfId="0" applyNumberFormat="1" applyBorder="1"/>
    <xf numFmtId="0" fontId="0" fillId="0" borderId="3" xfId="0" applyFill="1" applyBorder="1" applyAlignment="1">
      <alignment horizontal="center"/>
    </xf>
    <xf numFmtId="0" fontId="0" fillId="0" borderId="3" xfId="0" applyBorder="1" applyAlignment="1">
      <alignment horizontal="centerContinuous"/>
    </xf>
    <xf numFmtId="3" fontId="0" fillId="0" borderId="0" xfId="0" applyNumberFormat="1" applyFill="1"/>
    <xf numFmtId="0" fontId="0" fillId="0" borderId="0" xfId="0" applyFill="1" applyAlignment="1">
      <alignment horizontal="right"/>
    </xf>
    <xf numFmtId="44" fontId="6" fillId="0" borderId="0" xfId="0" applyNumberFormat="1" applyFont="1" applyFill="1"/>
    <xf numFmtId="44" fontId="0" fillId="0" borderId="0" xfId="0" applyNumberFormat="1" applyFill="1"/>
    <xf numFmtId="0" fontId="0" fillId="0" borderId="0" xfId="0" applyBorder="1"/>
    <xf numFmtId="0" fontId="0" fillId="0" borderId="0" xfId="0" applyBorder="1" applyAlignment="1">
      <alignment horizontal="right"/>
    </xf>
    <xf numFmtId="0" fontId="0" fillId="0" borderId="4" xfId="0" applyBorder="1"/>
    <xf numFmtId="37" fontId="0" fillId="0" borderId="5" xfId="0" applyNumberFormat="1" applyBorder="1"/>
    <xf numFmtId="0" fontId="0" fillId="0" borderId="7" xfId="0" applyBorder="1"/>
    <xf numFmtId="41" fontId="0" fillId="0" borderId="0" xfId="0" applyNumberFormat="1"/>
    <xf numFmtId="9" fontId="4" fillId="0" borderId="0" xfId="0" applyNumberFormat="1" applyFont="1"/>
    <xf numFmtId="166" fontId="4" fillId="0" borderId="0" xfId="0" applyNumberFormat="1" applyFont="1"/>
    <xf numFmtId="0" fontId="0" fillId="0" borderId="3" xfId="0" applyBorder="1"/>
    <xf numFmtId="164" fontId="6" fillId="0" borderId="0" xfId="0" applyNumberFormat="1" applyFont="1" applyFill="1"/>
    <xf numFmtId="0" fontId="0" fillId="0" borderId="0" xfId="0" applyAlignment="1"/>
    <xf numFmtId="0" fontId="0" fillId="0" borderId="0" xfId="0" applyAlignment="1">
      <alignment horizontal="centerContinuous"/>
    </xf>
    <xf numFmtId="3" fontId="0" fillId="0" borderId="0" xfId="0" applyNumberFormat="1" applyFill="1" applyBorder="1"/>
    <xf numFmtId="3" fontId="11" fillId="0" borderId="0" xfId="0" applyNumberFormat="1" applyFont="1"/>
    <xf numFmtId="3" fontId="12" fillId="0" borderId="0" xfId="0" applyNumberFormat="1" applyFont="1"/>
    <xf numFmtId="164" fontId="0" fillId="0" borderId="0" xfId="0" applyNumberFormat="1" applyFill="1" applyBorder="1"/>
    <xf numFmtId="37" fontId="0" fillId="0" borderId="0" xfId="0" applyNumberFormat="1" applyBorder="1"/>
    <xf numFmtId="0" fontId="0" fillId="0" borderId="4" xfId="0" applyFill="1" applyBorder="1"/>
    <xf numFmtId="0" fontId="0" fillId="0" borderId="6" xfId="0" applyFill="1" applyBorder="1"/>
    <xf numFmtId="0" fontId="5" fillId="0" borderId="0" xfId="0" applyFont="1" applyBorder="1" applyAlignment="1">
      <alignment horizontal="left"/>
    </xf>
    <xf numFmtId="42" fontId="4" fillId="0" borderId="0" xfId="0" applyNumberFormat="1" applyFont="1" applyFill="1"/>
    <xf numFmtId="0" fontId="0" fillId="0" borderId="0" xfId="0" applyBorder="1" applyAlignment="1">
      <alignment horizontal="centerContinuous"/>
    </xf>
    <xf numFmtId="3" fontId="12" fillId="0" borderId="0" xfId="0" applyNumberFormat="1" applyFont="1" applyFill="1"/>
    <xf numFmtId="0" fontId="0" fillId="0" borderId="0" xfId="0" applyFill="1" applyAlignment="1">
      <alignment horizontal="centerContinuous"/>
    </xf>
    <xf numFmtId="42" fontId="11" fillId="0" borderId="0" xfId="0" applyNumberFormat="1" applyFont="1" applyFill="1"/>
    <xf numFmtId="41" fontId="0" fillId="0" borderId="0" xfId="0" applyNumberFormat="1" applyBorder="1"/>
    <xf numFmtId="3" fontId="11" fillId="0" borderId="0" xfId="0" applyNumberFormat="1" applyFont="1" applyFill="1"/>
    <xf numFmtId="0" fontId="0" fillId="0" borderId="0" xfId="0" applyFill="1" applyAlignment="1"/>
    <xf numFmtId="37" fontId="11" fillId="0" borderId="0" xfId="0" applyNumberFormat="1" applyFont="1" applyBorder="1"/>
    <xf numFmtId="42" fontId="11" fillId="0" borderId="0" xfId="0" applyNumberFormat="1" applyFont="1" applyFill="1" applyBorder="1"/>
    <xf numFmtId="0" fontId="0" fillId="0" borderId="0" xfId="0" applyAlignment="1">
      <alignment horizontal="left"/>
    </xf>
    <xf numFmtId="0" fontId="0" fillId="0" borderId="0" xfId="0" applyFill="1" applyBorder="1" applyAlignment="1">
      <alignment horizontal="left"/>
    </xf>
    <xf numFmtId="42" fontId="0" fillId="0" borderId="0" xfId="0" applyNumberFormat="1" applyBorder="1" applyAlignment="1">
      <alignment horizontal="center"/>
    </xf>
    <xf numFmtId="0" fontId="0" fillId="0" borderId="0" xfId="0" applyFill="1" applyAlignment="1">
      <alignment horizontal="left"/>
    </xf>
    <xf numFmtId="42" fontId="11" fillId="0" borderId="0" xfId="0" applyNumberFormat="1" applyFont="1" applyBorder="1" applyAlignment="1">
      <alignment horizontal="center"/>
    </xf>
    <xf numFmtId="41" fontId="11" fillId="0" borderId="0" xfId="0" applyNumberFormat="1" applyFont="1" applyBorder="1" applyAlignment="1">
      <alignment horizontal="center"/>
    </xf>
    <xf numFmtId="42" fontId="11" fillId="0" borderId="0" xfId="0" applyNumberFormat="1" applyFont="1" applyFill="1" applyBorder="1" applyAlignment="1">
      <alignment horizontal="center"/>
    </xf>
    <xf numFmtId="42" fontId="4" fillId="0" borderId="0" xfId="0" applyNumberFormat="1" applyFont="1" applyFill="1" applyBorder="1"/>
    <xf numFmtId="37" fontId="0" fillId="0" borderId="0" xfId="0" applyNumberFormat="1"/>
    <xf numFmtId="0" fontId="5" fillId="0" borderId="0" xfId="0" applyFont="1" applyAlignment="1">
      <alignment horizontal="left"/>
    </xf>
    <xf numFmtId="0" fontId="0" fillId="0" borderId="0" xfId="0" applyBorder="1" applyAlignment="1">
      <alignment horizontal="left"/>
    </xf>
    <xf numFmtId="3" fontId="4" fillId="0" borderId="0" xfId="0" applyNumberFormat="1" applyFont="1"/>
    <xf numFmtId="170" fontId="0" fillId="0" borderId="0" xfId="0" applyNumberFormat="1" applyBorder="1"/>
    <xf numFmtId="41" fontId="0" fillId="0" borderId="0" xfId="0" applyNumberFormat="1" applyFill="1"/>
    <xf numFmtId="41" fontId="11" fillId="0" borderId="0" xfId="0" applyNumberFormat="1" applyFont="1" applyFill="1" applyBorder="1" applyAlignment="1">
      <alignment horizontal="center"/>
    </xf>
    <xf numFmtId="0" fontId="5" fillId="0" borderId="0" xfId="0" applyFont="1" applyFill="1" applyAlignment="1">
      <alignment horizontal="left"/>
    </xf>
    <xf numFmtId="0" fontId="4" fillId="0" borderId="0" xfId="0" applyFont="1" applyFill="1"/>
    <xf numFmtId="42" fontId="4" fillId="0" borderId="0" xfId="0" applyNumberFormat="1" applyFont="1" applyBorder="1"/>
    <xf numFmtId="164" fontId="4" fillId="0" borderId="0" xfId="0" applyNumberFormat="1" applyFont="1"/>
    <xf numFmtId="0" fontId="5" fillId="0" borderId="0" xfId="0" applyFont="1" applyFill="1" applyAlignment="1">
      <alignment horizontal="centerContinuous"/>
    </xf>
    <xf numFmtId="42" fontId="4" fillId="0" borderId="0" xfId="0" applyNumberFormat="1" applyFont="1"/>
    <xf numFmtId="42" fontId="4" fillId="0" borderId="2" xfId="0" applyNumberFormat="1" applyFont="1" applyFill="1" applyBorder="1"/>
    <xf numFmtId="0" fontId="4" fillId="0" borderId="0" xfId="0" applyFont="1"/>
    <xf numFmtId="164" fontId="4" fillId="0" borderId="0" xfId="0" applyNumberFormat="1" applyFont="1" applyFill="1"/>
    <xf numFmtId="42" fontId="6" fillId="0" borderId="0" xfId="0" applyNumberFormat="1" applyFont="1"/>
    <xf numFmtId="0" fontId="4" fillId="0" borderId="0" xfId="0" applyFont="1" applyFill="1" applyBorder="1"/>
    <xf numFmtId="3" fontId="13" fillId="0" borderId="0" xfId="0" applyNumberFormat="1" applyFont="1" applyBorder="1"/>
    <xf numFmtId="3" fontId="4" fillId="0" borderId="0" xfId="0" applyNumberFormat="1" applyFont="1" applyFill="1"/>
    <xf numFmtId="3" fontId="4" fillId="0" borderId="2" xfId="0" applyNumberFormat="1" applyFont="1" applyBorder="1"/>
    <xf numFmtId="3" fontId="4" fillId="0" borderId="2" xfId="0" applyNumberFormat="1" applyFont="1" applyFill="1" applyBorder="1"/>
    <xf numFmtId="3" fontId="11" fillId="0" borderId="2" xfId="0" applyNumberFormat="1" applyFont="1" applyBorder="1"/>
    <xf numFmtId="3" fontId="11" fillId="0" borderId="2" xfId="0" applyNumberFormat="1" applyFont="1" applyFill="1" applyBorder="1"/>
    <xf numFmtId="44" fontId="4" fillId="0" borderId="0" xfId="0" applyNumberFormat="1" applyFont="1"/>
    <xf numFmtId="44" fontId="4" fillId="0" borderId="0" xfId="0" applyNumberFormat="1" applyFont="1" applyFill="1"/>
    <xf numFmtId="0" fontId="0" fillId="0" borderId="0" xfId="0" quotePrefix="1" applyAlignment="1">
      <alignment vertical="top"/>
    </xf>
    <xf numFmtId="0" fontId="0" fillId="0" borderId="0" xfId="0" applyFill="1" applyAlignment="1">
      <alignment vertical="top"/>
    </xf>
    <xf numFmtId="0" fontId="0" fillId="0" borderId="0" xfId="0" applyFill="1" applyAlignment="1">
      <alignment vertical="top" wrapText="1"/>
    </xf>
    <xf numFmtId="3" fontId="14" fillId="0" borderId="0" xfId="0" applyNumberFormat="1" applyFont="1" applyFill="1" applyBorder="1"/>
    <xf numFmtId="44" fontId="0" fillId="0" borderId="0" xfId="0" applyNumberFormat="1" applyFill="1" applyAlignment="1">
      <alignment horizontal="right"/>
    </xf>
    <xf numFmtId="164" fontId="0" fillId="0" borderId="0" xfId="0" applyNumberFormat="1" applyFill="1" applyAlignment="1">
      <alignment horizontal="right"/>
    </xf>
    <xf numFmtId="164" fontId="4" fillId="0" borderId="0" xfId="0" applyNumberFormat="1" applyFont="1" applyAlignment="1">
      <alignment horizontal="right"/>
    </xf>
    <xf numFmtId="0" fontId="0" fillId="0" borderId="0" xfId="0" applyFill="1" applyBorder="1" applyAlignment="1">
      <alignment horizontal="right"/>
    </xf>
    <xf numFmtId="165" fontId="4" fillId="0" borderId="0" xfId="0" applyNumberFormat="1" applyFont="1" applyAlignment="1">
      <alignment horizontal="right"/>
    </xf>
    <xf numFmtId="3" fontId="11" fillId="0" borderId="0" xfId="0" applyNumberFormat="1" applyFont="1" applyFill="1" applyBorder="1"/>
    <xf numFmtId="3" fontId="4" fillId="0" borderId="0" xfId="0" applyNumberFormat="1" applyFont="1" applyFill="1" applyBorder="1"/>
    <xf numFmtId="0" fontId="0" fillId="2" borderId="0" xfId="0" applyFill="1"/>
    <xf numFmtId="0" fontId="0" fillId="2" borderId="0" xfId="0" quotePrefix="1" applyFill="1"/>
    <xf numFmtId="172" fontId="4" fillId="0" borderId="0" xfId="0" applyNumberFormat="1" applyFont="1" applyFill="1"/>
    <xf numFmtId="173" fontId="0" fillId="0" borderId="0" xfId="0" applyNumberFormat="1" applyBorder="1"/>
    <xf numFmtId="3" fontId="0" fillId="0" borderId="9" xfId="0" applyNumberFormat="1" applyBorder="1"/>
    <xf numFmtId="44" fontId="16" fillId="0" borderId="0" xfId="0" applyNumberFormat="1" applyFont="1" applyFill="1"/>
    <xf numFmtId="164" fontId="16" fillId="0" borderId="0" xfId="0" applyNumberFormat="1" applyFont="1" applyFill="1"/>
    <xf numFmtId="164" fontId="16" fillId="0" borderId="0" xfId="0" applyNumberFormat="1" applyFont="1" applyFill="1" applyBorder="1"/>
    <xf numFmtId="0" fontId="18" fillId="0" borderId="0" xfId="0" applyFont="1" applyFill="1"/>
    <xf numFmtId="0" fontId="5" fillId="0" borderId="0" xfId="0" applyFont="1" applyFill="1"/>
    <xf numFmtId="0" fontId="18" fillId="0" borderId="0" xfId="0" applyFont="1"/>
    <xf numFmtId="0" fontId="5" fillId="0" borderId="0" xfId="0" applyFont="1"/>
    <xf numFmtId="0" fontId="18" fillId="0" borderId="0" xfId="0" applyFont="1" applyFill="1" applyAlignment="1">
      <alignment wrapText="1"/>
    </xf>
    <xf numFmtId="0" fontId="18" fillId="0" borderId="3" xfId="0" applyFont="1" applyBorder="1" applyAlignment="1">
      <alignment horizontal="center" wrapText="1"/>
    </xf>
    <xf numFmtId="49" fontId="18" fillId="0" borderId="3" xfId="0" applyNumberFormat="1" applyFont="1" applyFill="1" applyBorder="1" applyAlignment="1">
      <alignment horizontal="center" wrapText="1"/>
    </xf>
    <xf numFmtId="0" fontId="18" fillId="0" borderId="3" xfId="0" applyFont="1" applyFill="1" applyBorder="1" applyAlignment="1">
      <alignment horizontal="center" wrapText="1"/>
    </xf>
    <xf numFmtId="0" fontId="18" fillId="0" borderId="0" xfId="0" applyFont="1" applyAlignment="1">
      <alignment wrapText="1"/>
    </xf>
    <xf numFmtId="0" fontId="18" fillId="0" borderId="0" xfId="0" quotePrefix="1" applyNumberFormat="1" applyFont="1"/>
    <xf numFmtId="0" fontId="18" fillId="0" borderId="0" xfId="0" quotePrefix="1" applyNumberFormat="1" applyFont="1" applyBorder="1"/>
    <xf numFmtId="3" fontId="17" fillId="0" borderId="0" xfId="0" applyNumberFormat="1" applyFont="1"/>
    <xf numFmtId="3" fontId="17" fillId="0" borderId="0" xfId="0" applyNumberFormat="1" applyFont="1" applyFill="1"/>
    <xf numFmtId="3" fontId="18" fillId="0" borderId="0" xfId="0" applyNumberFormat="1" applyFont="1" applyFill="1"/>
    <xf numFmtId="3" fontId="17" fillId="0" borderId="0" xfId="0" quotePrefix="1" applyNumberFormat="1" applyFont="1"/>
    <xf numFmtId="3" fontId="17" fillId="0" borderId="0" xfId="0" quotePrefix="1" applyNumberFormat="1" applyFont="1" applyFill="1"/>
    <xf numFmtId="0" fontId="18" fillId="0" borderId="0" xfId="0" applyNumberFormat="1" applyFont="1"/>
    <xf numFmtId="49" fontId="18" fillId="0" borderId="0" xfId="0" applyNumberFormat="1" applyFont="1" applyFill="1"/>
    <xf numFmtId="3" fontId="17" fillId="0" borderId="0" xfId="0" applyNumberFormat="1" applyFont="1" applyFill="1"/>
    <xf numFmtId="0" fontId="18" fillId="0" borderId="0" xfId="0" applyNumberFormat="1" applyFont="1" applyFill="1"/>
    <xf numFmtId="0" fontId="18" fillId="0" borderId="0" xfId="0" quotePrefix="1" applyNumberFormat="1" applyFont="1" applyFill="1"/>
    <xf numFmtId="0" fontId="18" fillId="0" borderId="0" xfId="0" applyFont="1" applyFill="1" applyAlignment="1">
      <alignment horizontal="right"/>
    </xf>
    <xf numFmtId="170" fontId="4" fillId="0" borderId="0" xfId="0" applyNumberFormat="1" applyFont="1" applyFill="1"/>
    <xf numFmtId="3" fontId="11" fillId="0" borderId="0" xfId="0" applyNumberFormat="1" applyFont="1" applyFill="1"/>
    <xf numFmtId="0" fontId="0" fillId="0" borderId="0" xfId="0" applyFont="1" applyFill="1" applyBorder="1"/>
    <xf numFmtId="44" fontId="16" fillId="0" borderId="0" xfId="0" applyNumberFormat="1" applyFont="1" applyFill="1" applyBorder="1"/>
    <xf numFmtId="44" fontId="16" fillId="0" borderId="0" xfId="0" applyNumberFormat="1" applyFont="1"/>
    <xf numFmtId="164" fontId="16" fillId="0" borderId="0" xfId="0" applyNumberFormat="1" applyFont="1"/>
    <xf numFmtId="3" fontId="16" fillId="0" borderId="0" xfId="0" applyNumberFormat="1" applyFont="1" applyFill="1"/>
    <xf numFmtId="0" fontId="0" fillId="0" borderId="10" xfId="0" applyFill="1" applyBorder="1"/>
    <xf numFmtId="0" fontId="0" fillId="0" borderId="11" xfId="0" applyBorder="1"/>
    <xf numFmtId="0" fontId="0" fillId="0" borderId="13" xfId="0" applyFill="1" applyBorder="1"/>
    <xf numFmtId="0" fontId="0" fillId="0" borderId="15" xfId="0" applyBorder="1" applyAlignment="1">
      <alignment horizontal="left"/>
    </xf>
    <xf numFmtId="0" fontId="0" fillId="0" borderId="16" xfId="0" applyBorder="1"/>
    <xf numFmtId="0" fontId="0" fillId="0" borderId="0" xfId="0" applyFont="1" applyFill="1" applyAlignment="1">
      <alignment horizontal="right"/>
    </xf>
    <xf numFmtId="0" fontId="0" fillId="0" borderId="0" xfId="0" applyNumberFormat="1" applyFont="1" applyAlignment="1">
      <alignment horizontal="left"/>
    </xf>
    <xf numFmtId="3" fontId="11" fillId="0" borderId="0" xfId="0" applyNumberFormat="1" applyFont="1" applyFill="1" applyBorder="1"/>
    <xf numFmtId="3" fontId="16" fillId="0" borderId="0" xfId="0" applyNumberFormat="1" applyFont="1" applyFill="1"/>
    <xf numFmtId="170" fontId="0" fillId="0" borderId="0" xfId="0" applyNumberFormat="1" applyFill="1" applyBorder="1"/>
    <xf numFmtId="0" fontId="5" fillId="0" borderId="0" xfId="0" applyFont="1" applyBorder="1"/>
    <xf numFmtId="0" fontId="4" fillId="0" borderId="0" xfId="0" applyFont="1" applyFill="1" applyBorder="1" applyAlignment="1">
      <alignment horizontal="left"/>
    </xf>
    <xf numFmtId="0" fontId="5" fillId="0" borderId="0" xfId="0" applyFont="1" applyAlignment="1"/>
    <xf numFmtId="0" fontId="4" fillId="0" borderId="0" xfId="0" applyFont="1" applyBorder="1" applyAlignment="1">
      <alignment horizontal="left"/>
    </xf>
    <xf numFmtId="0" fontId="0" fillId="0" borderId="0" xfId="0" applyFill="1" applyBorder="1" applyAlignment="1">
      <alignment horizontal="left" vertical="top"/>
    </xf>
    <xf numFmtId="0" fontId="0" fillId="0" borderId="0" xfId="0" quotePrefix="1" applyNumberFormat="1" applyBorder="1"/>
    <xf numFmtId="3" fontId="16" fillId="0" borderId="0" xfId="0" applyNumberFormat="1" applyFont="1"/>
    <xf numFmtId="170" fontId="15" fillId="0" borderId="0" xfId="0" applyNumberFormat="1" applyFont="1" applyFill="1"/>
    <xf numFmtId="170" fontId="6" fillId="0" borderId="0" xfId="0" applyNumberFormat="1" applyFont="1" applyFill="1"/>
    <xf numFmtId="164" fontId="17" fillId="0" borderId="0" xfId="0" applyNumberFormat="1" applyFont="1" applyFill="1"/>
    <xf numFmtId="164" fontId="17" fillId="0" borderId="0" xfId="0" applyNumberFormat="1" applyFont="1"/>
    <xf numFmtId="44" fontId="17" fillId="0" borderId="0" xfId="0" applyNumberFormat="1" applyFont="1"/>
    <xf numFmtId="176" fontId="21" fillId="0" borderId="0" xfId="0" applyNumberFormat="1" applyFont="1"/>
    <xf numFmtId="171" fontId="17" fillId="0" borderId="0" xfId="0" applyNumberFormat="1" applyFont="1"/>
    <xf numFmtId="3" fontId="17" fillId="0" borderId="0" xfId="0" applyNumberFormat="1" applyFont="1" applyFill="1"/>
    <xf numFmtId="42" fontId="17" fillId="0" borderId="0" xfId="0" applyNumberFormat="1" applyFont="1" applyFill="1"/>
    <xf numFmtId="0" fontId="4" fillId="0" borderId="0" xfId="0" applyFont="1" applyFill="1" applyAlignment="1">
      <alignment horizontal="left"/>
    </xf>
    <xf numFmtId="0" fontId="4" fillId="0" borderId="0" xfId="0" applyFont="1" applyAlignment="1">
      <alignment horizontal="left"/>
    </xf>
    <xf numFmtId="0" fontId="5" fillId="0" borderId="0" xfId="0" applyFont="1"/>
    <xf numFmtId="44" fontId="17" fillId="0" borderId="0" xfId="0" applyNumberFormat="1" applyFont="1" applyFill="1" applyBorder="1"/>
    <xf numFmtId="3" fontId="18" fillId="0" borderId="0" xfId="0" applyNumberFormat="1" applyFont="1"/>
    <xf numFmtId="0" fontId="0" fillId="0" borderId="0" xfId="0" applyFont="1" applyFill="1" applyBorder="1" applyAlignment="1">
      <alignment horizontal="center"/>
    </xf>
    <xf numFmtId="0" fontId="0" fillId="0" borderId="29" xfId="0" applyBorder="1"/>
    <xf numFmtId="0" fontId="0" fillId="0" borderId="18" xfId="0" applyBorder="1"/>
    <xf numFmtId="37" fontId="11" fillId="0" borderId="18" xfId="0" applyNumberFormat="1" applyFont="1" applyBorder="1"/>
    <xf numFmtId="37" fontId="0" fillId="0" borderId="30" xfId="0" applyNumberFormat="1" applyBorder="1"/>
    <xf numFmtId="174" fontId="20" fillId="0" borderId="28" xfId="0" applyNumberFormat="1" applyFont="1" applyBorder="1" applyAlignment="1">
      <alignment horizontal="center" wrapText="1"/>
    </xf>
    <xf numFmtId="0" fontId="5" fillId="0" borderId="0" xfId="0" applyFont="1" applyAlignment="1">
      <alignment horizontal="centerContinuous"/>
    </xf>
    <xf numFmtId="0" fontId="4" fillId="0" borderId="0" xfId="0" applyFont="1" applyFill="1" applyAlignment="1">
      <alignment horizontal="centerContinuous"/>
    </xf>
    <xf numFmtId="3" fontId="4" fillId="0" borderId="0" xfId="0" applyNumberFormat="1" applyFont="1" applyBorder="1" applyAlignment="1">
      <alignment horizontal="centerContinuous"/>
    </xf>
    <xf numFmtId="0" fontId="4" fillId="0" borderId="0" xfId="0" applyFont="1" applyAlignment="1">
      <alignment horizontal="centerContinuous"/>
    </xf>
    <xf numFmtId="178" fontId="4" fillId="0" borderId="0" xfId="0" applyNumberFormat="1" applyFont="1" applyAlignment="1">
      <alignment horizontal="centerContinuous"/>
    </xf>
    <xf numFmtId="178" fontId="4" fillId="0" borderId="0" xfId="0" applyNumberFormat="1" applyFont="1" applyBorder="1" applyAlignment="1">
      <alignment horizontal="centerContinuous"/>
    </xf>
    <xf numFmtId="179" fontId="4" fillId="0" borderId="0" xfId="0" applyNumberFormat="1" applyFont="1" applyAlignment="1">
      <alignment horizontal="centerContinuous"/>
    </xf>
    <xf numFmtId="180" fontId="4" fillId="0" borderId="0" xfId="0" applyNumberFormat="1" applyFont="1" applyAlignment="1">
      <alignment horizontal="centerContinuous"/>
    </xf>
    <xf numFmtId="0" fontId="4" fillId="0" borderId="0" xfId="0" applyFont="1"/>
    <xf numFmtId="0" fontId="5" fillId="0" borderId="0" xfId="0" applyFont="1" applyFill="1" applyAlignment="1">
      <alignment horizontal="centerContinuous"/>
    </xf>
    <xf numFmtId="0" fontId="5" fillId="0" borderId="0" xfId="0" applyFont="1" applyAlignment="1">
      <alignment horizontal="centerContinuous"/>
    </xf>
    <xf numFmtId="179" fontId="4" fillId="0" borderId="0" xfId="0" applyNumberFormat="1" applyFont="1" applyBorder="1" applyAlignment="1">
      <alignment horizontal="centerContinuous"/>
    </xf>
    <xf numFmtId="0" fontId="4" fillId="0" borderId="0" xfId="0" applyFont="1" applyBorder="1" applyAlignment="1">
      <alignment horizontal="centerContinuous"/>
    </xf>
    <xf numFmtId="0" fontId="5" fillId="0" borderId="0" xfId="0" applyFont="1"/>
    <xf numFmtId="0" fontId="4" fillId="0" borderId="0" xfId="0" applyFont="1" applyFill="1"/>
    <xf numFmtId="3" fontId="4" fillId="0" borderId="0" xfId="0" applyNumberFormat="1" applyFont="1" applyBorder="1"/>
    <xf numFmtId="178" fontId="4" fillId="0" borderId="0" xfId="0" applyNumberFormat="1" applyFont="1"/>
    <xf numFmtId="178" fontId="4" fillId="0" borderId="0" xfId="0" applyNumberFormat="1" applyFont="1" applyBorder="1"/>
    <xf numFmtId="179" fontId="4" fillId="0" borderId="0" xfId="0" applyNumberFormat="1" applyFont="1" applyAlignment="1">
      <alignment horizontal="right"/>
    </xf>
    <xf numFmtId="179" fontId="4" fillId="0" borderId="0" xfId="0" applyNumberFormat="1" applyFont="1" applyBorder="1" applyAlignment="1">
      <alignment horizontal="right"/>
    </xf>
    <xf numFmtId="0" fontId="4" fillId="0" borderId="0" xfId="0" applyFont="1" applyBorder="1"/>
    <xf numFmtId="180" fontId="4" fillId="0" borderId="0" xfId="0" applyNumberFormat="1" applyFont="1"/>
    <xf numFmtId="0" fontId="4" fillId="0" borderId="19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4" fillId="0" borderId="9" xfId="0" applyFont="1" applyFill="1" applyBorder="1" applyAlignment="1">
      <alignment horizontal="center"/>
    </xf>
    <xf numFmtId="0" fontId="4" fillId="0" borderId="31" xfId="0" applyFont="1" applyFill="1" applyBorder="1" applyAlignment="1">
      <alignment horizontal="centerContinuous"/>
    </xf>
    <xf numFmtId="178" fontId="4" fillId="0" borderId="31" xfId="0" applyNumberFormat="1" applyFont="1" applyBorder="1" applyAlignment="1">
      <alignment horizontal="centerContinuous"/>
    </xf>
    <xf numFmtId="0" fontId="4" fillId="0" borderId="9" xfId="0" applyFont="1" applyBorder="1" applyAlignment="1">
      <alignment horizontal="left"/>
    </xf>
    <xf numFmtId="0" fontId="4" fillId="0" borderId="31" xfId="0" applyFont="1" applyBorder="1" applyAlignment="1">
      <alignment horizontal="centerContinuous"/>
    </xf>
    <xf numFmtId="178" fontId="4" fillId="0" borderId="9" xfId="0" applyNumberFormat="1" applyFont="1" applyBorder="1" applyAlignment="1">
      <alignment horizontal="left"/>
    </xf>
    <xf numFmtId="178" fontId="4" fillId="0" borderId="32" xfId="0" applyNumberFormat="1" applyFont="1" applyBorder="1" applyAlignment="1">
      <alignment horizontal="centerContinuous"/>
    </xf>
    <xf numFmtId="178" fontId="4" fillId="0" borderId="0" xfId="0" applyNumberFormat="1" applyFont="1" applyBorder="1" applyAlignment="1">
      <alignment horizontal="left"/>
    </xf>
    <xf numFmtId="0" fontId="4" fillId="0" borderId="0" xfId="0" applyFont="1" applyBorder="1" applyAlignment="1">
      <alignment horizontal="center"/>
    </xf>
    <xf numFmtId="180" fontId="4" fillId="0" borderId="0" xfId="0" applyNumberFormat="1" applyFont="1" applyBorder="1" applyAlignment="1">
      <alignment horizontal="center"/>
    </xf>
    <xf numFmtId="0" fontId="4" fillId="0" borderId="23" xfId="0" applyFont="1" applyBorder="1" applyAlignment="1">
      <alignment horizontal="center"/>
    </xf>
    <xf numFmtId="0" fontId="4" fillId="0" borderId="28" xfId="0" applyFont="1" applyBorder="1" applyAlignment="1">
      <alignment horizontal="center"/>
    </xf>
    <xf numFmtId="0" fontId="4" fillId="0" borderId="28" xfId="0" applyFont="1" applyFill="1" applyBorder="1" applyAlignment="1">
      <alignment horizontal="center"/>
    </xf>
    <xf numFmtId="178" fontId="4" fillId="0" borderId="28" xfId="0" applyNumberFormat="1" applyFont="1" applyBorder="1" applyAlignment="1">
      <alignment horizontal="center"/>
    </xf>
    <xf numFmtId="175" fontId="4" fillId="0" borderId="24" xfId="0" applyNumberFormat="1" applyFont="1" applyBorder="1" applyAlignment="1">
      <alignment horizontal="center"/>
    </xf>
    <xf numFmtId="175" fontId="4" fillId="0" borderId="0" xfId="0" applyNumberFormat="1" applyFont="1" applyBorder="1" applyAlignment="1">
      <alignment horizontal="center"/>
    </xf>
    <xf numFmtId="0" fontId="4" fillId="0" borderId="28" xfId="0" applyFont="1" applyBorder="1" applyAlignment="1">
      <alignment horizontal="center"/>
    </xf>
    <xf numFmtId="180" fontId="4" fillId="0" borderId="28" xfId="0" applyNumberFormat="1" applyFont="1" applyBorder="1" applyAlignment="1">
      <alignment horizontal="center"/>
    </xf>
    <xf numFmtId="0" fontId="4" fillId="0" borderId="0" xfId="0" applyFont="1" applyFill="1" applyBorder="1"/>
    <xf numFmtId="0" fontId="5" fillId="0" borderId="33" xfId="0" applyFont="1" applyBorder="1" applyProtection="1">
      <protection locked="0"/>
    </xf>
    <xf numFmtId="0" fontId="5" fillId="0" borderId="9" xfId="0" applyFont="1" applyBorder="1" applyProtection="1">
      <protection locked="0"/>
    </xf>
    <xf numFmtId="0" fontId="4" fillId="0" borderId="9" xfId="0" applyFont="1" applyFill="1" applyBorder="1"/>
    <xf numFmtId="0" fontId="4" fillId="0" borderId="9" xfId="0" applyFont="1" applyBorder="1"/>
    <xf numFmtId="3" fontId="4" fillId="0" borderId="9" xfId="0" applyNumberFormat="1" applyFont="1" applyBorder="1"/>
    <xf numFmtId="179" fontId="4" fillId="0" borderId="9" xfId="0" applyNumberFormat="1" applyFont="1" applyBorder="1"/>
    <xf numFmtId="166" fontId="4" fillId="0" borderId="20" xfId="0" applyNumberFormat="1" applyFont="1" applyBorder="1" applyAlignment="1">
      <alignment horizontal="right"/>
    </xf>
    <xf numFmtId="0" fontId="4" fillId="0" borderId="21" xfId="0" applyFont="1" applyBorder="1"/>
    <xf numFmtId="3" fontId="4" fillId="0" borderId="0" xfId="0" applyNumberFormat="1" applyFont="1" applyBorder="1" applyProtection="1">
      <protection locked="0"/>
    </xf>
    <xf numFmtId="179" fontId="4" fillId="0" borderId="0" xfId="0" applyNumberFormat="1" applyFont="1" applyBorder="1"/>
    <xf numFmtId="166" fontId="4" fillId="0" borderId="22" xfId="0" applyNumberFormat="1" applyFont="1" applyBorder="1" applyAlignment="1">
      <alignment horizontal="right"/>
    </xf>
    <xf numFmtId="0" fontId="4" fillId="0" borderId="34" xfId="0" applyFont="1" applyBorder="1" applyAlignment="1">
      <alignment horizontal="center"/>
    </xf>
    <xf numFmtId="0" fontId="4" fillId="0" borderId="21" xfId="0" applyFont="1" applyFill="1" applyBorder="1" applyProtection="1">
      <protection locked="0"/>
    </xf>
    <xf numFmtId="0" fontId="4" fillId="0" borderId="0" xfId="0" applyFont="1" applyFill="1" applyBorder="1" applyProtection="1">
      <protection locked="0"/>
    </xf>
    <xf numFmtId="3" fontId="16" fillId="0" borderId="0" xfId="0" applyNumberFormat="1" applyFont="1" applyFill="1" applyBorder="1"/>
    <xf numFmtId="178" fontId="16" fillId="0" borderId="0" xfId="0" applyNumberFormat="1" applyFont="1" applyFill="1" applyBorder="1"/>
    <xf numFmtId="178" fontId="17" fillId="0" borderId="0" xfId="0" applyNumberFormat="1" applyFont="1" applyFill="1" applyBorder="1"/>
    <xf numFmtId="166" fontId="4" fillId="0" borderId="22" xfId="0" applyNumberFormat="1" applyFont="1" applyBorder="1"/>
    <xf numFmtId="179" fontId="11" fillId="0" borderId="35" xfId="0" applyNumberFormat="1" applyFont="1" applyFill="1" applyBorder="1" applyAlignment="1">
      <alignment horizontal="center"/>
    </xf>
    <xf numFmtId="175" fontId="4" fillId="0" borderId="0" xfId="0" applyNumberFormat="1" applyFont="1" applyBorder="1"/>
    <xf numFmtId="3" fontId="16" fillId="0" borderId="0" xfId="0" applyNumberFormat="1" applyFont="1" applyBorder="1"/>
    <xf numFmtId="181" fontId="16" fillId="0" borderId="0" xfId="0" applyNumberFormat="1" applyFont="1" applyFill="1" applyBorder="1"/>
    <xf numFmtId="181" fontId="4" fillId="0" borderId="0" xfId="0" applyNumberFormat="1" applyFont="1" applyFill="1" applyBorder="1"/>
    <xf numFmtId="179" fontId="4" fillId="0" borderId="35" xfId="0" applyNumberFormat="1" applyFont="1" applyBorder="1" applyAlignment="1">
      <alignment horizontal="center"/>
    </xf>
    <xf numFmtId="0" fontId="5" fillId="0" borderId="21" xfId="0" applyFont="1" applyBorder="1"/>
    <xf numFmtId="0" fontId="4" fillId="0" borderId="0" xfId="0" applyFont="1" applyBorder="1" applyProtection="1">
      <protection locked="0"/>
    </xf>
    <xf numFmtId="3" fontId="4" fillId="0" borderId="0" xfId="0" applyNumberFormat="1" applyFont="1" applyFill="1" applyBorder="1"/>
    <xf numFmtId="0" fontId="16" fillId="0" borderId="0" xfId="0" applyFont="1" applyFill="1" applyBorder="1"/>
    <xf numFmtId="166" fontId="4" fillId="0" borderId="20" xfId="0" applyNumberFormat="1" applyFont="1" applyBorder="1"/>
    <xf numFmtId="179" fontId="4" fillId="0" borderId="36" xfId="0" applyNumberFormat="1" applyFont="1" applyBorder="1" applyAlignment="1">
      <alignment horizontal="center"/>
    </xf>
    <xf numFmtId="180" fontId="4" fillId="0" borderId="0" xfId="0" applyNumberFormat="1" applyFont="1" applyFill="1" applyBorder="1" applyAlignment="1">
      <alignment horizontal="center"/>
    </xf>
    <xf numFmtId="0" fontId="5" fillId="0" borderId="0" xfId="0" applyFont="1" applyBorder="1"/>
    <xf numFmtId="179" fontId="5" fillId="0" borderId="0" xfId="0" applyNumberFormat="1" applyFont="1" applyBorder="1"/>
    <xf numFmtId="9" fontId="4" fillId="0" borderId="0" xfId="0" applyNumberFormat="1" applyFont="1" applyBorder="1" applyAlignment="1">
      <alignment horizontal="center"/>
    </xf>
    <xf numFmtId="180" fontId="4" fillId="0" borderId="0" xfId="0" applyNumberFormat="1" applyFont="1" applyBorder="1"/>
    <xf numFmtId="182" fontId="6" fillId="0" borderId="1" xfId="0" applyNumberFormat="1" applyFont="1" applyFill="1" applyBorder="1" applyAlignment="1">
      <alignment horizontal="center"/>
    </xf>
    <xf numFmtId="0" fontId="4" fillId="0" borderId="0" xfId="0" applyFont="1" applyBorder="1" applyAlignment="1">
      <alignment horizontal="center"/>
    </xf>
    <xf numFmtId="182" fontId="6" fillId="0" borderId="0" xfId="0" applyNumberFormat="1" applyFont="1" applyFill="1" applyBorder="1" applyAlignment="1">
      <alignment horizontal="center"/>
    </xf>
    <xf numFmtId="183" fontId="4" fillId="0" borderId="0" xfId="0" applyNumberFormat="1" applyFont="1" applyFill="1" applyBorder="1"/>
    <xf numFmtId="0" fontId="4" fillId="0" borderId="21" xfId="0" applyFont="1" applyBorder="1" applyProtection="1">
      <protection locked="0"/>
    </xf>
    <xf numFmtId="3" fontId="6" fillId="0" borderId="0" xfId="0" applyNumberFormat="1" applyFont="1" applyBorder="1"/>
    <xf numFmtId="181" fontId="4" fillId="0" borderId="0" xfId="0" applyNumberFormat="1" applyFont="1"/>
    <xf numFmtId="3" fontId="6" fillId="0" borderId="0" xfId="0" applyNumberFormat="1" applyFont="1" applyFill="1" applyBorder="1"/>
    <xf numFmtId="179" fontId="4" fillId="0" borderId="0" xfId="0" applyNumberFormat="1" applyFont="1" applyFill="1" applyBorder="1"/>
    <xf numFmtId="179" fontId="4" fillId="0" borderId="0" xfId="0" applyNumberFormat="1" applyFont="1" applyBorder="1"/>
    <xf numFmtId="0" fontId="4" fillId="0" borderId="23" xfId="0" applyFont="1" applyFill="1" applyBorder="1"/>
    <xf numFmtId="0" fontId="4" fillId="0" borderId="28" xfId="0" applyFont="1" applyFill="1" applyBorder="1"/>
    <xf numFmtId="179" fontId="4" fillId="0" borderId="28" xfId="0" applyNumberFormat="1" applyFont="1" applyFill="1" applyBorder="1"/>
    <xf numFmtId="3" fontId="4" fillId="0" borderId="28" xfId="0" applyNumberFormat="1" applyFont="1" applyFill="1" applyBorder="1"/>
    <xf numFmtId="166" fontId="4" fillId="0" borderId="24" xfId="0" applyNumberFormat="1" applyFont="1" applyFill="1" applyBorder="1"/>
    <xf numFmtId="179" fontId="4" fillId="0" borderId="0" xfId="0" applyNumberFormat="1" applyFont="1" applyFill="1"/>
    <xf numFmtId="166" fontId="4" fillId="0" borderId="0" xfId="0" applyNumberFormat="1" applyFont="1" applyFill="1" applyBorder="1"/>
    <xf numFmtId="0" fontId="5" fillId="0" borderId="33" xfId="0" applyFont="1" applyFill="1" applyBorder="1" applyProtection="1">
      <protection locked="0"/>
    </xf>
    <xf numFmtId="0" fontId="5" fillId="0" borderId="9" xfId="0" applyFont="1" applyFill="1" applyBorder="1" applyProtection="1">
      <protection locked="0"/>
    </xf>
    <xf numFmtId="0" fontId="28" fillId="0" borderId="9" xfId="0" applyFont="1" applyFill="1" applyBorder="1"/>
    <xf numFmtId="179" fontId="28" fillId="0" borderId="9" xfId="0" applyNumberFormat="1" applyFont="1" applyBorder="1"/>
    <xf numFmtId="0" fontId="4" fillId="0" borderId="21" xfId="0" applyFont="1" applyFill="1" applyBorder="1"/>
    <xf numFmtId="3" fontId="4" fillId="0" borderId="0" xfId="0" applyNumberFormat="1" applyFont="1" applyFill="1" applyBorder="1" applyProtection="1">
      <protection locked="0"/>
    </xf>
    <xf numFmtId="166" fontId="4" fillId="0" borderId="22" xfId="0" applyNumberFormat="1" applyFont="1" applyFill="1" applyBorder="1" applyAlignment="1">
      <alignment horizontal="right"/>
    </xf>
    <xf numFmtId="179" fontId="4" fillId="0" borderId="0" xfId="0" applyNumberFormat="1" applyFont="1" applyFill="1" applyBorder="1" applyAlignment="1">
      <alignment horizontal="right"/>
    </xf>
    <xf numFmtId="180" fontId="4" fillId="0" borderId="0" xfId="0" applyNumberFormat="1" applyFont="1" applyFill="1" applyBorder="1"/>
    <xf numFmtId="178" fontId="4" fillId="0" borderId="0" xfId="0" applyNumberFormat="1" applyFont="1" applyFill="1" applyBorder="1"/>
    <xf numFmtId="179" fontId="11" fillId="0" borderId="0" xfId="0" applyNumberFormat="1" applyFont="1" applyFill="1" applyBorder="1" applyAlignment="1">
      <alignment horizontal="center"/>
    </xf>
    <xf numFmtId="166" fontId="4" fillId="0" borderId="22" xfId="0" applyNumberFormat="1" applyFont="1" applyFill="1" applyBorder="1"/>
    <xf numFmtId="179" fontId="4" fillId="0" borderId="0" xfId="0" applyNumberFormat="1" applyFont="1" applyBorder="1" applyAlignment="1">
      <alignment horizontal="center"/>
    </xf>
    <xf numFmtId="0" fontId="5" fillId="0" borderId="21" xfId="0" applyFont="1" applyFill="1" applyBorder="1"/>
    <xf numFmtId="0" fontId="5" fillId="0" borderId="0" xfId="0" applyFont="1" applyFill="1" applyBorder="1"/>
    <xf numFmtId="179" fontId="5" fillId="0" borderId="0" xfId="0" applyNumberFormat="1" applyFont="1" applyFill="1" applyBorder="1"/>
    <xf numFmtId="0" fontId="4" fillId="0" borderId="0" xfId="0" applyFont="1" applyFill="1" applyBorder="1" applyAlignment="1">
      <alignment horizontal="center"/>
    </xf>
    <xf numFmtId="181" fontId="4" fillId="0" borderId="0" xfId="0" applyNumberFormat="1" applyFont="1" applyBorder="1" applyAlignment="1">
      <alignment horizontal="center"/>
    </xf>
    <xf numFmtId="181" fontId="6" fillId="0" borderId="0" xfId="0" applyNumberFormat="1" applyFont="1" applyFill="1" applyBorder="1"/>
    <xf numFmtId="175" fontId="4" fillId="0" borderId="0" xfId="0" applyNumberFormat="1" applyFont="1" applyFill="1" applyBorder="1"/>
    <xf numFmtId="181" fontId="4" fillId="0" borderId="0" xfId="0" applyNumberFormat="1" applyFont="1" applyFill="1" applyAlignment="1">
      <alignment horizontal="center"/>
    </xf>
    <xf numFmtId="179" fontId="28" fillId="0" borderId="0" xfId="0" applyNumberFormat="1" applyFont="1" applyFill="1" applyBorder="1"/>
    <xf numFmtId="0" fontId="28" fillId="0" borderId="0" xfId="0" applyFont="1" applyFill="1" applyBorder="1"/>
    <xf numFmtId="3" fontId="4" fillId="0" borderId="0" xfId="0" applyNumberFormat="1" applyFont="1" applyBorder="1" applyAlignment="1" applyProtection="1">
      <alignment horizontal="center"/>
      <protection locked="0"/>
    </xf>
    <xf numFmtId="0" fontId="4" fillId="0" borderId="34" xfId="0" applyFont="1" applyFill="1" applyBorder="1" applyAlignment="1">
      <alignment horizontal="center"/>
    </xf>
    <xf numFmtId="3" fontId="4" fillId="0" borderId="0" xfId="0" applyNumberFormat="1" applyFont="1" applyFill="1" applyBorder="1" applyAlignment="1" applyProtection="1">
      <alignment horizontal="center"/>
      <protection locked="0"/>
    </xf>
    <xf numFmtId="184" fontId="4" fillId="0" borderId="0" xfId="0" applyNumberFormat="1" applyFont="1" applyBorder="1" applyAlignment="1">
      <alignment horizontal="right"/>
    </xf>
    <xf numFmtId="179" fontId="4" fillId="0" borderId="0" xfId="0" applyNumberFormat="1" applyFont="1" applyFill="1" applyBorder="1"/>
    <xf numFmtId="185" fontId="4" fillId="0" borderId="0" xfId="0" applyNumberFormat="1" applyFont="1" applyBorder="1"/>
    <xf numFmtId="181" fontId="17" fillId="0" borderId="0" xfId="0" applyNumberFormat="1" applyFont="1" applyFill="1" applyBorder="1"/>
    <xf numFmtId="166" fontId="4" fillId="0" borderId="22" xfId="0" applyNumberFormat="1" applyFont="1" applyBorder="1" applyAlignment="1">
      <alignment horizontal="center"/>
    </xf>
    <xf numFmtId="181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5" fillId="0" borderId="23" xfId="0" applyFont="1" applyBorder="1"/>
    <xf numFmtId="0" fontId="5" fillId="0" borderId="28" xfId="0" applyFont="1" applyBorder="1"/>
    <xf numFmtId="179" fontId="5" fillId="0" borderId="28" xfId="0" applyNumberFormat="1" applyFont="1" applyBorder="1"/>
    <xf numFmtId="3" fontId="4" fillId="0" borderId="28" xfId="0" applyNumberFormat="1" applyFont="1" applyBorder="1"/>
    <xf numFmtId="0" fontId="4" fillId="0" borderId="28" xfId="0" applyFont="1" applyBorder="1"/>
    <xf numFmtId="178" fontId="4" fillId="0" borderId="28" xfId="0" applyNumberFormat="1" applyFont="1" applyBorder="1"/>
    <xf numFmtId="166" fontId="4" fillId="0" borderId="24" xfId="0" applyNumberFormat="1" applyFont="1" applyBorder="1" applyAlignment="1">
      <alignment horizontal="right"/>
    </xf>
    <xf numFmtId="3" fontId="4" fillId="0" borderId="28" xfId="0" applyNumberFormat="1" applyFont="1" applyFill="1" applyBorder="1" applyAlignment="1">
      <alignment horizontal="center"/>
    </xf>
    <xf numFmtId="179" fontId="4" fillId="0" borderId="0" xfId="0" applyNumberFormat="1" applyFont="1"/>
    <xf numFmtId="166" fontId="4" fillId="0" borderId="0" xfId="0" applyNumberFormat="1" applyFont="1"/>
    <xf numFmtId="3" fontId="4" fillId="0" borderId="0" xfId="0" applyNumberFormat="1" applyFont="1" applyFill="1"/>
    <xf numFmtId="44" fontId="4" fillId="0" borderId="0" xfId="0" applyNumberFormat="1" applyFont="1"/>
    <xf numFmtId="179" fontId="6" fillId="0" borderId="0" xfId="0" applyNumberFormat="1" applyFont="1"/>
    <xf numFmtId="0" fontId="4" fillId="0" borderId="0" xfId="0" applyFont="1"/>
    <xf numFmtId="0" fontId="4" fillId="0" borderId="0" xfId="0" applyFont="1" applyFill="1"/>
    <xf numFmtId="0" fontId="4" fillId="0" borderId="0" xfId="0" applyFont="1"/>
    <xf numFmtId="0" fontId="4" fillId="0" borderId="0" xfId="0" applyFont="1" applyAlignment="1">
      <alignment horizontal="centerContinuous"/>
    </xf>
    <xf numFmtId="178" fontId="4" fillId="0" borderId="0" xfId="0" applyNumberFormat="1" applyFont="1" applyAlignment="1">
      <alignment horizontal="centerContinuous"/>
    </xf>
    <xf numFmtId="3" fontId="4" fillId="0" borderId="0" xfId="0" applyNumberFormat="1" applyFont="1" applyFill="1" applyAlignment="1">
      <alignment horizontal="centerContinuous"/>
    </xf>
    <xf numFmtId="0" fontId="4" fillId="0" borderId="0" xfId="0" applyFont="1" applyFill="1" applyAlignment="1">
      <alignment horizontal="centerContinuous"/>
    </xf>
    <xf numFmtId="166" fontId="4" fillId="0" borderId="0" xfId="0" applyNumberFormat="1" applyFont="1" applyAlignment="1">
      <alignment horizontal="centerContinuous"/>
    </xf>
    <xf numFmtId="175" fontId="4" fillId="0" borderId="0" xfId="0" applyNumberFormat="1" applyFont="1" applyAlignment="1">
      <alignment horizontal="centerContinuous"/>
    </xf>
    <xf numFmtId="180" fontId="4" fillId="0" borderId="0" xfId="0" applyNumberFormat="1" applyFont="1" applyAlignment="1">
      <alignment horizontal="centerContinuous"/>
    </xf>
    <xf numFmtId="175" fontId="4" fillId="0" borderId="0" xfId="0" applyNumberFormat="1" applyFont="1" applyBorder="1" applyAlignment="1">
      <alignment horizontal="centerContinuous"/>
    </xf>
    <xf numFmtId="0" fontId="4" fillId="0" borderId="0" xfId="0" applyFont="1" applyBorder="1" applyAlignment="1">
      <alignment horizontal="centerContinuous"/>
    </xf>
    <xf numFmtId="0" fontId="4" fillId="0" borderId="0" xfId="0" applyFont="1" applyAlignment="1"/>
    <xf numFmtId="178" fontId="4" fillId="0" borderId="0" xfId="0" applyNumberFormat="1" applyFont="1" applyAlignment="1"/>
    <xf numFmtId="3" fontId="4" fillId="0" borderId="28" xfId="0" applyNumberFormat="1" applyFont="1" applyFill="1" applyBorder="1" applyAlignment="1"/>
    <xf numFmtId="0" fontId="4" fillId="0" borderId="0" xfId="0" applyFont="1" applyFill="1" applyAlignment="1"/>
    <xf numFmtId="166" fontId="4" fillId="0" borderId="0" xfId="0" applyNumberFormat="1" applyFont="1" applyAlignment="1"/>
    <xf numFmtId="175" fontId="4" fillId="0" borderId="0" xfId="0" applyNumberFormat="1" applyFont="1" applyAlignment="1">
      <alignment horizontal="left"/>
    </xf>
    <xf numFmtId="175" fontId="4" fillId="0" borderId="0" xfId="0" applyNumberFormat="1" applyFont="1" applyBorder="1"/>
    <xf numFmtId="0" fontId="4" fillId="0" borderId="0" xfId="0" applyFont="1" applyBorder="1"/>
    <xf numFmtId="180" fontId="4" fillId="0" borderId="0" xfId="0" applyNumberFormat="1" applyFont="1"/>
    <xf numFmtId="0" fontId="4" fillId="0" borderId="19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4" fillId="0" borderId="9" xfId="0" applyFont="1" applyFill="1" applyBorder="1" applyAlignment="1">
      <alignment horizontal="center"/>
    </xf>
    <xf numFmtId="178" fontId="4" fillId="0" borderId="31" xfId="0" applyNumberFormat="1" applyFont="1" applyBorder="1" applyAlignment="1">
      <alignment horizontal="centerContinuous"/>
    </xf>
    <xf numFmtId="0" fontId="4" fillId="0" borderId="0" xfId="0" applyFont="1" applyFill="1" applyBorder="1" applyAlignment="1">
      <alignment horizontal="center"/>
    </xf>
    <xf numFmtId="0" fontId="4" fillId="0" borderId="31" xfId="0" applyFont="1" applyFill="1" applyBorder="1" applyAlignment="1">
      <alignment horizontal="centerContinuous"/>
    </xf>
    <xf numFmtId="178" fontId="4" fillId="0" borderId="9" xfId="0" applyNumberFormat="1" applyFont="1" applyBorder="1" applyAlignment="1">
      <alignment horizontal="left"/>
    </xf>
    <xf numFmtId="178" fontId="4" fillId="0" borderId="0" xfId="0" applyNumberFormat="1" applyFont="1" applyBorder="1" applyAlignment="1">
      <alignment horizontal="left"/>
    </xf>
    <xf numFmtId="0" fontId="4" fillId="0" borderId="23" xfId="0" applyFont="1" applyBorder="1" applyAlignment="1">
      <alignment horizontal="center"/>
    </xf>
    <xf numFmtId="0" fontId="4" fillId="0" borderId="28" xfId="0" applyFont="1" applyFill="1" applyBorder="1" applyAlignment="1">
      <alignment horizontal="center"/>
    </xf>
    <xf numFmtId="178" fontId="4" fillId="0" borderId="28" xfId="0" applyNumberFormat="1" applyFont="1" applyBorder="1" applyAlignment="1">
      <alignment horizontal="center"/>
    </xf>
    <xf numFmtId="166" fontId="4" fillId="0" borderId="24" xfId="0" applyNumberFormat="1" applyFont="1" applyBorder="1" applyAlignment="1">
      <alignment horizontal="center"/>
    </xf>
    <xf numFmtId="175" fontId="4" fillId="0" borderId="0" xfId="0" applyNumberFormat="1" applyFont="1" applyBorder="1" applyAlignment="1">
      <alignment horizontal="left"/>
    </xf>
    <xf numFmtId="175" fontId="4" fillId="0" borderId="0" xfId="0" applyNumberFormat="1" applyFont="1" applyBorder="1" applyAlignment="1">
      <alignment horizontal="center"/>
    </xf>
    <xf numFmtId="178" fontId="4" fillId="0" borderId="0" xfId="0" applyNumberFormat="1" applyFont="1" applyBorder="1" applyAlignment="1">
      <alignment horizontal="center"/>
    </xf>
    <xf numFmtId="166" fontId="4" fillId="0" borderId="0" xfId="0" applyNumberFormat="1" applyFont="1" applyBorder="1" applyAlignment="1">
      <alignment horizontal="center"/>
    </xf>
    <xf numFmtId="180" fontId="4" fillId="0" borderId="0" xfId="0" applyNumberFormat="1" applyFont="1" applyBorder="1"/>
    <xf numFmtId="0" fontId="5" fillId="0" borderId="33" xfId="0" applyFont="1" applyBorder="1" applyProtection="1">
      <protection locked="0"/>
    </xf>
    <xf numFmtId="0" fontId="4" fillId="0" borderId="9" xfId="0" applyFont="1" applyBorder="1" applyProtection="1">
      <protection locked="0"/>
    </xf>
    <xf numFmtId="0" fontId="4" fillId="0" borderId="9" xfId="0" applyFont="1" applyBorder="1"/>
    <xf numFmtId="179" fontId="4" fillId="0" borderId="9" xfId="0" applyNumberFormat="1" applyFont="1" applyBorder="1"/>
    <xf numFmtId="3" fontId="4" fillId="0" borderId="9" xfId="0" applyNumberFormat="1" applyFont="1" applyFill="1" applyBorder="1"/>
    <xf numFmtId="0" fontId="4" fillId="0" borderId="9" xfId="0" applyFont="1" applyFill="1" applyBorder="1"/>
    <xf numFmtId="166" fontId="4" fillId="0" borderId="20" xfId="0" applyNumberFormat="1" applyFont="1" applyBorder="1"/>
    <xf numFmtId="166" fontId="4" fillId="0" borderId="0" xfId="0" applyNumberFormat="1" applyFont="1" applyBorder="1" applyAlignment="1">
      <alignment horizontal="left"/>
    </xf>
    <xf numFmtId="0" fontId="4" fillId="0" borderId="21" xfId="0" applyFont="1" applyBorder="1"/>
    <xf numFmtId="3" fontId="4" fillId="0" borderId="0" xfId="0" applyNumberFormat="1" applyFont="1" applyBorder="1"/>
    <xf numFmtId="179" fontId="4" fillId="0" borderId="0" xfId="0" applyNumberFormat="1" applyFont="1" applyBorder="1"/>
    <xf numFmtId="3" fontId="4" fillId="0" borderId="0" xfId="0" applyNumberFormat="1" applyFont="1" applyFill="1" applyBorder="1"/>
    <xf numFmtId="0" fontId="4" fillId="0" borderId="0" xfId="0" applyFont="1" applyFill="1" applyBorder="1"/>
    <xf numFmtId="166" fontId="4" fillId="0" borderId="22" xfId="0" applyNumberFormat="1" applyFont="1" applyBorder="1"/>
    <xf numFmtId="0" fontId="0" fillId="0" borderId="34" xfId="0" applyFont="1" applyBorder="1" applyAlignment="1">
      <alignment horizontal="center"/>
    </xf>
    <xf numFmtId="0" fontId="4" fillId="0" borderId="21" xfId="0" applyFont="1" applyFill="1" applyBorder="1" applyProtection="1">
      <protection locked="0"/>
    </xf>
    <xf numFmtId="0" fontId="4" fillId="0" borderId="0" xfId="0" applyFont="1" applyFill="1" applyBorder="1" applyProtection="1">
      <protection locked="0"/>
    </xf>
    <xf numFmtId="3" fontId="16" fillId="0" borderId="0" xfId="0" applyNumberFormat="1" applyFont="1" applyFill="1" applyBorder="1"/>
    <xf numFmtId="178" fontId="16" fillId="0" borderId="0" xfId="0" applyNumberFormat="1" applyFont="1" applyFill="1" applyBorder="1"/>
    <xf numFmtId="179" fontId="4" fillId="0" borderId="0" xfId="0" applyNumberFormat="1" applyFont="1" applyFill="1" applyBorder="1"/>
    <xf numFmtId="179" fontId="11" fillId="0" borderId="35" xfId="0" applyNumberFormat="1" applyFont="1" applyFill="1" applyBorder="1" applyAlignment="1">
      <alignment horizontal="center"/>
    </xf>
    <xf numFmtId="0" fontId="4" fillId="0" borderId="0" xfId="0" applyFont="1" applyBorder="1"/>
    <xf numFmtId="181" fontId="16" fillId="0" borderId="0" xfId="0" applyNumberFormat="1" applyFont="1" applyFill="1" applyBorder="1"/>
    <xf numFmtId="181" fontId="4" fillId="0" borderId="0" xfId="0" applyNumberFormat="1" applyFont="1" applyFill="1" applyBorder="1"/>
    <xf numFmtId="179" fontId="4" fillId="0" borderId="35" xfId="0" applyNumberFormat="1" applyFont="1" applyBorder="1" applyAlignment="1">
      <alignment horizontal="center"/>
    </xf>
    <xf numFmtId="3" fontId="4" fillId="0" borderId="0" xfId="0" applyNumberFormat="1" applyFont="1" applyFill="1" applyBorder="1"/>
    <xf numFmtId="178" fontId="4" fillId="0" borderId="0" xfId="0" applyNumberFormat="1" applyFont="1" applyBorder="1" applyAlignment="1">
      <alignment horizontal="right"/>
    </xf>
    <xf numFmtId="166" fontId="4" fillId="0" borderId="22" xfId="0" applyNumberFormat="1" applyFont="1" applyBorder="1" applyAlignment="1">
      <alignment horizontal="center"/>
    </xf>
    <xf numFmtId="179" fontId="4" fillId="0" borderId="36" xfId="0" applyNumberFormat="1" applyFont="1" applyFill="1" applyBorder="1" applyAlignment="1">
      <alignment horizontal="center"/>
    </xf>
    <xf numFmtId="0" fontId="4" fillId="0" borderId="0" xfId="0" applyFont="1" applyBorder="1" applyProtection="1">
      <protection locked="0"/>
    </xf>
    <xf numFmtId="0" fontId="16" fillId="0" borderId="0" xfId="0" applyFont="1" applyFill="1" applyBorder="1"/>
    <xf numFmtId="179" fontId="4" fillId="0" borderId="9" xfId="0" applyNumberFormat="1" applyFont="1" applyFill="1" applyBorder="1"/>
    <xf numFmtId="10" fontId="6" fillId="0" borderId="0" xfId="0" applyNumberFormat="1" applyFont="1" applyFill="1" applyBorder="1" applyAlignment="1">
      <alignment horizontal="center"/>
    </xf>
    <xf numFmtId="0" fontId="4" fillId="0" borderId="0" xfId="0" applyFont="1" applyBorder="1" applyAlignment="1">
      <alignment horizontal="center" wrapText="1"/>
    </xf>
    <xf numFmtId="180" fontId="4" fillId="0" borderId="0" xfId="0" applyNumberFormat="1" applyFont="1" applyBorder="1" applyAlignment="1">
      <alignment horizontal="center" wrapText="1"/>
    </xf>
    <xf numFmtId="182" fontId="6" fillId="0" borderId="1" xfId="0" applyNumberFormat="1" applyFont="1" applyFill="1" applyBorder="1"/>
    <xf numFmtId="186" fontId="22" fillId="0" borderId="0" xfId="0" applyNumberFormat="1" applyFont="1" applyFill="1"/>
    <xf numFmtId="181" fontId="4" fillId="0" borderId="0" xfId="0" applyNumberFormat="1" applyFont="1" applyBorder="1"/>
    <xf numFmtId="185" fontId="4" fillId="0" borderId="0" xfId="0" applyNumberFormat="1" applyFont="1" applyFill="1" applyBorder="1"/>
    <xf numFmtId="183" fontId="4" fillId="0" borderId="0" xfId="0" applyNumberFormat="1" applyFont="1" applyFill="1" applyBorder="1"/>
    <xf numFmtId="42" fontId="4" fillId="0" borderId="0" xfId="0" applyNumberFormat="1" applyFont="1" applyBorder="1" applyAlignment="1">
      <alignment horizontal="right"/>
    </xf>
    <xf numFmtId="0" fontId="4" fillId="0" borderId="21" xfId="0" applyFont="1" applyBorder="1" applyProtection="1">
      <protection locked="0"/>
    </xf>
    <xf numFmtId="9" fontId="4" fillId="0" borderId="0" xfId="0" applyNumberFormat="1" applyFont="1" applyFill="1" applyBorder="1"/>
    <xf numFmtId="0" fontId="4" fillId="0" borderId="23" xfId="0" applyFont="1" applyBorder="1"/>
    <xf numFmtId="0" fontId="4" fillId="0" borderId="28" xfId="0" applyFont="1" applyBorder="1" applyProtection="1">
      <protection locked="0"/>
    </xf>
    <xf numFmtId="0" fontId="4" fillId="0" borderId="28" xfId="0" applyFont="1" applyFill="1" applyBorder="1"/>
    <xf numFmtId="178" fontId="4" fillId="0" borderId="28" xfId="0" applyNumberFormat="1" applyFont="1" applyFill="1" applyBorder="1" applyAlignment="1">
      <alignment horizontal="center"/>
    </xf>
    <xf numFmtId="179" fontId="4" fillId="0" borderId="28" xfId="0" applyNumberFormat="1" applyFont="1" applyFill="1" applyBorder="1" applyAlignment="1">
      <alignment horizontal="center"/>
    </xf>
    <xf numFmtId="9" fontId="4" fillId="0" borderId="28" xfId="0" applyNumberFormat="1" applyFont="1" applyFill="1" applyBorder="1"/>
    <xf numFmtId="179" fontId="4" fillId="0" borderId="28" xfId="0" applyNumberFormat="1" applyFont="1" applyFill="1" applyBorder="1"/>
    <xf numFmtId="179" fontId="4" fillId="0" borderId="28" xfId="0" applyNumberFormat="1" applyFont="1" applyBorder="1"/>
    <xf numFmtId="166" fontId="4" fillId="0" borderId="24" xfId="0" applyNumberFormat="1" applyFont="1" applyBorder="1"/>
    <xf numFmtId="179" fontId="4" fillId="0" borderId="0" xfId="0" applyNumberFormat="1" applyFont="1" applyBorder="1" applyAlignment="1">
      <alignment horizontal="right"/>
    </xf>
    <xf numFmtId="166" fontId="4" fillId="0" borderId="0" xfId="0" applyNumberFormat="1" applyFont="1" applyBorder="1"/>
    <xf numFmtId="0" fontId="5" fillId="0" borderId="33" xfId="0" applyFont="1" applyFill="1" applyBorder="1" applyProtection="1">
      <protection locked="0"/>
    </xf>
    <xf numFmtId="0" fontId="4" fillId="0" borderId="21" xfId="0" applyFont="1" applyFill="1" applyBorder="1" applyProtection="1">
      <protection locked="0"/>
    </xf>
    <xf numFmtId="181" fontId="17" fillId="0" borderId="0" xfId="0" applyNumberFormat="1" applyFont="1" applyFill="1" applyBorder="1"/>
    <xf numFmtId="0" fontId="4" fillId="0" borderId="21" xfId="0" applyFont="1" applyFill="1" applyBorder="1"/>
    <xf numFmtId="178" fontId="6" fillId="0" borderId="0" xfId="0" applyNumberFormat="1" applyFont="1" applyFill="1" applyBorder="1"/>
    <xf numFmtId="181" fontId="6" fillId="0" borderId="0" xfId="0" applyNumberFormat="1" applyFont="1" applyFill="1" applyBorder="1"/>
    <xf numFmtId="0" fontId="0" fillId="0" borderId="20" xfId="0" applyFont="1" applyFill="1" applyBorder="1" applyAlignment="1">
      <alignment horizontal="center"/>
    </xf>
    <xf numFmtId="0" fontId="4" fillId="0" borderId="21" xfId="0" applyFont="1" applyFill="1" applyBorder="1"/>
    <xf numFmtId="3" fontId="4" fillId="0" borderId="0" xfId="0" applyNumberFormat="1" applyFont="1" applyFill="1" applyBorder="1" applyProtection="1">
      <protection locked="0"/>
    </xf>
    <xf numFmtId="175" fontId="4" fillId="0" borderId="22" xfId="0" applyNumberFormat="1" applyFont="1" applyBorder="1"/>
    <xf numFmtId="179" fontId="11" fillId="0" borderId="22" xfId="0" applyNumberFormat="1" applyFont="1" applyFill="1" applyBorder="1" applyAlignment="1">
      <alignment horizontal="center"/>
    </xf>
    <xf numFmtId="179" fontId="4" fillId="0" borderId="35" xfId="0" applyNumberFormat="1" applyFont="1" applyFill="1" applyBorder="1" applyAlignment="1">
      <alignment horizontal="center"/>
    </xf>
    <xf numFmtId="178" fontId="4" fillId="0" borderId="0" xfId="0" applyNumberFormat="1" applyFont="1" applyFill="1" applyBorder="1"/>
    <xf numFmtId="175" fontId="4" fillId="0" borderId="22" xfId="0" applyNumberFormat="1" applyFont="1" applyBorder="1" applyAlignment="1">
      <alignment horizontal="center"/>
    </xf>
    <xf numFmtId="179" fontId="4" fillId="0" borderId="24" xfId="0" applyNumberFormat="1" applyFont="1" applyFill="1" applyBorder="1" applyAlignment="1">
      <alignment horizontal="center"/>
    </xf>
    <xf numFmtId="182" fontId="6" fillId="0" borderId="9" xfId="0" applyNumberFormat="1" applyFont="1" applyFill="1" applyBorder="1" applyAlignment="1">
      <alignment horizontal="center"/>
    </xf>
    <xf numFmtId="179" fontId="4" fillId="0" borderId="0" xfId="0" applyNumberFormat="1" applyFont="1" applyBorder="1" applyAlignment="1">
      <alignment horizontal="center"/>
    </xf>
    <xf numFmtId="10" fontId="4" fillId="0" borderId="0" xfId="0" applyNumberFormat="1" applyFont="1" applyFill="1" applyBorder="1" applyAlignment="1">
      <alignment horizontal="center"/>
    </xf>
    <xf numFmtId="0" fontId="4" fillId="0" borderId="0" xfId="0" applyFont="1" applyFill="1"/>
    <xf numFmtId="180" fontId="4" fillId="0" borderId="0" xfId="0" applyNumberFormat="1" applyFont="1" applyFill="1"/>
    <xf numFmtId="187" fontId="4" fillId="0" borderId="0" xfId="0" applyNumberFormat="1" applyFont="1"/>
    <xf numFmtId="181" fontId="4" fillId="0" borderId="0" xfId="0" applyNumberFormat="1" applyFont="1" applyFill="1" applyBorder="1"/>
    <xf numFmtId="179" fontId="4" fillId="0" borderId="0" xfId="0" applyNumberFormat="1" applyFont="1" applyBorder="1"/>
    <xf numFmtId="181" fontId="4" fillId="0" borderId="0" xfId="0" applyNumberFormat="1" applyFont="1" applyFill="1" applyBorder="1" applyAlignment="1">
      <alignment horizontal="center"/>
    </xf>
    <xf numFmtId="3" fontId="16" fillId="0" borderId="0" xfId="0" applyNumberFormat="1" applyFont="1" applyBorder="1"/>
    <xf numFmtId="166" fontId="4" fillId="0" borderId="22" xfId="0" applyNumberFormat="1" applyFont="1" applyFill="1" applyBorder="1"/>
    <xf numFmtId="166" fontId="4" fillId="0" borderId="0" xfId="0" applyNumberFormat="1" applyFont="1" applyFill="1" applyBorder="1" applyAlignment="1">
      <alignment horizontal="left"/>
    </xf>
    <xf numFmtId="175" fontId="4" fillId="0" borderId="0" xfId="0" applyNumberFormat="1" applyFont="1" applyFill="1" applyBorder="1"/>
    <xf numFmtId="0" fontId="4" fillId="0" borderId="0" xfId="0" applyFont="1" applyFill="1" applyBorder="1"/>
    <xf numFmtId="0" fontId="4" fillId="0" borderId="0" xfId="0" applyFont="1" applyFill="1"/>
    <xf numFmtId="186" fontId="16" fillId="0" borderId="0" xfId="0" applyNumberFormat="1" applyFont="1" applyBorder="1"/>
    <xf numFmtId="186" fontId="16" fillId="0" borderId="0" xfId="0" applyNumberFormat="1" applyFont="1" applyFill="1" applyBorder="1"/>
    <xf numFmtId="180" fontId="4" fillId="0" borderId="0" xfId="0" applyNumberFormat="1" applyFont="1" applyFill="1"/>
    <xf numFmtId="179" fontId="4" fillId="0" borderId="9" xfId="0" applyNumberFormat="1" applyFont="1" applyBorder="1" applyAlignment="1">
      <alignment horizontal="right"/>
    </xf>
    <xf numFmtId="181" fontId="4" fillId="0" borderId="0" xfId="0" applyNumberFormat="1" applyFont="1" applyFill="1" applyAlignment="1">
      <alignment horizontal="center"/>
    </xf>
    <xf numFmtId="0" fontId="4" fillId="0" borderId="0" xfId="0" applyFont="1" applyFill="1" applyAlignment="1">
      <alignment horizontal="center"/>
    </xf>
    <xf numFmtId="180" fontId="4" fillId="0" borderId="0" xfId="0" applyNumberFormat="1" applyFont="1" applyFill="1" applyAlignment="1">
      <alignment horizontal="center"/>
    </xf>
    <xf numFmtId="0" fontId="16" fillId="0" borderId="0" xfId="0" applyFont="1" applyBorder="1"/>
    <xf numFmtId="178" fontId="4" fillId="0" borderId="0" xfId="0" applyNumberFormat="1" applyFont="1" applyFill="1" applyAlignment="1">
      <alignment horizontal="center"/>
    </xf>
    <xf numFmtId="2" fontId="4" fillId="0" borderId="0" xfId="0" applyNumberFormat="1" applyFont="1" applyFill="1"/>
    <xf numFmtId="0" fontId="4" fillId="0" borderId="21" xfId="0" applyFont="1" applyBorder="1" applyProtection="1">
      <protection locked="0"/>
    </xf>
    <xf numFmtId="178" fontId="4" fillId="0" borderId="0" xfId="0" applyNumberFormat="1" applyFont="1" applyBorder="1"/>
    <xf numFmtId="0" fontId="4" fillId="0" borderId="23" xfId="0" applyFont="1" applyFill="1" applyBorder="1"/>
    <xf numFmtId="166" fontId="4" fillId="0" borderId="24" xfId="0" applyNumberFormat="1" applyFont="1" applyFill="1" applyBorder="1"/>
    <xf numFmtId="179" fontId="4" fillId="0" borderId="0" xfId="0" applyNumberFormat="1" applyFont="1" applyFill="1" applyBorder="1" applyAlignment="1">
      <alignment horizontal="center"/>
    </xf>
    <xf numFmtId="166" fontId="4" fillId="0" borderId="0" xfId="0" applyNumberFormat="1" applyFont="1" applyFill="1" applyBorder="1"/>
    <xf numFmtId="0" fontId="4" fillId="0" borderId="0" xfId="0" applyFont="1" applyFill="1" applyBorder="1" applyProtection="1">
      <protection locked="0"/>
    </xf>
    <xf numFmtId="178" fontId="4" fillId="0" borderId="0" xfId="0" applyNumberFormat="1" applyFont="1" applyFill="1" applyBorder="1"/>
    <xf numFmtId="186" fontId="17" fillId="0" borderId="0" xfId="0" applyNumberFormat="1" applyFont="1" applyFill="1" applyBorder="1"/>
    <xf numFmtId="8" fontId="4" fillId="0" borderId="0" xfId="0" applyNumberFormat="1" applyFont="1" applyBorder="1"/>
    <xf numFmtId="3" fontId="6" fillId="0" borderId="0" xfId="0" applyNumberFormat="1" applyFont="1" applyFill="1" applyBorder="1"/>
    <xf numFmtId="8" fontId="4" fillId="0" borderId="0" xfId="0" applyNumberFormat="1" applyFont="1" applyBorder="1"/>
    <xf numFmtId="0" fontId="4" fillId="0" borderId="21" xfId="0" applyFont="1" applyBorder="1"/>
    <xf numFmtId="3" fontId="4" fillId="0" borderId="28" xfId="0" applyNumberFormat="1" applyFont="1" applyFill="1" applyBorder="1"/>
    <xf numFmtId="186" fontId="6" fillId="0" borderId="0" xfId="0" applyNumberFormat="1" applyFont="1" applyBorder="1"/>
    <xf numFmtId="0" fontId="4" fillId="0" borderId="28" xfId="0" applyFont="1" applyFill="1" applyBorder="1"/>
    <xf numFmtId="179" fontId="4" fillId="0" borderId="28" xfId="0" applyNumberFormat="1" applyFont="1" applyFill="1" applyBorder="1"/>
    <xf numFmtId="179" fontId="4" fillId="0" borderId="0" xfId="0" applyNumberFormat="1" applyFont="1" applyFill="1" applyBorder="1"/>
    <xf numFmtId="179" fontId="4" fillId="0" borderId="0" xfId="0" applyNumberFormat="1" applyFont="1"/>
    <xf numFmtId="3" fontId="4" fillId="0" borderId="0" xfId="0" applyNumberFormat="1" applyFont="1" applyFill="1"/>
    <xf numFmtId="166" fontId="4" fillId="0" borderId="0" xfId="0" applyNumberFormat="1" applyFont="1"/>
    <xf numFmtId="0" fontId="5" fillId="0" borderId="0" xfId="0" applyFont="1"/>
    <xf numFmtId="181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180" fontId="4" fillId="0" borderId="0" xfId="0" applyNumberFormat="1" applyFont="1" applyAlignment="1">
      <alignment horizontal="center"/>
    </xf>
    <xf numFmtId="179" fontId="4" fillId="0" borderId="28" xfId="0" applyNumberFormat="1" applyFont="1" applyBorder="1" applyAlignment="1">
      <alignment horizontal="center"/>
    </xf>
    <xf numFmtId="3" fontId="4" fillId="0" borderId="0" xfId="0" applyNumberFormat="1" applyFont="1"/>
    <xf numFmtId="187" fontId="4" fillId="0" borderId="0" xfId="0" applyNumberFormat="1" applyFont="1" applyFill="1"/>
    <xf numFmtId="166" fontId="4" fillId="0" borderId="0" xfId="0" applyNumberFormat="1" applyFont="1" applyAlignment="1">
      <alignment horizontal="left"/>
    </xf>
    <xf numFmtId="175" fontId="4" fillId="0" borderId="0" xfId="0" applyNumberFormat="1" applyFont="1"/>
    <xf numFmtId="0" fontId="4" fillId="0" borderId="0" xfId="0" applyFont="1"/>
    <xf numFmtId="187" fontId="4" fillId="0" borderId="0" xfId="0" applyNumberFormat="1" applyFont="1" applyBorder="1"/>
    <xf numFmtId="187" fontId="4" fillId="0" borderId="0" xfId="0" applyNumberFormat="1" applyFont="1" applyAlignment="1">
      <alignment horizontal="left"/>
    </xf>
    <xf numFmtId="187" fontId="4" fillId="0" borderId="9" xfId="0" applyNumberFormat="1" applyFont="1" applyBorder="1"/>
    <xf numFmtId="3" fontId="4" fillId="0" borderId="9" xfId="0" applyNumberFormat="1" applyFont="1" applyBorder="1"/>
    <xf numFmtId="178" fontId="4" fillId="0" borderId="0" xfId="0" applyNumberFormat="1" applyFont="1"/>
    <xf numFmtId="181" fontId="4" fillId="0" borderId="0" xfId="0" applyNumberFormat="1" applyFont="1" applyAlignment="1">
      <alignment horizontal="centerContinuous"/>
    </xf>
    <xf numFmtId="3" fontId="4" fillId="0" borderId="0" xfId="0" applyNumberFormat="1" applyFont="1" applyFill="1" applyBorder="1" applyAlignment="1">
      <alignment horizontal="centerContinuous"/>
    </xf>
    <xf numFmtId="178" fontId="4" fillId="0" borderId="0" xfId="0" applyNumberFormat="1" applyFont="1" applyFill="1" applyAlignment="1">
      <alignment horizontal="centerContinuous"/>
    </xf>
    <xf numFmtId="0" fontId="14" fillId="0" borderId="0" xfId="0" applyFont="1" applyBorder="1" applyAlignment="1">
      <alignment horizontal="left"/>
    </xf>
    <xf numFmtId="175" fontId="4" fillId="0" borderId="0" xfId="0" applyNumberFormat="1" applyFont="1" applyBorder="1" applyAlignment="1">
      <alignment horizontal="right"/>
    </xf>
    <xf numFmtId="3" fontId="4" fillId="0" borderId="9" xfId="0" applyNumberFormat="1" applyFont="1" applyFill="1" applyBorder="1" applyAlignment="1">
      <alignment horizontal="center"/>
    </xf>
    <xf numFmtId="178" fontId="4" fillId="0" borderId="31" xfId="0" applyNumberFormat="1" applyFont="1" applyFill="1" applyBorder="1" applyAlignment="1">
      <alignment horizontal="centerContinuous"/>
    </xf>
    <xf numFmtId="3" fontId="4" fillId="0" borderId="28" xfId="0" applyNumberFormat="1" applyFont="1" applyBorder="1" applyAlignment="1">
      <alignment horizontal="center"/>
    </xf>
    <xf numFmtId="3" fontId="4" fillId="0" borderId="28" xfId="0" applyNumberFormat="1" applyFont="1" applyFill="1" applyBorder="1" applyAlignment="1">
      <alignment horizontal="center"/>
    </xf>
    <xf numFmtId="181" fontId="4" fillId="0" borderId="28" xfId="0" applyNumberFormat="1" applyFont="1" applyBorder="1" applyAlignment="1">
      <alignment horizontal="center"/>
    </xf>
    <xf numFmtId="175" fontId="4" fillId="0" borderId="24" xfId="0" applyNumberFormat="1" applyFont="1" applyBorder="1" applyAlignment="1">
      <alignment horizontal="center"/>
    </xf>
    <xf numFmtId="175" fontId="4" fillId="0" borderId="22" xfId="0" applyNumberFormat="1" applyFont="1" applyBorder="1" applyAlignment="1">
      <alignment horizontal="right"/>
    </xf>
    <xf numFmtId="0" fontId="4" fillId="0" borderId="9" xfId="0" applyFont="1" applyBorder="1" applyProtection="1">
      <protection locked="0"/>
    </xf>
    <xf numFmtId="181" fontId="4" fillId="0" borderId="9" xfId="0" applyNumberFormat="1" applyFont="1" applyBorder="1"/>
    <xf numFmtId="3" fontId="4" fillId="0" borderId="9" xfId="0" applyNumberFormat="1" applyFont="1" applyFill="1" applyBorder="1" applyProtection="1">
      <protection locked="0"/>
    </xf>
    <xf numFmtId="178" fontId="4" fillId="0" borderId="9" xfId="0" applyNumberFormat="1" applyFont="1" applyFill="1" applyBorder="1"/>
    <xf numFmtId="178" fontId="4" fillId="0" borderId="9" xfId="0" applyNumberFormat="1" applyFont="1" applyBorder="1" applyAlignment="1">
      <alignment horizontal="right"/>
    </xf>
    <xf numFmtId="166" fontId="4" fillId="0" borderId="20" xfId="0" applyNumberFormat="1" applyFont="1" applyBorder="1" applyAlignment="1">
      <alignment horizontal="right"/>
    </xf>
    <xf numFmtId="166" fontId="4" fillId="0" borderId="22" xfId="0" applyNumberFormat="1" applyFont="1" applyBorder="1" applyAlignment="1">
      <alignment horizontal="right"/>
    </xf>
    <xf numFmtId="0" fontId="4" fillId="0" borderId="0" xfId="0" applyFont="1" applyBorder="1" applyProtection="1">
      <protection locked="0"/>
    </xf>
    <xf numFmtId="175" fontId="4" fillId="0" borderId="0" xfId="0" applyNumberFormat="1" applyFont="1" applyBorder="1" applyAlignment="1">
      <alignment horizontal="left"/>
    </xf>
    <xf numFmtId="179" fontId="4" fillId="0" borderId="36" xfId="0" applyNumberFormat="1" applyFont="1" applyBorder="1" applyAlignment="1">
      <alignment horizontal="center"/>
    </xf>
    <xf numFmtId="179" fontId="16" fillId="0" borderId="0" xfId="0" applyNumberFormat="1" applyFont="1" applyFill="1" applyBorder="1" applyAlignment="1">
      <alignment horizontal="right"/>
    </xf>
    <xf numFmtId="10" fontId="4" fillId="0" borderId="0" xfId="0" applyNumberFormat="1" applyFont="1" applyBorder="1" applyAlignment="1">
      <alignment horizontal="center"/>
    </xf>
    <xf numFmtId="9" fontId="6" fillId="0" borderId="0" xfId="0" applyNumberFormat="1" applyFont="1" applyFill="1" applyBorder="1"/>
    <xf numFmtId="166" fontId="4" fillId="0" borderId="20" xfId="0" applyNumberFormat="1" applyFont="1" applyFill="1" applyBorder="1" applyAlignment="1">
      <alignment horizontal="right"/>
    </xf>
    <xf numFmtId="181" fontId="4" fillId="0" borderId="0" xfId="0" applyNumberFormat="1" applyFont="1" applyFill="1" applyAlignment="1">
      <alignment horizontal="center"/>
    </xf>
    <xf numFmtId="178" fontId="4" fillId="0" borderId="0" xfId="0" applyNumberFormat="1" applyFont="1" applyAlignment="1">
      <alignment horizontal="center"/>
    </xf>
    <xf numFmtId="3" fontId="4" fillId="0" borderId="0" xfId="0" applyNumberFormat="1" applyFont="1" applyFill="1" applyBorder="1" applyAlignment="1">
      <alignment horizontal="right"/>
    </xf>
    <xf numFmtId="3" fontId="4" fillId="0" borderId="0" xfId="0" applyNumberFormat="1" applyFont="1" applyFill="1" applyBorder="1" applyAlignment="1">
      <alignment horizontal="center"/>
    </xf>
    <xf numFmtId="166" fontId="4" fillId="0" borderId="0" xfId="0" applyNumberFormat="1" applyFont="1" applyFill="1" applyBorder="1" applyAlignment="1">
      <alignment horizontal="left"/>
    </xf>
    <xf numFmtId="0" fontId="4" fillId="0" borderId="28" xfId="0" applyFont="1" applyBorder="1"/>
    <xf numFmtId="3" fontId="4" fillId="0" borderId="28" xfId="0" applyNumberFormat="1" applyFont="1" applyFill="1" applyBorder="1"/>
    <xf numFmtId="181" fontId="4" fillId="0" borderId="28" xfId="0" applyNumberFormat="1" applyFont="1" applyBorder="1"/>
    <xf numFmtId="178" fontId="4" fillId="0" borderId="28" xfId="0" applyNumberFormat="1" applyFont="1" applyFill="1" applyBorder="1"/>
    <xf numFmtId="178" fontId="4" fillId="0" borderId="28" xfId="0" applyNumberFormat="1" applyFont="1" applyBorder="1" applyAlignment="1">
      <alignment horizontal="right"/>
    </xf>
    <xf numFmtId="179" fontId="4" fillId="0" borderId="0" xfId="0" applyNumberFormat="1" applyFont="1" applyFill="1" applyBorder="1" applyAlignment="1">
      <alignment horizontal="right"/>
    </xf>
    <xf numFmtId="178" fontId="4" fillId="0" borderId="0" xfId="0" applyNumberFormat="1" applyFont="1" applyFill="1" applyBorder="1" applyAlignment="1">
      <alignment horizontal="right"/>
    </xf>
    <xf numFmtId="0" fontId="5" fillId="0" borderId="0" xfId="0" applyFont="1" applyFill="1" applyBorder="1" applyProtection="1">
      <protection locked="0"/>
    </xf>
    <xf numFmtId="179" fontId="16" fillId="0" borderId="0" xfId="0" applyNumberFormat="1" applyFont="1" applyBorder="1" applyAlignment="1">
      <alignment horizontal="right"/>
    </xf>
    <xf numFmtId="179" fontId="4" fillId="0" borderId="0" xfId="0" applyNumberFormat="1" applyFont="1" applyBorder="1" applyAlignment="1">
      <alignment horizontal="right"/>
    </xf>
    <xf numFmtId="178" fontId="16" fillId="0" borderId="0" xfId="0" applyNumberFormat="1" applyFont="1" applyBorder="1"/>
    <xf numFmtId="179" fontId="4" fillId="0" borderId="0" xfId="0" applyNumberFormat="1" applyFont="1" applyFill="1" applyBorder="1" applyProtection="1">
      <protection locked="0"/>
    </xf>
    <xf numFmtId="179" fontId="4" fillId="0" borderId="28" xfId="0" applyNumberFormat="1" applyFont="1" applyBorder="1" applyAlignment="1">
      <alignment horizontal="right"/>
    </xf>
    <xf numFmtId="166" fontId="4" fillId="0" borderId="22" xfId="0" applyNumberFormat="1" applyFont="1" applyFill="1" applyBorder="1" applyAlignment="1">
      <alignment horizontal="right"/>
    </xf>
    <xf numFmtId="175" fontId="4" fillId="0" borderId="0" xfId="0" applyNumberFormat="1" applyFont="1" applyFill="1" applyBorder="1" applyAlignment="1">
      <alignment horizontal="left"/>
    </xf>
    <xf numFmtId="179" fontId="4" fillId="0" borderId="0" xfId="0" applyNumberFormat="1" applyFont="1" applyFill="1" applyBorder="1" applyAlignment="1">
      <alignment horizontal="right"/>
    </xf>
    <xf numFmtId="179" fontId="4" fillId="0" borderId="9" xfId="0" applyNumberFormat="1" applyFont="1" applyFill="1" applyBorder="1" applyAlignment="1">
      <alignment horizontal="right"/>
    </xf>
    <xf numFmtId="166" fontId="4" fillId="0" borderId="22" xfId="0" applyNumberFormat="1" applyFont="1" applyFill="1" applyBorder="1" applyAlignment="1">
      <alignment horizontal="right"/>
    </xf>
    <xf numFmtId="181" fontId="4" fillId="0" borderId="28" xfId="0" applyNumberFormat="1" applyFont="1" applyFill="1" applyBorder="1"/>
    <xf numFmtId="179" fontId="4" fillId="0" borderId="28" xfId="0" applyNumberFormat="1" applyFont="1" applyFill="1" applyBorder="1" applyAlignment="1">
      <alignment horizontal="right"/>
    </xf>
    <xf numFmtId="178" fontId="4" fillId="0" borderId="28" xfId="0" applyNumberFormat="1" applyFont="1" applyFill="1" applyBorder="1" applyAlignment="1">
      <alignment horizontal="right"/>
    </xf>
    <xf numFmtId="175" fontId="4" fillId="0" borderId="22" xfId="0" applyNumberFormat="1" applyFont="1" applyBorder="1" applyAlignment="1">
      <alignment horizontal="left"/>
    </xf>
    <xf numFmtId="0" fontId="0" fillId="0" borderId="22" xfId="0" applyFont="1" applyBorder="1" applyAlignment="1">
      <alignment horizontal="center"/>
    </xf>
    <xf numFmtId="178" fontId="6" fillId="0" borderId="0" xfId="0" applyNumberFormat="1" applyFont="1" applyBorder="1" applyAlignment="1">
      <alignment horizontal="right"/>
    </xf>
    <xf numFmtId="181" fontId="4" fillId="0" borderId="0" xfId="0" applyNumberFormat="1" applyFont="1" applyBorder="1" applyAlignment="1">
      <alignment horizontal="center"/>
    </xf>
    <xf numFmtId="181" fontId="16" fillId="0" borderId="0" xfId="0" applyNumberFormat="1" applyFont="1" applyBorder="1"/>
    <xf numFmtId="181" fontId="4" fillId="0" borderId="28" xfId="0" applyNumberFormat="1" applyFont="1" applyFill="1" applyBorder="1" applyAlignment="1">
      <alignment horizontal="right"/>
    </xf>
    <xf numFmtId="166" fontId="4" fillId="0" borderId="24" xfId="0" applyNumberFormat="1" applyFont="1" applyBorder="1" applyAlignment="1">
      <alignment horizontal="right"/>
    </xf>
    <xf numFmtId="181" fontId="4" fillId="0" borderId="0" xfId="0" applyNumberFormat="1" applyFont="1" applyFill="1" applyBorder="1" applyAlignment="1">
      <alignment horizontal="right"/>
    </xf>
    <xf numFmtId="166" fontId="4" fillId="0" borderId="0" xfId="0" applyNumberFormat="1" applyFont="1" applyBorder="1" applyAlignment="1">
      <alignment horizontal="right"/>
    </xf>
    <xf numFmtId="166" fontId="4" fillId="0" borderId="0" xfId="0" applyNumberFormat="1" applyFont="1" applyFill="1" applyBorder="1" applyAlignment="1">
      <alignment horizontal="right"/>
    </xf>
    <xf numFmtId="0" fontId="4" fillId="0" borderId="20" xfId="0" applyFont="1" applyBorder="1" applyAlignment="1">
      <alignment horizontal="center"/>
    </xf>
    <xf numFmtId="179" fontId="11" fillId="0" borderId="22" xfId="0" applyNumberFormat="1" applyFont="1" applyBorder="1" applyAlignment="1">
      <alignment horizontal="center"/>
    </xf>
    <xf numFmtId="179" fontId="4" fillId="0" borderId="22" xfId="0" applyNumberFormat="1" applyFont="1" applyBorder="1" applyAlignment="1">
      <alignment horizontal="center"/>
    </xf>
    <xf numFmtId="175" fontId="4" fillId="0" borderId="22" xfId="0" applyNumberFormat="1" applyFont="1" applyBorder="1" applyAlignment="1">
      <alignment horizontal="left"/>
    </xf>
    <xf numFmtId="179" fontId="4" fillId="0" borderId="24" xfId="0" applyNumberFormat="1" applyFont="1" applyBorder="1" applyAlignment="1">
      <alignment horizontal="center"/>
    </xf>
    <xf numFmtId="4" fontId="4" fillId="0" borderId="0" xfId="0" applyNumberFormat="1" applyFont="1" applyBorder="1" applyAlignment="1">
      <alignment horizontal="center"/>
    </xf>
    <xf numFmtId="3" fontId="4" fillId="0" borderId="0" xfId="0" applyNumberFormat="1" applyFont="1" applyBorder="1" applyAlignment="1">
      <alignment horizontal="center"/>
    </xf>
    <xf numFmtId="188" fontId="4" fillId="0" borderId="0" xfId="0" applyNumberFormat="1" applyFont="1" applyFill="1" applyBorder="1" applyAlignment="1">
      <alignment horizontal="center"/>
    </xf>
    <xf numFmtId="179" fontId="4" fillId="0" borderId="0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3" fontId="4" fillId="0" borderId="9" xfId="0" applyNumberFormat="1" applyFont="1" applyFill="1" applyBorder="1"/>
    <xf numFmtId="166" fontId="4" fillId="0" borderId="0" xfId="0" applyNumberFormat="1" applyFont="1" applyBorder="1"/>
    <xf numFmtId="182" fontId="6" fillId="0" borderId="0" xfId="0" applyNumberFormat="1" applyFont="1" applyFill="1" applyBorder="1"/>
    <xf numFmtId="179" fontId="4" fillId="0" borderId="22" xfId="0" applyNumberFormat="1" applyFont="1" applyBorder="1" applyAlignment="1">
      <alignment horizontal="right"/>
    </xf>
    <xf numFmtId="0" fontId="4" fillId="0" borderId="9" xfId="0" applyFont="1" applyFill="1" applyBorder="1" applyProtection="1">
      <protection locked="0"/>
    </xf>
    <xf numFmtId="181" fontId="4" fillId="0" borderId="9" xfId="0" applyNumberFormat="1" applyFont="1" applyFill="1" applyBorder="1"/>
    <xf numFmtId="178" fontId="4" fillId="0" borderId="9" xfId="0" applyNumberFormat="1" applyFont="1" applyFill="1" applyBorder="1" applyAlignment="1">
      <alignment horizontal="right"/>
    </xf>
    <xf numFmtId="166" fontId="4" fillId="0" borderId="22" xfId="0" applyNumberFormat="1" applyFont="1" applyFill="1" applyBorder="1" applyAlignment="1">
      <alignment horizontal="center"/>
    </xf>
    <xf numFmtId="179" fontId="6" fillId="0" borderId="0" xfId="0" applyNumberFormat="1" applyFont="1" applyFill="1" applyBorder="1" applyAlignment="1">
      <alignment horizontal="right"/>
    </xf>
    <xf numFmtId="166" fontId="4" fillId="0" borderId="20" xfId="0" applyNumberFormat="1" applyFont="1" applyFill="1" applyBorder="1"/>
    <xf numFmtId="178" fontId="4" fillId="0" borderId="28" xfId="0" applyNumberFormat="1" applyFont="1" applyBorder="1"/>
    <xf numFmtId="5" fontId="4" fillId="0" borderId="0" xfId="0" applyNumberFormat="1" applyFont="1" applyBorder="1"/>
    <xf numFmtId="5" fontId="4" fillId="0" borderId="0" xfId="0" applyNumberFormat="1" applyFont="1" applyFill="1" applyBorder="1"/>
    <xf numFmtId="5" fontId="4" fillId="0" borderId="9" xfId="0" applyNumberFormat="1" applyFont="1" applyBorder="1"/>
    <xf numFmtId="5" fontId="4" fillId="0" borderId="0" xfId="0" applyNumberFormat="1" applyFont="1"/>
    <xf numFmtId="5" fontId="4" fillId="0" borderId="0" xfId="0" applyNumberFormat="1" applyFont="1" applyFill="1" applyBorder="1" applyAlignment="1">
      <alignment horizontal="center"/>
    </xf>
    <xf numFmtId="5" fontId="4" fillId="0" borderId="0" xfId="0" applyNumberFormat="1" applyFont="1" applyFill="1"/>
    <xf numFmtId="175" fontId="4" fillId="0" borderId="0" xfId="0" applyNumberFormat="1" applyFont="1" applyAlignment="1">
      <alignment horizontal="right"/>
    </xf>
    <xf numFmtId="178" fontId="4" fillId="0" borderId="0" xfId="0" applyNumberFormat="1" applyFont="1"/>
    <xf numFmtId="3" fontId="11" fillId="0" borderId="0" xfId="0" applyNumberFormat="1" applyFont="1"/>
    <xf numFmtId="5" fontId="11" fillId="0" borderId="0" xfId="0" applyNumberFormat="1" applyFont="1"/>
    <xf numFmtId="5" fontId="4" fillId="0" borderId="0" xfId="0" applyNumberFormat="1" applyFont="1"/>
    <xf numFmtId="166" fontId="4" fillId="0" borderId="0" xfId="0" applyNumberFormat="1" applyFont="1" applyAlignment="1">
      <alignment horizontal="right"/>
    </xf>
    <xf numFmtId="3" fontId="11" fillId="0" borderId="0" xfId="0" applyNumberFormat="1" applyFont="1" applyFill="1"/>
    <xf numFmtId="41" fontId="11" fillId="0" borderId="0" xfId="0" applyNumberFormat="1" applyFont="1"/>
    <xf numFmtId="5" fontId="4" fillId="0" borderId="9" xfId="0" applyNumberFormat="1" applyFont="1" applyBorder="1"/>
    <xf numFmtId="178" fontId="4" fillId="0" borderId="0" xfId="0" applyNumberFormat="1" applyFont="1" applyFill="1"/>
    <xf numFmtId="42" fontId="11" fillId="0" borderId="0" xfId="0" applyNumberFormat="1" applyFont="1"/>
    <xf numFmtId="3" fontId="4" fillId="0" borderId="0" xfId="0" applyNumberFormat="1" applyFont="1" applyFill="1"/>
    <xf numFmtId="181" fontId="4" fillId="0" borderId="0" xfId="0" applyNumberFormat="1" applyFont="1"/>
    <xf numFmtId="178" fontId="4" fillId="0" borderId="0" xfId="0" applyNumberFormat="1" applyFont="1" applyFill="1"/>
    <xf numFmtId="0" fontId="4" fillId="0" borderId="0" xfId="0" applyFont="1" applyFill="1" applyBorder="1" applyAlignment="1"/>
    <xf numFmtId="0" fontId="5" fillId="0" borderId="0" xfId="0" applyFont="1" applyFill="1" applyBorder="1" applyAlignment="1">
      <alignment horizontal="centerContinuous"/>
    </xf>
    <xf numFmtId="0" fontId="4" fillId="0" borderId="0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28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 wrapText="1"/>
    </xf>
    <xf numFmtId="0" fontId="4" fillId="0" borderId="0" xfId="0" applyFont="1" applyFill="1" applyAlignment="1">
      <alignment horizontal="right"/>
    </xf>
    <xf numFmtId="170" fontId="16" fillId="0" borderId="0" xfId="0" applyNumberFormat="1" applyFont="1" applyBorder="1"/>
    <xf numFmtId="44" fontId="16" fillId="0" borderId="0" xfId="0" applyNumberFormat="1" applyFont="1"/>
    <xf numFmtId="171" fontId="4" fillId="0" borderId="0" xfId="0" applyNumberFormat="1" applyFont="1" applyFill="1"/>
    <xf numFmtId="44" fontId="4" fillId="0" borderId="0" xfId="0" applyNumberFormat="1" applyFont="1" applyFill="1" applyBorder="1"/>
    <xf numFmtId="42" fontId="4" fillId="0" borderId="0" xfId="0" applyNumberFormat="1" applyFont="1" applyFill="1"/>
    <xf numFmtId="44" fontId="4" fillId="0" borderId="0" xfId="0" applyNumberFormat="1" applyFont="1" applyFill="1"/>
    <xf numFmtId="44" fontId="6" fillId="0" borderId="0" xfId="0" applyNumberFormat="1" applyFont="1" applyFill="1" applyBorder="1"/>
    <xf numFmtId="44" fontId="4" fillId="0" borderId="0" xfId="0" applyNumberFormat="1" applyFont="1" applyFill="1" applyBorder="1"/>
    <xf numFmtId="41" fontId="4" fillId="0" borderId="0" xfId="0" applyNumberFormat="1" applyFont="1" applyFill="1"/>
    <xf numFmtId="9" fontId="4" fillId="0" borderId="0" xfId="0" applyNumberFormat="1" applyFont="1" applyFill="1" applyBorder="1"/>
    <xf numFmtId="44" fontId="4" fillId="0" borderId="34" xfId="0" applyNumberFormat="1" applyFont="1" applyFill="1" applyBorder="1" applyAlignment="1">
      <alignment horizontal="center"/>
    </xf>
    <xf numFmtId="171" fontId="11" fillId="0" borderId="35" xfId="0" applyNumberFormat="1" applyFont="1" applyFill="1" applyBorder="1"/>
    <xf numFmtId="44" fontId="4" fillId="0" borderId="35" xfId="0" applyNumberFormat="1" applyFont="1" applyFill="1" applyBorder="1" applyAlignment="1">
      <alignment horizontal="center"/>
    </xf>
    <xf numFmtId="171" fontId="4" fillId="0" borderId="36" xfId="0" applyNumberFormat="1" applyFont="1" applyFill="1" applyBorder="1"/>
    <xf numFmtId="171" fontId="4" fillId="0" borderId="9" xfId="0" applyNumberFormat="1" applyFont="1" applyFill="1" applyBorder="1"/>
    <xf numFmtId="42" fontId="4" fillId="0" borderId="9" xfId="0" applyNumberFormat="1" applyFont="1" applyFill="1" applyBorder="1"/>
    <xf numFmtId="171" fontId="4" fillId="0" borderId="0" xfId="0" applyNumberFormat="1" applyFont="1" applyFill="1" applyBorder="1"/>
    <xf numFmtId="9" fontId="4" fillId="0" borderId="0" xfId="0" applyNumberFormat="1" applyFont="1" applyFill="1" applyBorder="1"/>
    <xf numFmtId="0" fontId="4" fillId="0" borderId="0" xfId="0" applyFont="1" applyFill="1" applyBorder="1" applyAlignment="1">
      <alignment horizontal="right"/>
    </xf>
    <xf numFmtId="3" fontId="6" fillId="0" borderId="0" xfId="0" applyNumberFormat="1" applyFont="1" applyFill="1"/>
    <xf numFmtId="171" fontId="4" fillId="0" borderId="0" xfId="0" applyNumberFormat="1" applyFont="1" applyFill="1"/>
    <xf numFmtId="175" fontId="6" fillId="0" borderId="1" xfId="0" applyNumberFormat="1" applyFont="1" applyFill="1" applyBorder="1" applyAlignment="1">
      <alignment horizontal="right"/>
    </xf>
    <xf numFmtId="0" fontId="6" fillId="0" borderId="0" xfId="0" applyFont="1" applyFill="1" applyBorder="1" applyAlignment="1">
      <alignment horizontal="center"/>
    </xf>
    <xf numFmtId="171" fontId="4" fillId="0" borderId="0" xfId="0" applyNumberFormat="1" applyFont="1" applyFill="1" applyBorder="1" applyAlignment="1">
      <alignment horizontal="center"/>
    </xf>
    <xf numFmtId="44" fontId="4" fillId="0" borderId="0" xfId="0" applyNumberFormat="1" applyFont="1" applyFill="1" applyBorder="1" applyAlignment="1">
      <alignment horizontal="right"/>
    </xf>
    <xf numFmtId="10" fontId="4" fillId="0" borderId="0" xfId="0" applyNumberFormat="1" applyFont="1" applyFill="1" applyBorder="1"/>
    <xf numFmtId="10" fontId="4" fillId="0" borderId="0" xfId="0" applyNumberFormat="1" applyFont="1" applyFill="1"/>
    <xf numFmtId="44" fontId="17" fillId="0" borderId="0" xfId="0" applyNumberFormat="1" applyFont="1" applyFill="1"/>
    <xf numFmtId="0" fontId="5" fillId="0" borderId="0" xfId="0" applyFont="1" applyAlignment="1">
      <alignment horizontal="left" wrapText="1"/>
    </xf>
    <xf numFmtId="0" fontId="4" fillId="0" borderId="0" xfId="0" applyFont="1"/>
    <xf numFmtId="0" fontId="5" fillId="0" borderId="0" xfId="0" applyFont="1"/>
    <xf numFmtId="3" fontId="4" fillId="0" borderId="0" xfId="0" applyNumberFormat="1" applyFont="1" applyFill="1"/>
    <xf numFmtId="3" fontId="4" fillId="0" borderId="9" xfId="0" applyNumberFormat="1" applyFont="1" applyFill="1" applyBorder="1"/>
    <xf numFmtId="0" fontId="5" fillId="0" borderId="0" xfId="0" applyFont="1" applyFill="1"/>
    <xf numFmtId="0" fontId="0" fillId="0" borderId="0" xfId="0" applyFont="1" applyBorder="1" applyAlignment="1">
      <alignment horizontal="center"/>
    </xf>
    <xf numFmtId="171" fontId="11" fillId="0" borderId="0" xfId="0" applyNumberFormat="1" applyFont="1" applyFill="1" applyBorder="1" applyAlignment="1">
      <alignment horizontal="center"/>
    </xf>
    <xf numFmtId="171" fontId="0" fillId="0" borderId="2" xfId="0" applyNumberFormat="1" applyFont="1" applyFill="1" applyBorder="1"/>
    <xf numFmtId="171" fontId="11" fillId="0" borderId="0" xfId="0" applyNumberFormat="1" applyFont="1" applyFill="1"/>
    <xf numFmtId="171" fontId="17" fillId="0" borderId="0" xfId="0" applyNumberFormat="1" applyFont="1" applyFill="1"/>
    <xf numFmtId="171" fontId="17" fillId="0" borderId="0" xfId="0" applyNumberFormat="1" applyFont="1"/>
    <xf numFmtId="171" fontId="4" fillId="0" borderId="2" xfId="0" applyNumberFormat="1" applyFont="1" applyFill="1" applyBorder="1"/>
    <xf numFmtId="171" fontId="20" fillId="0" borderId="0" xfId="0" applyNumberFormat="1" applyFont="1" applyFill="1" applyBorder="1" applyAlignment="1">
      <alignment horizontal="center"/>
    </xf>
    <xf numFmtId="0" fontId="23" fillId="0" borderId="0" xfId="0" applyFont="1" applyAlignment="1"/>
    <xf numFmtId="42" fontId="4" fillId="0" borderId="0" xfId="0" applyNumberFormat="1" applyFont="1" applyBorder="1" applyAlignment="1">
      <alignment horizontal="center"/>
    </xf>
    <xf numFmtId="171" fontId="0" fillId="0" borderId="0" xfId="0" applyNumberFormat="1" applyFont="1" applyFill="1" applyBorder="1"/>
    <xf numFmtId="171" fontId="11" fillId="0" borderId="0" xfId="0" applyNumberFormat="1" applyFont="1" applyFill="1" applyBorder="1"/>
    <xf numFmtId="171" fontId="17" fillId="0" borderId="0" xfId="0" applyNumberFormat="1" applyFont="1" applyFill="1" applyBorder="1"/>
    <xf numFmtId="171" fontId="17" fillId="0" borderId="0" xfId="0" applyNumberFormat="1" applyFont="1" applyBorder="1"/>
    <xf numFmtId="171" fontId="4" fillId="0" borderId="0" xfId="0" applyNumberFormat="1" applyFont="1" applyFill="1" applyBorder="1"/>
    <xf numFmtId="41" fontId="0" fillId="0" borderId="0" xfId="0" applyNumberFormat="1" applyFill="1" applyBorder="1"/>
    <xf numFmtId="0" fontId="5" fillId="0" borderId="0" xfId="0" applyFont="1" applyBorder="1" applyAlignment="1"/>
    <xf numFmtId="0" fontId="5" fillId="0" borderId="0" xfId="0" applyFont="1" applyBorder="1" applyAlignment="1">
      <alignment horizontal="left" wrapText="1"/>
    </xf>
    <xf numFmtId="0" fontId="0" fillId="0" borderId="0" xfId="0" quotePrefix="1" applyBorder="1" applyAlignment="1">
      <alignment vertical="top"/>
    </xf>
    <xf numFmtId="0" fontId="0" fillId="0" borderId="0" xfId="0" applyFill="1" applyBorder="1" applyAlignment="1">
      <alignment vertical="top"/>
    </xf>
    <xf numFmtId="0" fontId="0" fillId="0" borderId="0" xfId="0" applyFill="1" applyBorder="1" applyAlignment="1">
      <alignment vertical="top" wrapText="1"/>
    </xf>
    <xf numFmtId="0" fontId="0" fillId="0" borderId="0" xfId="0" applyBorder="1" applyAlignment="1"/>
    <xf numFmtId="0" fontId="0" fillId="0" borderId="47" xfId="0" applyBorder="1"/>
    <xf numFmtId="0" fontId="0" fillId="0" borderId="48" xfId="0" applyBorder="1"/>
    <xf numFmtId="43" fontId="0" fillId="0" borderId="48" xfId="0" applyNumberFormat="1" applyFont="1" applyBorder="1"/>
    <xf numFmtId="43" fontId="0" fillId="0" borderId="49" xfId="0" applyNumberFormat="1" applyFont="1" applyFill="1" applyBorder="1"/>
    <xf numFmtId="0" fontId="0" fillId="0" borderId="10" xfId="0" applyFont="1" applyFill="1" applyBorder="1" applyAlignment="1">
      <alignment horizontal="center"/>
    </xf>
    <xf numFmtId="0" fontId="0" fillId="0" borderId="12" xfId="0" applyFont="1" applyFill="1" applyBorder="1" applyAlignment="1">
      <alignment horizontal="center"/>
    </xf>
    <xf numFmtId="0" fontId="0" fillId="0" borderId="13" xfId="0" applyBorder="1"/>
    <xf numFmtId="0" fontId="0" fillId="0" borderId="14" xfId="0" applyBorder="1"/>
    <xf numFmtId="43" fontId="0" fillId="0" borderId="15" xfId="0" applyNumberFormat="1" applyFont="1" applyBorder="1"/>
    <xf numFmtId="43" fontId="0" fillId="0" borderId="17" xfId="0" applyNumberFormat="1" applyFont="1" applyBorder="1"/>
    <xf numFmtId="42" fontId="0" fillId="0" borderId="9" xfId="0" applyNumberFormat="1" applyBorder="1"/>
    <xf numFmtId="42" fontId="0" fillId="0" borderId="9" xfId="0" applyNumberFormat="1" applyFill="1" applyBorder="1"/>
    <xf numFmtId="3" fontId="0" fillId="0" borderId="0" xfId="0" applyNumberFormat="1" applyFont="1" applyFill="1" applyBorder="1"/>
    <xf numFmtId="42" fontId="0" fillId="0" borderId="0" xfId="0" applyNumberFormat="1" applyFont="1" applyFill="1" applyBorder="1"/>
    <xf numFmtId="0" fontId="4" fillId="0" borderId="0" xfId="0" applyFont="1"/>
    <xf numFmtId="43" fontId="27" fillId="0" borderId="0" xfId="0" applyNumberFormat="1" applyFont="1" applyBorder="1"/>
    <xf numFmtId="43" fontId="27" fillId="0" borderId="0" xfId="0" applyNumberFormat="1" applyFont="1"/>
    <xf numFmtId="44" fontId="27" fillId="0" borderId="0" xfId="0" applyNumberFormat="1" applyFont="1" applyFill="1" applyBorder="1"/>
    <xf numFmtId="42" fontId="27" fillId="0" borderId="0" xfId="0" applyNumberFormat="1" applyFont="1" applyFill="1"/>
    <xf numFmtId="171" fontId="27" fillId="0" borderId="0" xfId="0" applyNumberFormat="1" applyFont="1" applyFill="1"/>
    <xf numFmtId="42" fontId="27" fillId="0" borderId="0" xfId="0" applyNumberFormat="1" applyFont="1"/>
    <xf numFmtId="37" fontId="27" fillId="0" borderId="7" xfId="0" applyNumberFormat="1" applyFont="1" applyBorder="1"/>
    <xf numFmtId="37" fontId="27" fillId="0" borderId="8" xfId="0" applyNumberFormat="1" applyFont="1" applyBorder="1"/>
    <xf numFmtId="0" fontId="23" fillId="0" borderId="0" xfId="0" applyFont="1" applyAlignment="1">
      <alignment horizontal="centerContinuous"/>
    </xf>
    <xf numFmtId="37" fontId="20" fillId="0" borderId="0" xfId="0" applyNumberFormat="1" applyFont="1" applyBorder="1"/>
    <xf numFmtId="37" fontId="20" fillId="0" borderId="5" xfId="0" applyNumberFormat="1" applyFont="1" applyBorder="1"/>
    <xf numFmtId="0" fontId="29" fillId="2" borderId="0" xfId="0" applyFont="1" applyFill="1"/>
    <xf numFmtId="0" fontId="29" fillId="0" borderId="0" xfId="0" applyFont="1" applyFill="1"/>
    <xf numFmtId="3" fontId="17" fillId="0" borderId="0" xfId="0" quotePrefix="1" applyNumberFormat="1" applyFont="1" applyFill="1" applyBorder="1"/>
    <xf numFmtId="3" fontId="18" fillId="0" borderId="0" xfId="0" applyNumberFormat="1" applyFont="1" applyFill="1" applyBorder="1"/>
    <xf numFmtId="170" fontId="4" fillId="0" borderId="0" xfId="0" applyNumberFormat="1" applyFont="1" applyFill="1" applyBorder="1"/>
    <xf numFmtId="17" fontId="20" fillId="0" borderId="0" xfId="0" applyNumberFormat="1" applyFont="1" applyBorder="1" applyAlignment="1">
      <alignment horizontal="center"/>
    </xf>
    <xf numFmtId="0" fontId="20" fillId="0" borderId="0" xfId="0" applyFont="1" applyBorder="1" applyAlignment="1">
      <alignment horizontal="center"/>
    </xf>
    <xf numFmtId="0" fontId="0" fillId="0" borderId="0" xfId="0" applyFont="1"/>
    <xf numFmtId="0" fontId="4" fillId="0" borderId="0" xfId="0" applyFont="1" applyAlignment="1">
      <alignment horizontal="centerContinuous"/>
    </xf>
    <xf numFmtId="0" fontId="4" fillId="0" borderId="0" xfId="0" applyFont="1"/>
    <xf numFmtId="0" fontId="5" fillId="0" borderId="0" xfId="0" applyFont="1" applyAlignment="1">
      <alignment horizontal="centerContinuous"/>
    </xf>
    <xf numFmtId="0" fontId="4" fillId="0" borderId="45" xfId="0" applyFont="1" applyBorder="1" applyAlignment="1">
      <alignment horizontal="center"/>
    </xf>
    <xf numFmtId="174" fontId="4" fillId="0" borderId="45" xfId="0" applyNumberFormat="1" applyFont="1" applyFill="1" applyBorder="1" applyAlignment="1">
      <alignment horizontal="center" wrapText="1"/>
    </xf>
    <xf numFmtId="0" fontId="4" fillId="0" borderId="45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5" fillId="0" borderId="0" xfId="0" applyFont="1"/>
    <xf numFmtId="0" fontId="5" fillId="0" borderId="0" xfId="0" applyFont="1" applyAlignment="1">
      <alignment horizontal="right"/>
    </xf>
    <xf numFmtId="4" fontId="4" fillId="0" borderId="0" xfId="0" applyNumberFormat="1" applyFont="1"/>
    <xf numFmtId="0" fontId="4" fillId="0" borderId="0" xfId="0" applyFont="1" applyFill="1"/>
    <xf numFmtId="0" fontId="4" fillId="0" borderId="0" xfId="0" applyFont="1" applyFill="1" applyAlignment="1">
      <alignment horizontal="right"/>
    </xf>
    <xf numFmtId="3" fontId="17" fillId="0" borderId="0" xfId="0" applyNumberFormat="1" applyFont="1" applyFill="1"/>
    <xf numFmtId="3" fontId="4" fillId="0" borderId="0" xfId="0" applyNumberFormat="1" applyFont="1" applyFill="1"/>
    <xf numFmtId="9" fontId="4" fillId="0" borderId="0" xfId="0" applyNumberFormat="1" applyFont="1" applyFill="1"/>
    <xf numFmtId="166" fontId="4" fillId="0" borderId="0" xfId="0" applyNumberFormat="1" applyFont="1" applyFill="1"/>
    <xf numFmtId="0" fontId="4" fillId="0" borderId="0" xfId="0" applyFont="1" applyAlignment="1">
      <alignment horizontal="right"/>
    </xf>
    <xf numFmtId="0" fontId="4" fillId="0" borderId="0" xfId="0" applyFont="1" applyFill="1" applyBorder="1"/>
    <xf numFmtId="0" fontId="2" fillId="0" borderId="0" xfId="0" applyFont="1" applyFill="1" applyBorder="1" applyAlignment="1">
      <alignment horizontal="right"/>
    </xf>
    <xf numFmtId="3" fontId="17" fillId="0" borderId="0" xfId="0" applyNumberFormat="1" applyFont="1" applyFill="1" applyBorder="1"/>
    <xf numFmtId="3" fontId="4" fillId="0" borderId="45" xfId="0" applyNumberFormat="1" applyFont="1" applyFill="1" applyBorder="1"/>
    <xf numFmtId="3" fontId="4" fillId="0" borderId="0" xfId="0" applyNumberFormat="1" applyFont="1" applyFill="1" applyBorder="1"/>
    <xf numFmtId="3" fontId="4" fillId="0" borderId="9" xfId="0" applyNumberFormat="1" applyFont="1" applyFill="1" applyBorder="1"/>
    <xf numFmtId="0" fontId="5" fillId="0" borderId="0" xfId="0" applyFont="1" applyFill="1"/>
    <xf numFmtId="3" fontId="4" fillId="0" borderId="0" xfId="0" applyNumberFormat="1" applyFont="1"/>
    <xf numFmtId="170" fontId="24" fillId="0" borderId="0" xfId="0" applyNumberFormat="1" applyFont="1"/>
    <xf numFmtId="170" fontId="24" fillId="0" borderId="0" xfId="0" applyNumberFormat="1" applyFont="1" applyFill="1"/>
    <xf numFmtId="0" fontId="24" fillId="0" borderId="0" xfId="0" applyFont="1" applyFill="1"/>
    <xf numFmtId="0" fontId="25" fillId="0" borderId="0" xfId="0" applyFont="1" applyFill="1"/>
    <xf numFmtId="3" fontId="19" fillId="0" borderId="0" xfId="0" applyNumberFormat="1" applyFont="1" applyFill="1" applyBorder="1"/>
    <xf numFmtId="3" fontId="4" fillId="0" borderId="0" xfId="0" applyNumberFormat="1" applyFont="1" applyBorder="1"/>
    <xf numFmtId="0" fontId="4" fillId="0" borderId="0" xfId="0" applyFont="1" applyBorder="1"/>
    <xf numFmtId="0" fontId="2" fillId="0" borderId="0" xfId="0" applyFont="1" applyBorder="1" applyAlignment="1">
      <alignment horizontal="right"/>
    </xf>
    <xf numFmtId="3" fontId="26" fillId="0" borderId="0" xfId="0" applyNumberFormat="1" applyFont="1" applyFill="1"/>
    <xf numFmtId="9" fontId="4" fillId="0" borderId="0" xfId="0" applyNumberFormat="1" applyFont="1" applyFill="1" applyBorder="1"/>
    <xf numFmtId="167" fontId="6" fillId="0" borderId="0" xfId="0" applyNumberFormat="1" applyFont="1" applyFill="1"/>
    <xf numFmtId="177" fontId="6" fillId="0" borderId="0" xfId="0" applyNumberFormat="1" applyFont="1" applyFill="1"/>
    <xf numFmtId="169" fontId="6" fillId="0" borderId="0" xfId="0" applyNumberFormat="1" applyFont="1" applyFill="1"/>
    <xf numFmtId="168" fontId="6" fillId="0" borderId="0" xfId="0" applyNumberFormat="1" applyFont="1" applyFill="1" applyBorder="1"/>
    <xf numFmtId="167" fontId="6" fillId="0" borderId="0" xfId="0" applyNumberFormat="1" applyFont="1" applyFill="1" applyBorder="1"/>
    <xf numFmtId="177" fontId="6" fillId="0" borderId="0" xfId="0" applyNumberFormat="1" applyFont="1" applyFill="1" applyBorder="1"/>
    <xf numFmtId="3" fontId="4" fillId="0" borderId="45" xfId="0" applyNumberFormat="1" applyFont="1" applyBorder="1"/>
    <xf numFmtId="3" fontId="4" fillId="0" borderId="9" xfId="0" applyNumberFormat="1" applyFont="1" applyBorder="1"/>
    <xf numFmtId="0" fontId="5" fillId="0" borderId="0" xfId="0" applyFont="1" applyFill="1"/>
    <xf numFmtId="166" fontId="4" fillId="0" borderId="0" xfId="0" applyNumberFormat="1" applyFont="1" applyFill="1" applyBorder="1"/>
    <xf numFmtId="0" fontId="4" fillId="0" borderId="0" xfId="0" applyFont="1" applyAlignment="1">
      <alignment horizontal="left"/>
    </xf>
    <xf numFmtId="0" fontId="4" fillId="0" borderId="0" xfId="0" applyFont="1" applyFill="1" applyBorder="1" applyAlignment="1">
      <alignment horizontal="left"/>
    </xf>
    <xf numFmtId="0" fontId="4" fillId="0" borderId="0" xfId="0" applyFont="1" applyBorder="1" applyAlignment="1">
      <alignment horizontal="left"/>
    </xf>
    <xf numFmtId="0" fontId="4" fillId="0" borderId="0" xfId="0" applyFont="1" applyBorder="1" applyAlignment="1">
      <alignment horizontal="right"/>
    </xf>
    <xf numFmtId="0" fontId="27" fillId="0" borderId="0" xfId="0" applyFont="1" applyAlignment="1">
      <alignment horizontal="left"/>
    </xf>
    <xf numFmtId="0" fontId="27" fillId="0" borderId="0" xfId="0" applyFont="1" applyAlignment="1">
      <alignment horizontal="right"/>
    </xf>
    <xf numFmtId="3" fontId="27" fillId="0" borderId="0" xfId="0" applyNumberFormat="1" applyFont="1" applyBorder="1"/>
    <xf numFmtId="0" fontId="27" fillId="0" borderId="0" xfId="0" applyFont="1" applyFill="1" applyBorder="1" applyAlignment="1">
      <alignment horizontal="left"/>
    </xf>
    <xf numFmtId="3" fontId="27" fillId="0" borderId="0" xfId="0" applyNumberFormat="1" applyFont="1" applyFill="1" applyBorder="1"/>
    <xf numFmtId="0" fontId="5" fillId="0" borderId="0" xfId="0" applyFont="1" applyAlignment="1">
      <alignment horizontal="left"/>
    </xf>
    <xf numFmtId="3" fontId="4" fillId="0" borderId="0" xfId="0" applyNumberFormat="1" applyFont="1" applyFill="1" applyAlignment="1"/>
    <xf numFmtId="0" fontId="0" fillId="0" borderId="3" xfId="0" applyFont="1" applyBorder="1" applyAlignment="1">
      <alignment horizontal="center"/>
    </xf>
    <xf numFmtId="0" fontId="0" fillId="0" borderId="0" xfId="0" quotePrefix="1"/>
    <xf numFmtId="0" fontId="23" fillId="0" borderId="0" xfId="0" applyFont="1" applyAlignment="1">
      <alignment horizontal="center"/>
    </xf>
    <xf numFmtId="170" fontId="0" fillId="0" borderId="2" xfId="0" applyNumberFormat="1" applyFont="1" applyBorder="1"/>
    <xf numFmtId="170" fontId="16" fillId="0" borderId="0" xfId="0" applyNumberFormat="1" applyFont="1" applyFill="1"/>
    <xf numFmtId="170" fontId="11" fillId="0" borderId="0" xfId="0" applyNumberFormat="1" applyFont="1"/>
    <xf numFmtId="170" fontId="20" fillId="0" borderId="0" xfId="0" applyNumberFormat="1" applyFont="1"/>
    <xf numFmtId="170" fontId="0" fillId="0" borderId="2" xfId="0" applyNumberFormat="1" applyFont="1" applyFill="1" applyBorder="1"/>
    <xf numFmtId="164" fontId="20" fillId="0" borderId="0" xfId="0" applyNumberFormat="1" applyFont="1" applyFill="1"/>
    <xf numFmtId="164" fontId="20" fillId="0" borderId="0" xfId="0" applyNumberFormat="1" applyFont="1"/>
    <xf numFmtId="3" fontId="0" fillId="0" borderId="12" xfId="0" applyNumberFormat="1" applyFill="1" applyBorder="1"/>
    <xf numFmtId="3" fontId="0" fillId="0" borderId="14" xfId="0" applyNumberFormat="1" applyFill="1" applyBorder="1"/>
    <xf numFmtId="3" fontId="0" fillId="0" borderId="17" xfId="0" applyNumberFormat="1" applyFill="1" applyBorder="1"/>
    <xf numFmtId="0" fontId="4" fillId="0" borderId="0" xfId="0" applyFont="1" applyAlignment="1">
      <alignment horizontal="centerContinuous"/>
    </xf>
    <xf numFmtId="0" fontId="4" fillId="0" borderId="0" xfId="0" applyFont="1"/>
    <xf numFmtId="0" fontId="5" fillId="0" borderId="0" xfId="0" applyFont="1" applyAlignment="1">
      <alignment horizontal="centerContinuous"/>
    </xf>
    <xf numFmtId="0" fontId="4" fillId="0" borderId="45" xfId="0" applyFont="1" applyBorder="1" applyAlignment="1">
      <alignment horizontal="center"/>
    </xf>
    <xf numFmtId="174" fontId="4" fillId="0" borderId="45" xfId="0" applyNumberFormat="1" applyFont="1" applyFill="1" applyBorder="1" applyAlignment="1">
      <alignment horizontal="center" wrapText="1"/>
    </xf>
    <xf numFmtId="0" fontId="4" fillId="0" borderId="0" xfId="0" applyFont="1" applyFill="1" applyBorder="1" applyAlignment="1">
      <alignment horizontal="center"/>
    </xf>
    <xf numFmtId="0" fontId="5" fillId="0" borderId="0" xfId="0" applyFont="1" applyFill="1"/>
    <xf numFmtId="0" fontId="4" fillId="0" borderId="0" xfId="0" applyFont="1" applyBorder="1" applyAlignment="1">
      <alignment horizontal="center"/>
    </xf>
    <xf numFmtId="174" fontId="4" fillId="0" borderId="0" xfId="0" applyNumberFormat="1" applyFont="1" applyFill="1" applyBorder="1" applyAlignment="1">
      <alignment horizontal="center" wrapText="1"/>
    </xf>
    <xf numFmtId="0" fontId="4" fillId="0" borderId="0" xfId="0" applyFont="1" applyFill="1"/>
    <xf numFmtId="0" fontId="4" fillId="0" borderId="0" xfId="0" applyFont="1" applyAlignment="1">
      <alignment horizontal="right"/>
    </xf>
    <xf numFmtId="170" fontId="4" fillId="0" borderId="0" xfId="0" applyNumberFormat="1" applyFont="1" applyFill="1"/>
    <xf numFmtId="3" fontId="4" fillId="0" borderId="0" xfId="0" applyNumberFormat="1" applyFont="1" applyFill="1"/>
    <xf numFmtId="170" fontId="4" fillId="0" borderId="0" xfId="0" applyNumberFormat="1" applyFont="1" applyFill="1"/>
    <xf numFmtId="0" fontId="4" fillId="0" borderId="0" xfId="0" applyFont="1" applyFill="1" applyBorder="1"/>
    <xf numFmtId="0" fontId="1" fillId="0" borderId="0" xfId="0" applyFont="1" applyBorder="1" applyAlignment="1">
      <alignment horizontal="right"/>
    </xf>
    <xf numFmtId="0" fontId="4" fillId="0" borderId="0" xfId="0" applyFont="1" applyFill="1" applyAlignment="1">
      <alignment horizontal="right"/>
    </xf>
    <xf numFmtId="170" fontId="4" fillId="0" borderId="45" xfId="0" applyNumberFormat="1" applyFont="1" applyFill="1" applyBorder="1"/>
    <xf numFmtId="0" fontId="20" fillId="0" borderId="0" xfId="0" applyFont="1"/>
    <xf numFmtId="170" fontId="20" fillId="0" borderId="0" xfId="0" applyNumberFormat="1" applyFont="1"/>
    <xf numFmtId="0" fontId="1" fillId="0" borderId="0" xfId="0" applyFont="1"/>
    <xf numFmtId="0" fontId="31" fillId="0" borderId="0" xfId="0" applyFont="1" applyFill="1"/>
    <xf numFmtId="0" fontId="31" fillId="0" borderId="0" xfId="0" applyFont="1"/>
    <xf numFmtId="43" fontId="31" fillId="0" borderId="0" xfId="0" applyNumberFormat="1" applyFont="1"/>
    <xf numFmtId="3" fontId="20" fillId="0" borderId="0" xfId="0" applyNumberFormat="1" applyFont="1"/>
    <xf numFmtId="3" fontId="17" fillId="0" borderId="0" xfId="0" applyNumberFormat="1" applyFont="1" applyFill="1"/>
    <xf numFmtId="189" fontId="17" fillId="0" borderId="0" xfId="0" applyNumberFormat="1" applyFont="1" applyFill="1"/>
    <xf numFmtId="189" fontId="4" fillId="0" borderId="0" xfId="0" applyNumberFormat="1" applyFont="1" applyFill="1"/>
    <xf numFmtId="189" fontId="17" fillId="0" borderId="45" xfId="0" applyNumberFormat="1" applyFont="1" applyFill="1" applyBorder="1"/>
    <xf numFmtId="189" fontId="20" fillId="0" borderId="45" xfId="0" applyNumberFormat="1" applyFont="1" applyFill="1" applyBorder="1"/>
    <xf numFmtId="189" fontId="4" fillId="0" borderId="45" xfId="0" applyNumberFormat="1" applyFont="1" applyFill="1" applyBorder="1"/>
    <xf numFmtId="171" fontId="4" fillId="0" borderId="0" xfId="0" applyNumberFormat="1" applyFont="1" applyFill="1"/>
    <xf numFmtId="171" fontId="4" fillId="0" borderId="45" xfId="0" applyNumberFormat="1" applyFont="1" applyFill="1" applyBorder="1"/>
    <xf numFmtId="171" fontId="20" fillId="0" borderId="0" xfId="0" applyNumberFormat="1" applyFont="1"/>
    <xf numFmtId="0" fontId="25" fillId="0" borderId="0" xfId="0" applyFont="1"/>
    <xf numFmtId="43" fontId="25" fillId="0" borderId="0" xfId="0" applyNumberFormat="1" applyFont="1"/>
    <xf numFmtId="190" fontId="0" fillId="0" borderId="0" xfId="0" applyNumberFormat="1" applyFont="1"/>
    <xf numFmtId="0" fontId="32" fillId="0" borderId="0" xfId="0" applyFont="1"/>
    <xf numFmtId="0" fontId="30" fillId="0" borderId="0" xfId="0" applyFont="1"/>
    <xf numFmtId="171" fontId="20" fillId="0" borderId="0" xfId="0" applyNumberFormat="1" applyFont="1" applyFill="1"/>
    <xf numFmtId="0" fontId="33" fillId="0" borderId="0" xfId="0" applyFont="1"/>
    <xf numFmtId="0" fontId="24" fillId="0" borderId="0" xfId="0" applyFont="1"/>
    <xf numFmtId="0" fontId="34" fillId="0" borderId="0" xfId="0" applyFont="1" applyBorder="1" applyAlignment="1"/>
    <xf numFmtId="0" fontId="34" fillId="0" borderId="0" xfId="0" applyFont="1" applyBorder="1" applyAlignment="1">
      <alignment horizontal="center"/>
    </xf>
    <xf numFmtId="0" fontId="34" fillId="0" borderId="31" xfId="0" applyFont="1" applyBorder="1" applyAlignment="1">
      <alignment horizontal="center"/>
    </xf>
    <xf numFmtId="0" fontId="34" fillId="0" borderId="50" xfId="0" applyFont="1" applyBorder="1" applyAlignment="1">
      <alignment horizontal="center"/>
    </xf>
    <xf numFmtId="0" fontId="24" fillId="0" borderId="50" xfId="0" applyFont="1" applyBorder="1" applyAlignment="1">
      <alignment horizontal="center"/>
    </xf>
    <xf numFmtId="0" fontId="24" fillId="0" borderId="50" xfId="0" applyFont="1" applyBorder="1"/>
    <xf numFmtId="0" fontId="24" fillId="0" borderId="0" xfId="0" applyFont="1" applyAlignment="1">
      <alignment horizontal="center"/>
    </xf>
    <xf numFmtId="170" fontId="24" fillId="0" borderId="0" xfId="0" applyNumberFormat="1" applyFont="1"/>
    <xf numFmtId="190" fontId="24" fillId="0" borderId="0" xfId="0" applyNumberFormat="1" applyFont="1"/>
    <xf numFmtId="191" fontId="24" fillId="0" borderId="0" xfId="0" applyNumberFormat="1" applyFont="1"/>
    <xf numFmtId="166" fontId="24" fillId="0" borderId="0" xfId="0" applyNumberFormat="1" applyFont="1"/>
    <xf numFmtId="170" fontId="35" fillId="0" borderId="0" xfId="0" applyNumberFormat="1" applyFont="1"/>
    <xf numFmtId="170" fontId="35" fillId="0" borderId="0" xfId="0" applyNumberFormat="1" applyFont="1"/>
    <xf numFmtId="192" fontId="36" fillId="0" borderId="0" xfId="0" applyNumberFormat="1" applyFont="1"/>
    <xf numFmtId="191" fontId="37" fillId="3" borderId="0" xfId="0" applyNumberFormat="1" applyFont="1" applyFill="1"/>
    <xf numFmtId="170" fontId="24" fillId="0" borderId="0" xfId="0" applyNumberFormat="1" applyFont="1" applyFill="1"/>
    <xf numFmtId="0" fontId="38" fillId="0" borderId="0" xfId="0" applyFont="1"/>
    <xf numFmtId="0" fontId="36" fillId="0" borderId="0" xfId="0" applyFont="1"/>
    <xf numFmtId="0" fontId="25" fillId="0" borderId="0" xfId="0" applyFont="1" applyAlignment="1">
      <alignment horizontal="left"/>
    </xf>
    <xf numFmtId="170" fontId="38" fillId="0" borderId="0" xfId="0" applyNumberFormat="1" applyFont="1"/>
    <xf numFmtId="0" fontId="25" fillId="0" borderId="0" xfId="0" quotePrefix="1" applyFont="1"/>
    <xf numFmtId="170" fontId="16" fillId="0" borderId="0" xfId="0" applyNumberFormat="1" applyFont="1" applyFill="1"/>
    <xf numFmtId="170" fontId="16" fillId="0" borderId="45" xfId="0" applyNumberFormat="1" applyFont="1" applyFill="1" applyBorder="1"/>
    <xf numFmtId="190" fontId="24" fillId="0" borderId="0" xfId="0" applyNumberFormat="1" applyFont="1" applyFill="1"/>
    <xf numFmtId="170" fontId="24" fillId="0" borderId="21" xfId="0" applyNumberFormat="1" applyFont="1" applyFill="1" applyBorder="1"/>
    <xf numFmtId="170" fontId="24" fillId="0" borderId="0" xfId="0" applyNumberFormat="1" applyFont="1" applyFill="1" applyBorder="1"/>
    <xf numFmtId="170" fontId="24" fillId="0" borderId="22" xfId="0" applyNumberFormat="1" applyFont="1" applyFill="1" applyBorder="1"/>
    <xf numFmtId="0" fontId="23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Fill="1" applyAlignment="1">
      <alignment horizontal="center"/>
    </xf>
    <xf numFmtId="178" fontId="4" fillId="0" borderId="31" xfId="0" applyNumberFormat="1" applyFont="1" applyBorder="1" applyAlignment="1">
      <alignment horizontal="center"/>
    </xf>
    <xf numFmtId="178" fontId="4" fillId="0" borderId="32" xfId="0" applyNumberFormat="1" applyFont="1" applyBorder="1" applyAlignment="1">
      <alignment horizontal="center"/>
    </xf>
    <xf numFmtId="0" fontId="34" fillId="0" borderId="45" xfId="0" applyFont="1" applyBorder="1" applyAlignment="1">
      <alignment horizontal="center"/>
    </xf>
    <xf numFmtId="0" fontId="34" fillId="0" borderId="0" xfId="0" applyFont="1" applyAlignment="1">
      <alignment horizontal="center"/>
    </xf>
    <xf numFmtId="0" fontId="34" fillId="0" borderId="31" xfId="0" applyFont="1" applyBorder="1" applyAlignment="1">
      <alignment horizontal="center"/>
    </xf>
    <xf numFmtId="3" fontId="17" fillId="4" borderId="25" xfId="0" applyNumberFormat="1" applyFont="1" applyFill="1" applyBorder="1"/>
    <xf numFmtId="3" fontId="17" fillId="4" borderId="26" xfId="0" applyNumberFormat="1" applyFont="1" applyFill="1" applyBorder="1"/>
    <xf numFmtId="3" fontId="0" fillId="4" borderId="27" xfId="0" applyNumberFormat="1" applyFill="1" applyBorder="1"/>
    <xf numFmtId="3" fontId="41" fillId="4" borderId="26" xfId="0" applyNumberFormat="1" applyFont="1" applyFill="1" applyBorder="1"/>
    <xf numFmtId="170" fontId="4" fillId="4" borderId="37" xfId="0" applyNumberFormat="1" applyFont="1" applyFill="1" applyBorder="1" applyAlignment="1">
      <alignment horizontal="left"/>
    </xf>
    <xf numFmtId="170" fontId="17" fillId="4" borderId="38" xfId="0" applyNumberFormat="1" applyFont="1" applyFill="1" applyBorder="1"/>
    <xf numFmtId="170" fontId="4" fillId="4" borderId="39" xfId="0" applyNumberFormat="1" applyFont="1" applyFill="1" applyBorder="1"/>
    <xf numFmtId="170" fontId="4" fillId="4" borderId="40" xfId="0" applyNumberFormat="1" applyFont="1" applyFill="1" applyBorder="1" applyAlignment="1">
      <alignment horizontal="left"/>
    </xf>
    <xf numFmtId="170" fontId="17" fillId="4" borderId="0" xfId="0" applyNumberFormat="1" applyFont="1" applyFill="1" applyBorder="1"/>
    <xf numFmtId="170" fontId="4" fillId="4" borderId="41" xfId="0" applyNumberFormat="1" applyFont="1" applyFill="1" applyBorder="1"/>
    <xf numFmtId="170" fontId="4" fillId="4" borderId="42" xfId="0" applyNumberFormat="1" applyFont="1" applyFill="1" applyBorder="1" applyAlignment="1">
      <alignment horizontal="left"/>
    </xf>
    <xf numFmtId="170" fontId="17" fillId="4" borderId="43" xfId="0" applyNumberFormat="1" applyFont="1" applyFill="1" applyBorder="1"/>
    <xf numFmtId="170" fontId="4" fillId="4" borderId="44" xfId="0" applyNumberFormat="1" applyFont="1" applyFill="1" applyBorder="1"/>
    <xf numFmtId="170" fontId="42" fillId="4" borderId="0" xfId="0" applyNumberFormat="1" applyFont="1" applyFill="1" applyBorder="1"/>
    <xf numFmtId="0" fontId="0" fillId="4" borderId="37" xfId="0" applyFill="1" applyBorder="1"/>
    <xf numFmtId="0" fontId="0" fillId="4" borderId="38" xfId="0" applyFill="1" applyBorder="1"/>
    <xf numFmtId="44" fontId="17" fillId="4" borderId="38" xfId="0" applyNumberFormat="1" applyFont="1" applyFill="1" applyBorder="1"/>
    <xf numFmtId="44" fontId="17" fillId="4" borderId="39" xfId="0" applyNumberFormat="1" applyFont="1" applyFill="1" applyBorder="1"/>
    <xf numFmtId="0" fontId="0" fillId="4" borderId="40" xfId="0" applyFill="1" applyBorder="1"/>
    <xf numFmtId="0" fontId="0" fillId="4" borderId="0" xfId="0" applyFill="1" applyBorder="1"/>
    <xf numFmtId="0" fontId="16" fillId="4" borderId="0" xfId="0" applyFont="1" applyFill="1" applyBorder="1"/>
    <xf numFmtId="0" fontId="16" fillId="4" borderId="41" xfId="0" applyFont="1" applyFill="1" applyBorder="1"/>
    <xf numFmtId="164" fontId="17" fillId="4" borderId="0" xfId="0" applyNumberFormat="1" applyFont="1" applyFill="1" applyBorder="1"/>
    <xf numFmtId="164" fontId="17" fillId="4" borderId="41" xfId="0" applyNumberFormat="1" applyFont="1" applyFill="1" applyBorder="1"/>
    <xf numFmtId="0" fontId="0" fillId="4" borderId="42" xfId="0" applyFill="1" applyBorder="1"/>
    <xf numFmtId="0" fontId="0" fillId="4" borderId="43" xfId="0" applyFill="1" applyBorder="1"/>
    <xf numFmtId="44" fontId="17" fillId="4" borderId="43" xfId="0" applyNumberFormat="1" applyFont="1" applyFill="1" applyBorder="1"/>
    <xf numFmtId="44" fontId="17" fillId="4" borderId="44" xfId="0" applyNumberFormat="1" applyFont="1" applyFill="1" applyBorder="1"/>
    <xf numFmtId="3" fontId="11" fillId="4" borderId="38" xfId="0" applyNumberFormat="1" applyFont="1" applyFill="1" applyBorder="1"/>
    <xf numFmtId="3" fontId="4" fillId="4" borderId="38" xfId="0" applyNumberFormat="1" applyFont="1" applyFill="1" applyBorder="1"/>
    <xf numFmtId="3" fontId="6" fillId="4" borderId="0" xfId="0" applyNumberFormat="1" applyFont="1" applyFill="1" applyBorder="1"/>
    <xf numFmtId="3" fontId="0" fillId="4" borderId="0" xfId="0" applyNumberFormat="1" applyFill="1" applyBorder="1"/>
    <xf numFmtId="3" fontId="16" fillId="4" borderId="0" xfId="0" applyNumberFormat="1" applyFont="1" applyFill="1" applyBorder="1"/>
    <xf numFmtId="3" fontId="4" fillId="4" borderId="43" xfId="0" applyNumberFormat="1" applyFont="1" applyFill="1" applyBorder="1"/>
    <xf numFmtId="3" fontId="0" fillId="4" borderId="43" xfId="0" applyNumberFormat="1" applyFill="1" applyBorder="1"/>
    <xf numFmtId="0" fontId="0" fillId="4" borderId="25" xfId="0" applyFill="1" applyBorder="1"/>
    <xf numFmtId="0" fontId="0" fillId="4" borderId="26" xfId="0" applyFill="1" applyBorder="1"/>
    <xf numFmtId="3" fontId="11" fillId="4" borderId="26" xfId="0" applyNumberFormat="1" applyFont="1" applyFill="1" applyBorder="1"/>
    <xf numFmtId="3" fontId="4" fillId="4" borderId="26" xfId="0" applyNumberFormat="1" applyFont="1" applyFill="1" applyBorder="1"/>
    <xf numFmtId="42" fontId="0" fillId="4" borderId="38" xfId="0" applyNumberFormat="1" applyFill="1" applyBorder="1"/>
    <xf numFmtId="42" fontId="0" fillId="4" borderId="0" xfId="0" applyNumberFormat="1" applyFill="1" applyBorder="1"/>
    <xf numFmtId="42" fontId="0" fillId="4" borderId="45" xfId="0" applyNumberFormat="1" applyFill="1" applyBorder="1"/>
    <xf numFmtId="42" fontId="0" fillId="4" borderId="43" xfId="0" applyNumberFormat="1" applyFill="1" applyBorder="1"/>
    <xf numFmtId="42" fontId="0" fillId="4" borderId="44" xfId="0" applyNumberFormat="1" applyFill="1" applyBorder="1"/>
    <xf numFmtId="42" fontId="0" fillId="4" borderId="39" xfId="0" applyNumberFormat="1" applyFill="1" applyBorder="1"/>
    <xf numFmtId="42" fontId="0" fillId="4" borderId="41" xfId="0" applyNumberFormat="1" applyFill="1" applyBorder="1"/>
    <xf numFmtId="42" fontId="0" fillId="4" borderId="46" xfId="0" applyNumberFormat="1" applyFill="1" applyBorder="1"/>
    <xf numFmtId="164" fontId="42" fillId="4" borderId="0" xfId="0" applyNumberFormat="1" applyFont="1" applyFill="1" applyBorder="1"/>
    <xf numFmtId="3" fontId="42" fillId="4" borderId="0" xfId="0" applyNumberFormat="1" applyFont="1" applyFill="1" applyBorder="1"/>
    <xf numFmtId="42" fontId="42" fillId="4" borderId="0" xfId="0" applyNumberFormat="1" applyFont="1" applyFill="1" applyBorder="1"/>
    <xf numFmtId="0" fontId="4" fillId="4" borderId="37" xfId="0" applyFont="1" applyFill="1" applyBorder="1"/>
    <xf numFmtId="0" fontId="4" fillId="4" borderId="38" xfId="0" applyFont="1" applyFill="1" applyBorder="1"/>
    <xf numFmtId="0" fontId="1" fillId="4" borderId="38" xfId="0" applyFont="1" applyFill="1" applyBorder="1" applyAlignment="1">
      <alignment horizontal="right"/>
    </xf>
    <xf numFmtId="189" fontId="4" fillId="4" borderId="38" xfId="0" applyNumberFormat="1" applyFont="1" applyFill="1" applyBorder="1"/>
    <xf numFmtId="189" fontId="4" fillId="4" borderId="39" xfId="0" applyNumberFormat="1" applyFont="1" applyFill="1" applyBorder="1"/>
    <xf numFmtId="0" fontId="4" fillId="4" borderId="40" xfId="0" applyFont="1" applyFill="1" applyBorder="1"/>
    <xf numFmtId="0" fontId="4" fillId="4" borderId="0" xfId="0" applyFont="1" applyFill="1" applyBorder="1"/>
    <xf numFmtId="0" fontId="4" fillId="4" borderId="0" xfId="0" applyFont="1" applyFill="1" applyBorder="1" applyAlignment="1">
      <alignment horizontal="right"/>
    </xf>
    <xf numFmtId="189" fontId="17" fillId="4" borderId="0" xfId="0" applyNumberFormat="1" applyFont="1" applyFill="1" applyBorder="1"/>
    <xf numFmtId="189" fontId="4" fillId="4" borderId="0" xfId="0" applyNumberFormat="1" applyFont="1" applyFill="1" applyBorder="1"/>
    <xf numFmtId="189" fontId="4" fillId="4" borderId="41" xfId="0" applyNumberFormat="1" applyFont="1" applyFill="1" applyBorder="1"/>
    <xf numFmtId="189" fontId="17" fillId="4" borderId="45" xfId="0" applyNumberFormat="1" applyFont="1" applyFill="1" applyBorder="1"/>
    <xf numFmtId="189" fontId="4" fillId="4" borderId="45" xfId="0" applyNumberFormat="1" applyFont="1" applyFill="1" applyBorder="1"/>
    <xf numFmtId="189" fontId="4" fillId="4" borderId="46" xfId="0" applyNumberFormat="1" applyFont="1" applyFill="1" applyBorder="1"/>
    <xf numFmtId="0" fontId="4" fillId="4" borderId="42" xfId="0" applyFont="1" applyFill="1" applyBorder="1"/>
    <xf numFmtId="0" fontId="4" fillId="4" borderId="43" xfId="0" applyFont="1" applyFill="1" applyBorder="1"/>
    <xf numFmtId="0" fontId="4" fillId="4" borderId="43" xfId="0" applyFont="1" applyFill="1" applyBorder="1" applyAlignment="1">
      <alignment horizontal="right"/>
    </xf>
    <xf numFmtId="189" fontId="4" fillId="4" borderId="43" xfId="0" applyNumberFormat="1" applyFont="1" applyFill="1" applyBorder="1"/>
    <xf numFmtId="189" fontId="4" fillId="4" borderId="44" xfId="0" applyNumberFormat="1" applyFont="1" applyFill="1" applyBorder="1"/>
    <xf numFmtId="189" fontId="42" fillId="4" borderId="0" xfId="0" applyNumberFormat="1" applyFont="1" applyFill="1" applyBorder="1"/>
    <xf numFmtId="0" fontId="5" fillId="2" borderId="0" xfId="0" applyFont="1" applyFill="1"/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008080"/>
      <color rgb="FF0000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8.xml"/><Relationship Id="rId21" Type="http://schemas.openxmlformats.org/officeDocument/2006/relationships/externalLink" Target="externalLinks/externalLink3.xml"/><Relationship Id="rId42" Type="http://schemas.openxmlformats.org/officeDocument/2006/relationships/externalLink" Target="externalLinks/externalLink24.xml"/><Relationship Id="rId47" Type="http://schemas.openxmlformats.org/officeDocument/2006/relationships/externalLink" Target="externalLinks/externalLink29.xml"/><Relationship Id="rId63" Type="http://schemas.openxmlformats.org/officeDocument/2006/relationships/externalLink" Target="externalLinks/externalLink45.xml"/><Relationship Id="rId68" Type="http://schemas.openxmlformats.org/officeDocument/2006/relationships/externalLink" Target="externalLinks/externalLink50.xml"/><Relationship Id="rId84" Type="http://schemas.openxmlformats.org/officeDocument/2006/relationships/customXml" Target="../customXml/item1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14.xml"/><Relationship Id="rId37" Type="http://schemas.openxmlformats.org/officeDocument/2006/relationships/externalLink" Target="externalLinks/externalLink19.xml"/><Relationship Id="rId53" Type="http://schemas.openxmlformats.org/officeDocument/2006/relationships/externalLink" Target="externalLinks/externalLink35.xml"/><Relationship Id="rId58" Type="http://schemas.openxmlformats.org/officeDocument/2006/relationships/externalLink" Target="externalLinks/externalLink40.xml"/><Relationship Id="rId74" Type="http://schemas.openxmlformats.org/officeDocument/2006/relationships/externalLink" Target="externalLinks/externalLink56.xml"/><Relationship Id="rId79" Type="http://schemas.openxmlformats.org/officeDocument/2006/relationships/externalLink" Target="externalLinks/externalLink61.xml"/><Relationship Id="rId5" Type="http://schemas.openxmlformats.org/officeDocument/2006/relationships/worksheet" Target="worksheets/sheet5.xml"/><Relationship Id="rId19" Type="http://schemas.openxmlformats.org/officeDocument/2006/relationships/externalLink" Target="externalLinks/externalLink1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4.xml"/><Relationship Id="rId27" Type="http://schemas.openxmlformats.org/officeDocument/2006/relationships/externalLink" Target="externalLinks/externalLink9.xml"/><Relationship Id="rId30" Type="http://schemas.openxmlformats.org/officeDocument/2006/relationships/externalLink" Target="externalLinks/externalLink12.xml"/><Relationship Id="rId35" Type="http://schemas.openxmlformats.org/officeDocument/2006/relationships/externalLink" Target="externalLinks/externalLink17.xml"/><Relationship Id="rId43" Type="http://schemas.openxmlformats.org/officeDocument/2006/relationships/externalLink" Target="externalLinks/externalLink25.xml"/><Relationship Id="rId48" Type="http://schemas.openxmlformats.org/officeDocument/2006/relationships/externalLink" Target="externalLinks/externalLink30.xml"/><Relationship Id="rId56" Type="http://schemas.openxmlformats.org/officeDocument/2006/relationships/externalLink" Target="externalLinks/externalLink38.xml"/><Relationship Id="rId64" Type="http://schemas.openxmlformats.org/officeDocument/2006/relationships/externalLink" Target="externalLinks/externalLink46.xml"/><Relationship Id="rId69" Type="http://schemas.openxmlformats.org/officeDocument/2006/relationships/externalLink" Target="externalLinks/externalLink51.xml"/><Relationship Id="rId77" Type="http://schemas.openxmlformats.org/officeDocument/2006/relationships/externalLink" Target="externalLinks/externalLink59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3.xml"/><Relationship Id="rId72" Type="http://schemas.openxmlformats.org/officeDocument/2006/relationships/externalLink" Target="externalLinks/externalLink54.xml"/><Relationship Id="rId80" Type="http://schemas.openxmlformats.org/officeDocument/2006/relationships/theme" Target="theme/theme1.xml"/><Relationship Id="rId85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7.xml"/><Relationship Id="rId33" Type="http://schemas.openxmlformats.org/officeDocument/2006/relationships/externalLink" Target="externalLinks/externalLink15.xml"/><Relationship Id="rId38" Type="http://schemas.openxmlformats.org/officeDocument/2006/relationships/externalLink" Target="externalLinks/externalLink20.xml"/><Relationship Id="rId46" Type="http://schemas.openxmlformats.org/officeDocument/2006/relationships/externalLink" Target="externalLinks/externalLink28.xml"/><Relationship Id="rId59" Type="http://schemas.openxmlformats.org/officeDocument/2006/relationships/externalLink" Target="externalLinks/externalLink41.xml"/><Relationship Id="rId67" Type="http://schemas.openxmlformats.org/officeDocument/2006/relationships/externalLink" Target="externalLinks/externalLink49.xml"/><Relationship Id="rId20" Type="http://schemas.openxmlformats.org/officeDocument/2006/relationships/externalLink" Target="externalLinks/externalLink2.xml"/><Relationship Id="rId41" Type="http://schemas.openxmlformats.org/officeDocument/2006/relationships/externalLink" Target="externalLinks/externalLink23.xml"/><Relationship Id="rId54" Type="http://schemas.openxmlformats.org/officeDocument/2006/relationships/externalLink" Target="externalLinks/externalLink36.xml"/><Relationship Id="rId62" Type="http://schemas.openxmlformats.org/officeDocument/2006/relationships/externalLink" Target="externalLinks/externalLink44.xml"/><Relationship Id="rId70" Type="http://schemas.openxmlformats.org/officeDocument/2006/relationships/externalLink" Target="externalLinks/externalLink52.xml"/><Relationship Id="rId75" Type="http://schemas.openxmlformats.org/officeDocument/2006/relationships/externalLink" Target="externalLinks/externalLink57.xml"/><Relationship Id="rId83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5.xml"/><Relationship Id="rId28" Type="http://schemas.openxmlformats.org/officeDocument/2006/relationships/externalLink" Target="externalLinks/externalLink10.xml"/><Relationship Id="rId36" Type="http://schemas.openxmlformats.org/officeDocument/2006/relationships/externalLink" Target="externalLinks/externalLink18.xml"/><Relationship Id="rId49" Type="http://schemas.openxmlformats.org/officeDocument/2006/relationships/externalLink" Target="externalLinks/externalLink31.xml"/><Relationship Id="rId57" Type="http://schemas.openxmlformats.org/officeDocument/2006/relationships/externalLink" Target="externalLinks/externalLink39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3.xml"/><Relationship Id="rId44" Type="http://schemas.openxmlformats.org/officeDocument/2006/relationships/externalLink" Target="externalLinks/externalLink26.xml"/><Relationship Id="rId52" Type="http://schemas.openxmlformats.org/officeDocument/2006/relationships/externalLink" Target="externalLinks/externalLink34.xml"/><Relationship Id="rId60" Type="http://schemas.openxmlformats.org/officeDocument/2006/relationships/externalLink" Target="externalLinks/externalLink42.xml"/><Relationship Id="rId65" Type="http://schemas.openxmlformats.org/officeDocument/2006/relationships/externalLink" Target="externalLinks/externalLink47.xml"/><Relationship Id="rId73" Type="http://schemas.openxmlformats.org/officeDocument/2006/relationships/externalLink" Target="externalLinks/externalLink55.xml"/><Relationship Id="rId78" Type="http://schemas.openxmlformats.org/officeDocument/2006/relationships/externalLink" Target="externalLinks/externalLink60.xml"/><Relationship Id="rId81" Type="http://schemas.openxmlformats.org/officeDocument/2006/relationships/styles" Target="styles.xml"/><Relationship Id="rId86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21.xml"/><Relationship Id="rId34" Type="http://schemas.openxmlformats.org/officeDocument/2006/relationships/externalLink" Target="externalLinks/externalLink16.xml"/><Relationship Id="rId50" Type="http://schemas.openxmlformats.org/officeDocument/2006/relationships/externalLink" Target="externalLinks/externalLink32.xml"/><Relationship Id="rId55" Type="http://schemas.openxmlformats.org/officeDocument/2006/relationships/externalLink" Target="externalLinks/externalLink37.xml"/><Relationship Id="rId76" Type="http://schemas.openxmlformats.org/officeDocument/2006/relationships/externalLink" Target="externalLinks/externalLink58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3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1.xml"/><Relationship Id="rId24" Type="http://schemas.openxmlformats.org/officeDocument/2006/relationships/externalLink" Target="externalLinks/externalLink6.xml"/><Relationship Id="rId40" Type="http://schemas.openxmlformats.org/officeDocument/2006/relationships/externalLink" Target="externalLinks/externalLink22.xml"/><Relationship Id="rId45" Type="http://schemas.openxmlformats.org/officeDocument/2006/relationships/externalLink" Target="externalLinks/externalLink27.xml"/><Relationship Id="rId66" Type="http://schemas.openxmlformats.org/officeDocument/2006/relationships/externalLink" Target="externalLinks/externalLink48.xml"/><Relationship Id="rId87" Type="http://schemas.openxmlformats.org/officeDocument/2006/relationships/customXml" Target="../customXml/item4.xml"/><Relationship Id="rId61" Type="http://schemas.openxmlformats.org/officeDocument/2006/relationships/externalLink" Target="externalLinks/externalLink43.xml"/><Relationship Id="rId82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p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3-2006%20GRC\COS\Wash%20Mar%202006-09-7-2006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B%201149\JAM%20OR%20Dec%202001%20-%20SB1149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T\ENCOGEN_WBOOK%20(StratPlan)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EFIL3\Xception\%23All-Source%20RFP%202004\Quantitative%20Analysis%20Team\Wind%20RFP%20Analysis\EnXco%20Depr.%20and%20Royalty%20Alts\ASM8W-%20A06%20EnXco%20$3.95%20w%20depr%20clas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02Inputs/General%20Accounting/Journal%20Entries/JE143-Electric_Unbilled_Revenue_Current_&amp;_Reverse_Prior_mo/2012%20JE143/02-2012/02-12%20Elec_Unb%20(93.1%25%207%20months)%20Final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NT\Temporary%20Internet%20Files\OLK93\FCR%20for%20PSE%20S40%20V0%20%20HM%20edit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CA\PwrStat\Penny\LARGEQUALIFIED\Qf99\Hdiv99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mpliance/Compliance%202011%20GRC%20ECO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t\newgas\2000\Oct00\REVNEW001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0%20GTIF\Original2010GTIF-Oct\Models%20&amp;%20Adjustments%20Oct-10%20filing\3.03%203.04%20RB%20&amp;%20WC-RC%20June%2010%20Working%20Fil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oljh\Local%20Settings\MSN%20Rate%20v6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3Processes\General%20Accounting\newgas\2012\4-2012\UBR-GAS%2004-2012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03Processes/General%20Accounting/newgas/2012/4-2012/UBR-GAS%2004-2012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4Home\JDyer\Unbilled%20Reasonableness\04-2013%20Gas%20Reasonableness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4Home\JDyer\Unbilled%20Reasonableness\04-2013%20Gas%20Reasonableness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2013%20GRC%20(Docket%20UE-xxxxxx)\Filed\Direct\Exhibit%20No_(CCP-5)\Tab%204%20&amp;%205\COS%20WA%20June%202012%20(TempAdj-chg%20to%20St%20Lgts%20only).xlsm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lsea%20Projects\Encogen\Sept%2023%20Review\PSE%20Own%2011-99%20for%20$1yr00noboilerJH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S/Revenue%20Requirement/Electric%20Model%202011%20GRC%20Orig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C0\Aurora%20Prices%20for%20RORC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eport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cartwri\My%20Documents\Projects\PSE\Projects\BHP\Due%20Diligence\BHP%20IS.BS.CF%20Model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zdmurra\Local%20Settings\Temporary%20Internet%20Files\OLK15\Power%20Cost%2050yr%206.15.06%20AURORA%20run%20with%205.23.06%20prices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Testimony/Workpapers/ECOS%202011%20GRC%20Workpapers%20(JAP-4)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12-05-JAM%20updat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Gas%20Tax%20Reform%20Filing%202018\Filed%203-30-18\Linked\Cost%20Of%20Service\2017%20Gas%20COSS%20September%20TY_Compliance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Gas%20Tax%20Reform%20Filing%202018/Filed%203-30-18/Linked/Cost%20Of%20Service/2017%20Gas%20COSS%20September%20TY_Compliance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7%20GRC\Settlement\Settlement%20Workpapers\%23Gas%20Model%202017%20GRC%20(SETTLEMENT)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7%20GRC/Settlement/Settlement%20Workpapers/%23Gas%20Model%202017%20GRC%20(SETTLEMENT)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Load%20Research\GRC%202007%20(not%20filed)\Load%20Research%20Analyses\RLW\From%20RLW\Off%20System%20Results\M9_Statistics_All_R991_ADJ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COS%20Inputs\COS%20Model\ECOS%20Model%20-%20FINAL%20COMPANY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M1EXC\PSE_VER1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GrpRevnu\PUBLIC\WUTC\Puget%20Sound%20Energy\Semi%20Annual%20Report\Jun_30_01\Proforma%20Adj_not%20used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WA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5\SOE\09-2005%20SOE%20Final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SegCosts\03\Washington\MC_Washington_2003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09-05-JAM%20update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rate%20case\Combined\WYCombined%2098%20COS%20OCT20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rpRates\Public\RASANEN\%232005%20GRC\Update%206-30-06\COS%20Update%207-7-06\ECOS%20Model%20-%20UPDATE%20(JAH-5)%207-7-06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d%20Office\aaa%20Jody%20Test\variance%20to%20budget%20dollars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apacity\CAP_WBook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Gas%20GRC%202011\Cost%20of%20Service\Revenue%20Reqt%20and%20Rate%20Base\May%2016%20235%20pm\Gas%20Rev%20Req%20Model%202011%20GRC%20Orig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rmulas\vlookup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7%20GRC\4.04G%20Pass%20Throughs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71\SOE%20Sept%202003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12\RECOV12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st%20Accounting\Resource%20Costs\Forecast%20&amp;%20Variance\PCORC\RORC%20Filing\PC%20Summary%202004-2008%20Aurora%20+%20Not%20Aurora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6\09-06%20Elec_Unb%20(93%203%25%202%20months)final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xu\Downloads\UBR-GAS%2007-2011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9653\My%20Documents\Oregon%20Rate%20Case\SB%201149\Rebuttal\MC%20OR%202001%20Rebuttal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pbjprd.puget.com:50100/irj/go/km/docs/documents/Public%20Documents/Sales%20and%20Margin%20Reports%20(Final)/Unbilled%20Revenue/2013/09-2013%20ELECTRIC%20Unbilled%20Revenue%20Calculation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Gas%20GRC%202011/Cost%20of%20Service/Revenue%20Reqt%20and%20Rate%20Base/May%2016%20235%20pm/Gas%20Rev%20Req%20Model%202011%20GRC%20Orig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Oregon%2099\Portfolio\TOU%20Tariff%20Rates%209-10-01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2013%20GRC%20(Docket%20UE-xxxxxx)\COS\Direct\COS%20WA%20June%202012%20-%20NS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fil01\DATA\SLREG1\ARCHIVE\1999\Semi%20Dec%201999\Models%20(Ram%20&amp;%20Jam)\Copy%20of%20Models%20as%20Filed\Utah%20RAM%20Dec%201999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2F\Due%20Diligence\August%20New%20Model\Fred%20Value%209.1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Q10">
            <v>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Q12">
            <v>5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Q13" t="str">
            <v>4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Q14" t="str">
            <v>4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Q15" t="str">
            <v>4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Q16" t="str">
            <v>4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Q17" t="str">
            <v>4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Q18" t="str">
            <v>4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Q19" t="str">
            <v>4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Q20" t="str">
            <v>4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Q21" t="str">
            <v>4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Q22">
            <v>14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Q24">
            <v>15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Q33">
            <v>17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Q35">
            <v>18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Q36">
            <v>17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Q38">
            <v>18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Q39">
            <v>17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Q41">
            <v>17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Q43">
            <v>17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Q45">
            <v>17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Q47">
            <v>18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Q48">
            <v>17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Q50">
            <v>17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Q52">
            <v>18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Q53" t="str">
            <v>17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Q54" t="str">
            <v>17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 t="str">
            <v>17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Q56" t="str">
            <v>17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Q57" t="str">
            <v>17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Q58" t="str">
            <v>17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Q59">
            <v>19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Q61">
            <v>20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Q62">
            <v>19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Q64">
            <v>19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Q66">
            <v>20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Q67">
            <v>6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Q69">
            <v>6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Q70" t="str">
            <v>6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Q71" t="str">
            <v>6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Q72">
            <v>21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Q74">
            <v>21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Q75" t="str">
            <v>21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Q76" t="str">
            <v>21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Q78">
            <v>5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Q501" t="str">
            <v>6c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Q502" t="str">
            <v>6c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Q503" t="str">
            <v>6c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Q504" t="str">
            <v>6c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Q505" t="str">
            <v>6c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Q506" t="str">
            <v>6a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Q513">
            <v>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Q515">
            <v>8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Q516">
            <v>9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Q518">
            <v>10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Q519">
            <v>11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Q529" t="str">
            <v>6b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Q531" t="str">
            <v>39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Q534">
            <v>22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Q555" t="str">
            <v xml:space="preserve"> 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Q556" t="str">
            <v xml:space="preserve"> 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Q568" t="str">
            <v xml:space="preserve">  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Q626" t="str">
            <v xml:space="preserve">  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Q633" t="str">
            <v xml:space="preserve">  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Q635" t="str">
            <v xml:space="preserve">  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  <cell r="AQ638" t="str">
            <v xml:space="preserve">  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Q640" t="str">
            <v xml:space="preserve">  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Q817" t="str">
            <v>37a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Q820" t="str">
            <v>37c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Q823">
            <v>23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Q824">
            <v>24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Q825">
            <v>25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Q828">
            <v>26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Q836">
            <v>27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Q864" t="str">
            <v>37d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Q1140">
            <v>28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Q1142" t="str">
            <v>28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Q1144" t="str">
            <v>28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Q1147" t="str">
            <v>28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Q1326">
            <v>30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Q1327">
            <v>30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Q1328">
            <v>30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Q1329">
            <v>30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Q1330">
            <v>30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Q1331">
            <v>30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Q1332" t="str">
            <v>30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Q1333" t="str">
            <v>30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Q1334" t="str">
            <v>30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Q1335" t="str">
            <v xml:space="preserve"> 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Q1337" t="str">
            <v>30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Q1340">
            <v>30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Q1341">
            <v>30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Q1342">
            <v>30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Q1343">
            <v>30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Q1429" t="str">
            <v xml:space="preserve"> 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Q1437">
            <v>29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Q1452">
            <v>31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Q1453">
            <v>32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Q1454">
            <v>33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Q1455">
            <v>34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Q1456" t="str">
            <v>35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Q1458">
            <v>33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Q1460">
            <v>33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Q1478">
            <v>36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Q1481">
            <v>36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Q1487">
            <v>37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Q1501" t="str">
            <v>37a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Q1503" t="str">
            <v>37b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5">
          <cell r="T5">
            <v>3</v>
          </cell>
        </row>
        <row r="6">
          <cell r="C6" t="str">
            <v xml:space="preserve">Commission Method </v>
          </cell>
        </row>
        <row r="9">
          <cell r="D9">
            <v>0.8423786643034451</v>
          </cell>
        </row>
        <row r="29">
          <cell r="G29">
            <v>8.1064007222136497E-2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1">
          <cell r="H61">
            <v>6.9188435929027195E-2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Variables"/>
      <sheetName val="Function"/>
      <sheetName val="Report"/>
      <sheetName val="Results"/>
      <sheetName val="NRO"/>
      <sheetName val="ADJ"/>
      <sheetName val="URO"/>
      <sheetName val="UTCR"/>
      <sheetName val="Unadj Data for RAM"/>
      <sheetName val="CWC"/>
      <sheetName val="Factors"/>
      <sheetName val="Check"/>
      <sheetName val="WelcomeDialog"/>
      <sheetName val="Macro"/>
    </sheetNames>
    <sheetDataSet>
      <sheetData sheetId="0" refreshError="1"/>
      <sheetData sheetId="1" refreshError="1">
        <row r="23">
          <cell r="D23">
            <v>0.59916000000000003</v>
          </cell>
        </row>
        <row r="25">
          <cell r="D25">
            <v>6.79E-3</v>
          </cell>
        </row>
        <row r="26">
          <cell r="D26">
            <v>2.1319999999999999E-2</v>
          </cell>
        </row>
        <row r="27">
          <cell r="D27">
            <v>3.2599999999999999E-3</v>
          </cell>
        </row>
        <row r="28">
          <cell r="D28">
            <v>5.1999999999999995E-4</v>
          </cell>
        </row>
        <row r="29">
          <cell r="D29">
            <v>1.09E-3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 A"/>
      <sheetName val="tab_1"/>
      <sheetName val="Encogen_A"/>
      <sheetName val="Income"/>
      <sheetName val="O&amp;M"/>
      <sheetName val="Gas Cost Calc Monthly"/>
      <sheetName val="12.1.02 Aurora Run"/>
      <sheetName val="Encogen Costs"/>
      <sheetName val="MTM of Gas"/>
      <sheetName val="OLD Gas Cost Calc Monthly OLD"/>
      <sheetName val="Gas Cost Calc"/>
      <sheetName val="Cabot Gas Replacement"/>
      <sheetName val="Cabot Amort"/>
      <sheetName val="Cabot Stretch Goal 2000"/>
      <sheetName val="Cascade Prices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B8">
            <v>2000</v>
          </cell>
          <cell r="C8">
            <v>335</v>
          </cell>
          <cell r="D8">
            <v>10000</v>
          </cell>
          <cell r="E8">
            <v>2.4451000000000001</v>
          </cell>
          <cell r="F8">
            <v>2.1025</v>
          </cell>
        </row>
        <row r="9">
          <cell r="B9">
            <v>2001</v>
          </cell>
          <cell r="C9">
            <v>365</v>
          </cell>
          <cell r="D9">
            <v>10000</v>
          </cell>
          <cell r="E9">
            <v>2.5672999999999999</v>
          </cell>
          <cell r="F9">
            <v>2.19</v>
          </cell>
        </row>
        <row r="10">
          <cell r="B10">
            <v>2002</v>
          </cell>
          <cell r="C10">
            <v>365</v>
          </cell>
          <cell r="D10">
            <v>10000</v>
          </cell>
          <cell r="E10">
            <v>2.6957</v>
          </cell>
          <cell r="F10">
            <v>2.21</v>
          </cell>
        </row>
        <row r="11">
          <cell r="B11">
            <v>2003</v>
          </cell>
          <cell r="C11">
            <v>365</v>
          </cell>
          <cell r="D11">
            <v>10000</v>
          </cell>
          <cell r="E11">
            <v>2.8304999999999998</v>
          </cell>
          <cell r="F11">
            <v>2.25</v>
          </cell>
        </row>
        <row r="12">
          <cell r="B12">
            <v>2004</v>
          </cell>
          <cell r="C12">
            <v>366</v>
          </cell>
          <cell r="D12">
            <v>10000</v>
          </cell>
          <cell r="E12">
            <v>2.972</v>
          </cell>
          <cell r="F12">
            <v>2.3199999999999998</v>
          </cell>
        </row>
        <row r="13">
          <cell r="B13">
            <v>2005</v>
          </cell>
          <cell r="C13">
            <v>365</v>
          </cell>
          <cell r="D13">
            <v>10000</v>
          </cell>
          <cell r="E13">
            <v>3.1206</v>
          </cell>
          <cell r="F13">
            <v>2.38</v>
          </cell>
        </row>
        <row r="14">
          <cell r="B14">
            <v>2006</v>
          </cell>
          <cell r="C14">
            <v>366</v>
          </cell>
          <cell r="D14">
            <v>10000</v>
          </cell>
          <cell r="E14">
            <v>3.2766000000000002</v>
          </cell>
          <cell r="F14">
            <v>2.44</v>
          </cell>
        </row>
        <row r="15">
          <cell r="B15">
            <v>2007</v>
          </cell>
          <cell r="C15">
            <v>365</v>
          </cell>
          <cell r="D15">
            <v>10000</v>
          </cell>
          <cell r="E15">
            <v>3.4403999999999999</v>
          </cell>
          <cell r="F15">
            <v>2.5099999999999998</v>
          </cell>
        </row>
        <row r="16">
          <cell r="B16">
            <v>2008</v>
          </cell>
          <cell r="C16">
            <v>182</v>
          </cell>
          <cell r="D16">
            <v>10000</v>
          </cell>
          <cell r="E16">
            <v>3.5243000000000002</v>
          </cell>
          <cell r="F16">
            <v>2.62</v>
          </cell>
        </row>
      </sheetData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e Rev Req "/>
      <sheetName val="EnXco Categories"/>
      <sheetName val="Capital Expenditures"/>
      <sheetName val="CapEx Depr Table"/>
      <sheetName val="TypeConsol"/>
      <sheetName val="Type1"/>
      <sheetName val="Type2"/>
      <sheetName val="Type5"/>
      <sheetName val="Type6"/>
      <sheetName val="Type7"/>
      <sheetName val="Type8"/>
      <sheetName val="Type9"/>
      <sheetName val="Lump 1 Depr Class"/>
      <sheetName val="SL Tables"/>
      <sheetName val="MACRS Tables"/>
      <sheetName val="Assumptions"/>
      <sheetName val="Summary"/>
      <sheetName val="Wind Acquisition"/>
      <sheetName val="Questions-concerns"/>
      <sheetName val="Graphs"/>
      <sheetName val="PPA 1"/>
      <sheetName val="PPA 2"/>
      <sheetName val="PPA 3"/>
      <sheetName val="PPA 4"/>
      <sheetName val="Wind PPA"/>
      <sheetName val="Acquisition Inputs"/>
      <sheetName val="Wind Inputs"/>
      <sheetName val="Proposal OpEx"/>
      <sheetName val="Emissions Inputs"/>
      <sheetName val="Fuel Consumption"/>
      <sheetName val="OMfromenxcoASM4"/>
      <sheetName val="OandM Documentation"/>
      <sheetName val="OandM Documentationold"/>
      <sheetName val="Capital Costs"/>
      <sheetName val="Transmission Doc"/>
      <sheetName val="Emissions"/>
      <sheetName val="Results Summary"/>
      <sheetName val="Acquisition 1"/>
      <sheetName val="Acquisition 2"/>
      <sheetName val="Chart1"/>
      <sheetName val="PPA Rollup"/>
      <sheetName val="End Effects"/>
      <sheetName val="Equity Equalization - PPA"/>
      <sheetName val="&lt;Dispatch Model&gt;"/>
      <sheetName val="CB Assumptions"/>
      <sheetName val="CB Correlation Matrix"/>
      <sheetName val="Dispatch"/>
      <sheetName val="Load Shape"/>
      <sheetName val="Price Data"/>
      <sheetName val="Wind Data"/>
      <sheetName val="Thermal Plants"/>
      <sheetName val="&lt;Data Sheets&gt;"/>
      <sheetName val="WACC"/>
      <sheetName val="Not used Capital Expenditu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5">
          <cell r="D5" t="str">
            <v>Yes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 refreshError="1"/>
      <sheetData sheetId="1" refreshError="1"/>
      <sheetData sheetId="2" refreshError="1">
        <row r="10">
          <cell r="G10">
            <v>35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Check"/>
      <sheetName val="SAPCHKREQ"/>
      <sheetName val="E072"/>
      <sheetName val="MACROS"/>
    </sheetNames>
    <sheetDataSet>
      <sheetData sheetId="0" refreshError="1">
        <row r="2">
          <cell r="B2">
            <v>8.92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Account Summary"/>
      <sheetName val="BC detail"/>
      <sheetName val="Salary &amp; Wage 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h 40 Feeder "/>
      <sheetName val="Sch 40 Substation O&amp;M"/>
      <sheetName val="Sch 40 Substation A&amp;G"/>
    </sheetNames>
    <sheetDataSet>
      <sheetData sheetId="0"/>
      <sheetData sheetId="1">
        <row r="11">
          <cell r="C11">
            <v>2</v>
          </cell>
        </row>
        <row r="29">
          <cell r="F29">
            <v>7.8E-2</v>
          </cell>
        </row>
        <row r="30">
          <cell r="F30">
            <v>3.1E-2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9">
          <cell r="F39">
            <v>0</v>
          </cell>
        </row>
        <row r="44">
          <cell r="F44">
            <v>0.620749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view Checklist"/>
      <sheetName val="GRB EOP"/>
      <sheetName val="ERB EOP"/>
      <sheetName val="CWC EOP"/>
      <sheetName val="Gas RB Recon to WC"/>
      <sheetName val="El RB Recon to WC"/>
      <sheetName val="ERB"/>
      <sheetName val="GRB"/>
      <sheetName val="CWC"/>
      <sheetName val="BS"/>
      <sheetName val="Invested Capital"/>
      <sheetName val="Detailed Electric RB"/>
      <sheetName val="Detailed Gas RB"/>
      <sheetName val="Working Capital"/>
      <sheetName val="Summary Flux sheet"/>
      <sheetName val="El Flux Analysis"/>
      <sheetName val="Gas Flux Analysis"/>
      <sheetName val="Attachment A Page 1"/>
      <sheetName val="Attachment A Page 2"/>
      <sheetName val="PPXLSaveData0"/>
      <sheetName val="Chg Code"/>
      <sheetName val="PPXLFunctions"/>
      <sheetName val="PPXLOpen"/>
      <sheetName val="E Input"/>
      <sheetName val="E Recon PWR Plt"/>
      <sheetName val="G Recon PWR Plt"/>
      <sheetName val="G Input"/>
      <sheetName val="Power Plant Info"/>
      <sheetName val="GasMerchInv"/>
      <sheetName val="May10"/>
      <sheetName val="Jun10"/>
      <sheetName val="Sheet2"/>
      <sheetName val="Allocation Factor"/>
      <sheetName val="Dec09"/>
      <sheetName val="Jan10"/>
      <sheetName val="Feb10"/>
      <sheetName val="Mar10"/>
      <sheetName val="Apr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7">
          <cell r="Q7">
            <v>0</v>
          </cell>
          <cell r="S7">
            <v>0</v>
          </cell>
          <cell r="U7">
            <v>0</v>
          </cell>
          <cell r="V7">
            <v>0</v>
          </cell>
          <cell r="W7">
            <v>0</v>
          </cell>
          <cell r="Y7">
            <v>0</v>
          </cell>
          <cell r="AA7">
            <v>0</v>
          </cell>
          <cell r="AJ7">
            <v>-1655144.4233333336</v>
          </cell>
          <cell r="AL7">
            <v>-1426484.5483333331</v>
          </cell>
          <cell r="AN7">
            <v>-1112572.0991666669</v>
          </cell>
          <cell r="AR7">
            <v>-427912.34583333338</v>
          </cell>
          <cell r="AV7">
            <v>0</v>
          </cell>
          <cell r="AZ7">
            <v>0</v>
          </cell>
        </row>
        <row r="8">
          <cell r="Q8">
            <v>0</v>
          </cell>
          <cell r="S8">
            <v>0</v>
          </cell>
          <cell r="U8">
            <v>0</v>
          </cell>
          <cell r="V8">
            <v>0</v>
          </cell>
          <cell r="W8">
            <v>0</v>
          </cell>
          <cell r="Y8">
            <v>0</v>
          </cell>
          <cell r="AA8">
            <v>0</v>
          </cell>
          <cell r="AJ8">
            <v>1655144.4233333336</v>
          </cell>
          <cell r="AL8">
            <v>1426484.5483333331</v>
          </cell>
          <cell r="AN8">
            <v>1112572.0991666669</v>
          </cell>
          <cell r="AR8">
            <v>427912.34583333338</v>
          </cell>
          <cell r="AV8">
            <v>0</v>
          </cell>
          <cell r="AZ8">
            <v>0</v>
          </cell>
        </row>
        <row r="9">
          <cell r="Q9">
            <v>0</v>
          </cell>
          <cell r="S9">
            <v>0</v>
          </cell>
          <cell r="U9">
            <v>0</v>
          </cell>
          <cell r="V9">
            <v>0</v>
          </cell>
          <cell r="W9">
            <v>0</v>
          </cell>
          <cell r="Y9">
            <v>0</v>
          </cell>
          <cell r="AA9">
            <v>0</v>
          </cell>
          <cell r="AJ9">
            <v>0</v>
          </cell>
          <cell r="AL9">
            <v>0</v>
          </cell>
          <cell r="AN9">
            <v>0</v>
          </cell>
          <cell r="AR9">
            <v>0</v>
          </cell>
          <cell r="AV9">
            <v>0</v>
          </cell>
          <cell r="AZ9">
            <v>0</v>
          </cell>
        </row>
        <row r="10">
          <cell r="Q10">
            <v>0</v>
          </cell>
          <cell r="S10">
            <v>0</v>
          </cell>
          <cell r="U10">
            <v>0</v>
          </cell>
          <cell r="V10">
            <v>0</v>
          </cell>
          <cell r="W10">
            <v>0</v>
          </cell>
          <cell r="Y10">
            <v>0</v>
          </cell>
          <cell r="AA10">
            <v>0</v>
          </cell>
          <cell r="AJ10">
            <v>0</v>
          </cell>
          <cell r="AL10">
            <v>0</v>
          </cell>
          <cell r="AN10">
            <v>0</v>
          </cell>
          <cell r="AR10">
            <v>0</v>
          </cell>
          <cell r="AV10">
            <v>0</v>
          </cell>
          <cell r="AZ10">
            <v>0</v>
          </cell>
        </row>
        <row r="11">
          <cell r="Q11">
            <v>0</v>
          </cell>
          <cell r="S11">
            <v>0</v>
          </cell>
          <cell r="U11">
            <v>0</v>
          </cell>
          <cell r="V11">
            <v>0</v>
          </cell>
          <cell r="W11">
            <v>0</v>
          </cell>
          <cell r="Y11">
            <v>0</v>
          </cell>
          <cell r="AA11">
            <v>0</v>
          </cell>
          <cell r="AJ11">
            <v>0</v>
          </cell>
          <cell r="AL11">
            <v>0</v>
          </cell>
          <cell r="AN11">
            <v>0</v>
          </cell>
          <cell r="AR11">
            <v>0</v>
          </cell>
          <cell r="AV11">
            <v>0</v>
          </cell>
          <cell r="AZ11">
            <v>0</v>
          </cell>
        </row>
        <row r="12">
          <cell r="Q12">
            <v>0</v>
          </cell>
          <cell r="S12">
            <v>0</v>
          </cell>
          <cell r="U12">
            <v>0</v>
          </cell>
          <cell r="V12">
            <v>0</v>
          </cell>
          <cell r="W12">
            <v>0</v>
          </cell>
          <cell r="Y12">
            <v>0</v>
          </cell>
          <cell r="AA12">
            <v>0</v>
          </cell>
          <cell r="AJ12">
            <v>-14045.986666666666</v>
          </cell>
          <cell r="AL12">
            <v>-11370.444999999998</v>
          </cell>
          <cell r="AN12">
            <v>-8694.9579166666663</v>
          </cell>
          <cell r="AR12">
            <v>-3344.2145833333329</v>
          </cell>
          <cell r="AV12">
            <v>0</v>
          </cell>
          <cell r="AZ12">
            <v>0</v>
          </cell>
        </row>
        <row r="13">
          <cell r="Q13">
            <v>0</v>
          </cell>
          <cell r="S13">
            <v>0</v>
          </cell>
          <cell r="U13">
            <v>0</v>
          </cell>
          <cell r="V13">
            <v>0</v>
          </cell>
          <cell r="W13">
            <v>0</v>
          </cell>
          <cell r="Y13">
            <v>0</v>
          </cell>
          <cell r="AA13">
            <v>0</v>
          </cell>
          <cell r="AJ13">
            <v>14045.986666666666</v>
          </cell>
          <cell r="AL13">
            <v>11370.444999999998</v>
          </cell>
          <cell r="AN13">
            <v>8694.9579166666663</v>
          </cell>
          <cell r="AR13">
            <v>3344.2145833333329</v>
          </cell>
          <cell r="AV13">
            <v>0</v>
          </cell>
          <cell r="AZ13">
            <v>0</v>
          </cell>
        </row>
        <row r="14">
          <cell r="Q14">
            <v>6048482342.6300001</v>
          </cell>
          <cell r="S14">
            <v>6112284992.5100002</v>
          </cell>
          <cell r="U14">
            <v>6152862298.7600002</v>
          </cell>
          <cell r="V14">
            <v>6174410669.9099998</v>
          </cell>
          <cell r="W14">
            <v>6198743579.6000004</v>
          </cell>
          <cell r="Y14">
            <v>6236096297.6099997</v>
          </cell>
          <cell r="AA14">
            <v>6237478128.4200001</v>
          </cell>
          <cell r="AJ14">
            <v>5719028068.4399996</v>
          </cell>
          <cell r="AL14">
            <v>5805203372.4945831</v>
          </cell>
          <cell r="AN14">
            <v>5894396029.5858335</v>
          </cell>
          <cell r="AR14">
            <v>6064762060.5654173</v>
          </cell>
          <cell r="AV14">
            <v>6183419903.5250006</v>
          </cell>
          <cell r="AZ14">
            <v>6269690857.2545824</v>
          </cell>
        </row>
        <row r="15">
          <cell r="Q15">
            <v>2381048218.02</v>
          </cell>
          <cell r="S15">
            <v>2435784787.5900002</v>
          </cell>
          <cell r="U15">
            <v>2474902337.4299998</v>
          </cell>
          <cell r="V15">
            <v>2484963662.0999999</v>
          </cell>
          <cell r="W15">
            <v>2493181952.1500001</v>
          </cell>
          <cell r="Y15">
            <v>2514524005.77</v>
          </cell>
          <cell r="AA15">
            <v>2514547820.5999999</v>
          </cell>
          <cell r="AJ15">
            <v>2288973794.9749999</v>
          </cell>
          <cell r="AL15">
            <v>2321439050.9045835</v>
          </cell>
          <cell r="AN15">
            <v>2355372812.0329165</v>
          </cell>
          <cell r="AR15">
            <v>2421384077.4991665</v>
          </cell>
          <cell r="AV15">
            <v>2483390271.71875</v>
          </cell>
          <cell r="AZ15">
            <v>2529875020.6729169</v>
          </cell>
        </row>
        <row r="16">
          <cell r="Q16">
            <v>513616773.94</v>
          </cell>
          <cell r="S16">
            <v>518036205.13</v>
          </cell>
          <cell r="U16">
            <v>525922628.55000001</v>
          </cell>
          <cell r="V16">
            <v>529582609.93000001</v>
          </cell>
          <cell r="W16">
            <v>537617929.95000005</v>
          </cell>
          <cell r="Y16">
            <v>542664666.13999999</v>
          </cell>
          <cell r="AA16">
            <v>514834540.25</v>
          </cell>
          <cell r="AJ16">
            <v>489348331.26791668</v>
          </cell>
          <cell r="AL16">
            <v>495126578.3483333</v>
          </cell>
          <cell r="AN16">
            <v>501615958.78291672</v>
          </cell>
          <cell r="AR16">
            <v>517729821.51833338</v>
          </cell>
          <cell r="AV16">
            <v>525400157.5670833</v>
          </cell>
          <cell r="AZ16">
            <v>519694689.25166672</v>
          </cell>
        </row>
        <row r="17">
          <cell r="Q17">
            <v>22664862.559999999</v>
          </cell>
          <cell r="S17">
            <v>0</v>
          </cell>
          <cell r="U17">
            <v>0</v>
          </cell>
          <cell r="V17">
            <v>0</v>
          </cell>
          <cell r="W17">
            <v>0</v>
          </cell>
          <cell r="Y17">
            <v>0</v>
          </cell>
          <cell r="AA17">
            <v>0</v>
          </cell>
          <cell r="AJ17">
            <v>22753499.379166666</v>
          </cell>
          <cell r="AL17">
            <v>21781106.371666666</v>
          </cell>
          <cell r="AN17">
            <v>17981630.57041667</v>
          </cell>
          <cell r="AR17">
            <v>10397093.240416666</v>
          </cell>
          <cell r="AV17">
            <v>2831869.2733333334</v>
          </cell>
          <cell r="AZ17">
            <v>0</v>
          </cell>
        </row>
        <row r="18">
          <cell r="U18">
            <v>15249131.16</v>
          </cell>
          <cell r="V18">
            <v>14900726.140000001</v>
          </cell>
          <cell r="W18">
            <v>14552321.119999999</v>
          </cell>
          <cell r="Y18">
            <v>13855511.08</v>
          </cell>
          <cell r="AA18">
            <v>13198518.76</v>
          </cell>
          <cell r="AJ18">
            <v>0</v>
          </cell>
          <cell r="AL18">
            <v>0</v>
          </cell>
          <cell r="AN18">
            <v>1935175.1466666665</v>
          </cell>
          <cell r="AR18">
            <v>6785948.8533333344</v>
          </cell>
          <cell r="AV18">
            <v>11171154.418333335</v>
          </cell>
          <cell r="AZ18">
            <v>9743412.6491666678</v>
          </cell>
        </row>
        <row r="19">
          <cell r="Q19">
            <v>45843563.659999996</v>
          </cell>
          <cell r="S19">
            <v>45251084.619999997</v>
          </cell>
          <cell r="U19">
            <v>44021559.100000001</v>
          </cell>
          <cell r="V19">
            <v>43703710.549999997</v>
          </cell>
          <cell r="W19">
            <v>44066126.560000002</v>
          </cell>
          <cell r="Y19">
            <v>43473647.520000003</v>
          </cell>
          <cell r="AA19">
            <v>43002485.619999997</v>
          </cell>
          <cell r="AJ19">
            <v>1910148.4858333331</v>
          </cell>
          <cell r="AL19">
            <v>9501369.1758333333</v>
          </cell>
          <cell r="AN19">
            <v>16989380.979166668</v>
          </cell>
          <cell r="AR19">
            <v>31596658.267499998</v>
          </cell>
          <cell r="AV19">
            <v>44015306.288333334</v>
          </cell>
          <cell r="AZ19">
            <v>30702376.695000004</v>
          </cell>
        </row>
        <row r="20">
          <cell r="Q20">
            <v>1403431.75</v>
          </cell>
          <cell r="S20">
            <v>1315717.25</v>
          </cell>
          <cell r="U20">
            <v>1228002.75</v>
          </cell>
          <cell r="V20">
            <v>1179534.43</v>
          </cell>
          <cell r="W20">
            <v>1062128.33</v>
          </cell>
          <cell r="Y20">
            <v>974413.83</v>
          </cell>
          <cell r="AA20">
            <v>870291.25</v>
          </cell>
          <cell r="AJ20">
            <v>58476.322916666664</v>
          </cell>
          <cell r="AL20">
            <v>285072.07291666669</v>
          </cell>
          <cell r="AN20">
            <v>497048.73958333331</v>
          </cell>
          <cell r="AR20">
            <v>860477.25041666662</v>
          </cell>
          <cell r="AV20">
            <v>1095976.40625</v>
          </cell>
          <cell r="AZ20">
            <v>691838.73958333337</v>
          </cell>
        </row>
        <row r="21">
          <cell r="Q21">
            <v>0</v>
          </cell>
          <cell r="S21">
            <v>0</v>
          </cell>
          <cell r="U21">
            <v>0</v>
          </cell>
          <cell r="V21">
            <v>0</v>
          </cell>
          <cell r="W21">
            <v>0</v>
          </cell>
          <cell r="Y21">
            <v>0</v>
          </cell>
          <cell r="AA21">
            <v>0</v>
          </cell>
          <cell r="AJ21">
            <v>0</v>
          </cell>
          <cell r="AL21">
            <v>0</v>
          </cell>
          <cell r="AN21">
            <v>0</v>
          </cell>
          <cell r="AR21">
            <v>0</v>
          </cell>
          <cell r="AV21">
            <v>0</v>
          </cell>
          <cell r="AZ21">
            <v>0</v>
          </cell>
        </row>
        <row r="22">
          <cell r="Q22">
            <v>0</v>
          </cell>
          <cell r="S22">
            <v>0</v>
          </cell>
          <cell r="U22">
            <v>0</v>
          </cell>
          <cell r="V22">
            <v>0</v>
          </cell>
          <cell r="W22">
            <v>0</v>
          </cell>
          <cell r="Y22">
            <v>0</v>
          </cell>
          <cell r="AA22">
            <v>0</v>
          </cell>
          <cell r="AJ22">
            <v>0</v>
          </cell>
          <cell r="AL22">
            <v>0</v>
          </cell>
          <cell r="AN22">
            <v>0</v>
          </cell>
          <cell r="AR22">
            <v>0</v>
          </cell>
          <cell r="AV22">
            <v>0</v>
          </cell>
          <cell r="AZ22">
            <v>0</v>
          </cell>
        </row>
        <row r="23">
          <cell r="Q23">
            <v>0</v>
          </cell>
          <cell r="S23">
            <v>0</v>
          </cell>
          <cell r="U23">
            <v>0</v>
          </cell>
          <cell r="V23">
            <v>0</v>
          </cell>
          <cell r="W23">
            <v>0</v>
          </cell>
          <cell r="Y23">
            <v>0</v>
          </cell>
          <cell r="AA23">
            <v>0</v>
          </cell>
          <cell r="AJ23">
            <v>0</v>
          </cell>
          <cell r="AL23">
            <v>0</v>
          </cell>
          <cell r="AN23">
            <v>0</v>
          </cell>
          <cell r="AR23">
            <v>0</v>
          </cell>
          <cell r="AV23">
            <v>0</v>
          </cell>
          <cell r="AZ23">
            <v>0</v>
          </cell>
        </row>
        <row r="24">
          <cell r="Q24">
            <v>0</v>
          </cell>
          <cell r="S24">
            <v>0</v>
          </cell>
          <cell r="U24">
            <v>0</v>
          </cell>
          <cell r="V24">
            <v>0</v>
          </cell>
          <cell r="W24">
            <v>0</v>
          </cell>
          <cell r="Y24">
            <v>0</v>
          </cell>
          <cell r="AA24">
            <v>0</v>
          </cell>
          <cell r="AJ24">
            <v>-1389542.64</v>
          </cell>
          <cell r="AL24">
            <v>-1389542.64</v>
          </cell>
          <cell r="AN24">
            <v>-1389542.64</v>
          </cell>
          <cell r="AR24">
            <v>608.20083333333332</v>
          </cell>
          <cell r="AV24">
            <v>0</v>
          </cell>
          <cell r="AZ24">
            <v>0</v>
          </cell>
        </row>
        <row r="25">
          <cell r="Q25">
            <v>0</v>
          </cell>
          <cell r="S25">
            <v>0</v>
          </cell>
          <cell r="U25">
            <v>0</v>
          </cell>
          <cell r="V25">
            <v>0</v>
          </cell>
          <cell r="W25">
            <v>0</v>
          </cell>
          <cell r="Y25">
            <v>0</v>
          </cell>
          <cell r="AA25">
            <v>0</v>
          </cell>
          <cell r="AJ25">
            <v>0</v>
          </cell>
          <cell r="AL25">
            <v>0</v>
          </cell>
          <cell r="AN25">
            <v>0</v>
          </cell>
          <cell r="AR25">
            <v>0</v>
          </cell>
          <cell r="AV25">
            <v>0</v>
          </cell>
          <cell r="AZ25">
            <v>0</v>
          </cell>
        </row>
        <row r="26">
          <cell r="Q26">
            <v>0</v>
          </cell>
          <cell r="S26">
            <v>0</v>
          </cell>
          <cell r="U26">
            <v>0</v>
          </cell>
          <cell r="V26">
            <v>0</v>
          </cell>
          <cell r="W26">
            <v>0</v>
          </cell>
          <cell r="Y26">
            <v>0</v>
          </cell>
          <cell r="AA26">
            <v>0</v>
          </cell>
          <cell r="AJ26">
            <v>0</v>
          </cell>
          <cell r="AL26">
            <v>0</v>
          </cell>
          <cell r="AN26">
            <v>0</v>
          </cell>
          <cell r="AR26">
            <v>0</v>
          </cell>
          <cell r="AV26">
            <v>0</v>
          </cell>
          <cell r="AZ26">
            <v>0</v>
          </cell>
        </row>
        <row r="27">
          <cell r="Q27">
            <v>16765057.869999999</v>
          </cell>
          <cell r="S27">
            <v>17256636.489999998</v>
          </cell>
          <cell r="U27">
            <v>19495555.449999999</v>
          </cell>
          <cell r="V27">
            <v>19620988.960000001</v>
          </cell>
          <cell r="W27">
            <v>20429519.73</v>
          </cell>
          <cell r="Y27">
            <v>17492510</v>
          </cell>
          <cell r="AA27">
            <v>17262721.379999999</v>
          </cell>
          <cell r="AJ27">
            <v>14617008.54458333</v>
          </cell>
          <cell r="AL27">
            <v>16043779.782083334</v>
          </cell>
          <cell r="AN27">
            <v>16753858.175833335</v>
          </cell>
          <cell r="AR27">
            <v>17790269.279166665</v>
          </cell>
          <cell r="AV27">
            <v>18385490.341250002</v>
          </cell>
          <cell r="AZ27">
            <v>21658841.240833331</v>
          </cell>
        </row>
        <row r="28">
          <cell r="Q28">
            <v>64439.34</v>
          </cell>
          <cell r="S28">
            <v>64439.34</v>
          </cell>
          <cell r="U28">
            <v>12508209.27</v>
          </cell>
          <cell r="V28">
            <v>12515268.880000001</v>
          </cell>
          <cell r="W28">
            <v>12524418.74</v>
          </cell>
          <cell r="Y28">
            <v>12549068.02</v>
          </cell>
          <cell r="AA28">
            <v>12553236.539999999</v>
          </cell>
          <cell r="AJ28">
            <v>64439.339999999975</v>
          </cell>
          <cell r="AL28">
            <v>64439.339999999975</v>
          </cell>
          <cell r="AN28">
            <v>1618967.7462499999</v>
          </cell>
          <cell r="AR28">
            <v>5772632.7408333337</v>
          </cell>
          <cell r="AV28">
            <v>9937356.9354166668</v>
          </cell>
          <cell r="AZ28">
            <v>12554577.226249998</v>
          </cell>
        </row>
        <row r="29">
          <cell r="Q29">
            <v>0</v>
          </cell>
          <cell r="S29">
            <v>0</v>
          </cell>
          <cell r="U29">
            <v>0</v>
          </cell>
          <cell r="V29">
            <v>0</v>
          </cell>
          <cell r="W29">
            <v>0</v>
          </cell>
          <cell r="Y29">
            <v>0</v>
          </cell>
          <cell r="AA29">
            <v>0</v>
          </cell>
          <cell r="AJ29">
            <v>0</v>
          </cell>
          <cell r="AL29">
            <v>0</v>
          </cell>
          <cell r="AN29">
            <v>0</v>
          </cell>
          <cell r="AR29">
            <v>0</v>
          </cell>
          <cell r="AV29">
            <v>0</v>
          </cell>
          <cell r="AZ29">
            <v>0</v>
          </cell>
        </row>
        <row r="30">
          <cell r="Q30">
            <v>58874298.369999997</v>
          </cell>
          <cell r="S30">
            <v>54969123.93</v>
          </cell>
          <cell r="U30">
            <v>50453340.710000001</v>
          </cell>
          <cell r="V30">
            <v>51975617.579999998</v>
          </cell>
          <cell r="W30">
            <v>50997799.93</v>
          </cell>
          <cell r="Y30">
            <v>51186234.409999996</v>
          </cell>
          <cell r="AA30">
            <v>53556066.380000003</v>
          </cell>
          <cell r="AJ30">
            <v>78711148.008749992</v>
          </cell>
          <cell r="AL30">
            <v>78067643.292499989</v>
          </cell>
          <cell r="AN30">
            <v>72712576.872083321</v>
          </cell>
          <cell r="AR30">
            <v>55923519.371666662</v>
          </cell>
          <cell r="AV30">
            <v>64060716.900000006</v>
          </cell>
          <cell r="AZ30">
            <v>99710527.889583349</v>
          </cell>
        </row>
        <row r="31">
          <cell r="Q31">
            <v>65726595.93</v>
          </cell>
          <cell r="S31">
            <v>29559072.73</v>
          </cell>
          <cell r="U31">
            <v>21543318.690000001</v>
          </cell>
          <cell r="V31">
            <v>22303893.370000001</v>
          </cell>
          <cell r="W31">
            <v>26885033.300000001</v>
          </cell>
          <cell r="Y31">
            <v>27258841.600000001</v>
          </cell>
          <cell r="AA31">
            <v>46190107.420000002</v>
          </cell>
          <cell r="AJ31">
            <v>39275308.796250008</v>
          </cell>
          <cell r="AL31">
            <v>35018107.119583331</v>
          </cell>
          <cell r="AN31">
            <v>31639103.298333332</v>
          </cell>
          <cell r="AR31">
            <v>30609243.839166667</v>
          </cell>
          <cell r="AV31">
            <v>32399909.249166667</v>
          </cell>
          <cell r="AZ31">
            <v>30257034.329999998</v>
          </cell>
        </row>
        <row r="32">
          <cell r="Q32">
            <v>1451001.06</v>
          </cell>
          <cell r="S32">
            <v>0</v>
          </cell>
          <cell r="U32">
            <v>0</v>
          </cell>
          <cell r="V32">
            <v>0</v>
          </cell>
          <cell r="W32">
            <v>0</v>
          </cell>
          <cell r="Y32">
            <v>0</v>
          </cell>
          <cell r="AA32">
            <v>0</v>
          </cell>
          <cell r="AJ32">
            <v>2209322.0758333341</v>
          </cell>
          <cell r="AL32">
            <v>2380047.6358333337</v>
          </cell>
          <cell r="AN32">
            <v>2380047.6358333337</v>
          </cell>
          <cell r="AR32">
            <v>417063.34708333336</v>
          </cell>
          <cell r="AV32">
            <v>181719.17666666667</v>
          </cell>
          <cell r="AZ32">
            <v>0</v>
          </cell>
        </row>
        <row r="33">
          <cell r="Q33">
            <v>0</v>
          </cell>
          <cell r="S33">
            <v>0</v>
          </cell>
          <cell r="U33">
            <v>0</v>
          </cell>
          <cell r="V33">
            <v>0</v>
          </cell>
          <cell r="W33">
            <v>0</v>
          </cell>
          <cell r="Y33">
            <v>0</v>
          </cell>
          <cell r="AA33">
            <v>0</v>
          </cell>
          <cell r="AJ33">
            <v>0</v>
          </cell>
          <cell r="AL33">
            <v>0</v>
          </cell>
          <cell r="AN33">
            <v>0</v>
          </cell>
          <cell r="AR33">
            <v>0</v>
          </cell>
          <cell r="AV33">
            <v>0</v>
          </cell>
          <cell r="AZ33">
            <v>0</v>
          </cell>
        </row>
        <row r="34">
          <cell r="Q34">
            <v>0</v>
          </cell>
          <cell r="S34">
            <v>0</v>
          </cell>
          <cell r="U34">
            <v>0</v>
          </cell>
          <cell r="V34">
            <v>0</v>
          </cell>
          <cell r="W34">
            <v>0</v>
          </cell>
          <cell r="Y34">
            <v>0</v>
          </cell>
          <cell r="AA34">
            <v>0</v>
          </cell>
          <cell r="AJ34">
            <v>0</v>
          </cell>
          <cell r="AL34">
            <v>0</v>
          </cell>
          <cell r="AN34">
            <v>0</v>
          </cell>
          <cell r="AR34">
            <v>0</v>
          </cell>
          <cell r="AV34">
            <v>0</v>
          </cell>
          <cell r="AZ34">
            <v>0</v>
          </cell>
        </row>
        <row r="35">
          <cell r="Q35">
            <v>0</v>
          </cell>
          <cell r="S35">
            <v>0</v>
          </cell>
          <cell r="U35">
            <v>0</v>
          </cell>
          <cell r="V35">
            <v>0</v>
          </cell>
          <cell r="W35">
            <v>0</v>
          </cell>
          <cell r="Y35">
            <v>0</v>
          </cell>
          <cell r="AA35">
            <v>0</v>
          </cell>
          <cell r="AJ35">
            <v>0</v>
          </cell>
          <cell r="AL35">
            <v>0</v>
          </cell>
          <cell r="AN35">
            <v>0</v>
          </cell>
          <cell r="AR35">
            <v>0</v>
          </cell>
          <cell r="AV35">
            <v>0</v>
          </cell>
          <cell r="AZ35">
            <v>0</v>
          </cell>
        </row>
        <row r="36">
          <cell r="Q36">
            <v>-3618727.54</v>
          </cell>
          <cell r="S36">
            <v>3686056.39</v>
          </cell>
          <cell r="U36">
            <v>4851014.84</v>
          </cell>
          <cell r="V36">
            <v>6528300.4500000002</v>
          </cell>
          <cell r="W36">
            <v>5097670.09</v>
          </cell>
          <cell r="Y36">
            <v>1938599.12</v>
          </cell>
          <cell r="AA36">
            <v>1409909.17</v>
          </cell>
          <cell r="AJ36">
            <v>5000207.1891666669</v>
          </cell>
          <cell r="AL36">
            <v>4267902.8279166669</v>
          </cell>
          <cell r="AN36">
            <v>3748203.2520833332</v>
          </cell>
          <cell r="AR36">
            <v>2938438.6991666667</v>
          </cell>
          <cell r="AV36">
            <v>2720509.9012500001</v>
          </cell>
          <cell r="AZ36">
            <v>4798695.0666666664</v>
          </cell>
        </row>
        <row r="37">
          <cell r="Q37">
            <v>0</v>
          </cell>
          <cell r="S37">
            <v>0</v>
          </cell>
          <cell r="U37">
            <v>0</v>
          </cell>
          <cell r="V37">
            <v>0</v>
          </cell>
          <cell r="W37">
            <v>0</v>
          </cell>
          <cell r="Y37">
            <v>0</v>
          </cell>
          <cell r="AA37">
            <v>52114.37</v>
          </cell>
          <cell r="AJ37">
            <v>198640.4725</v>
          </cell>
          <cell r="AL37">
            <v>175011.39916666667</v>
          </cell>
          <cell r="AN37">
            <v>138517.34375</v>
          </cell>
          <cell r="AR37">
            <v>64641.427083333336</v>
          </cell>
          <cell r="AV37">
            <v>12679.655416666666</v>
          </cell>
          <cell r="AZ37">
            <v>35146.938749999994</v>
          </cell>
        </row>
        <row r="38">
          <cell r="Q38">
            <v>0</v>
          </cell>
          <cell r="S38">
            <v>0</v>
          </cell>
          <cell r="U38">
            <v>0</v>
          </cell>
          <cell r="V38">
            <v>0</v>
          </cell>
          <cell r="W38">
            <v>0</v>
          </cell>
          <cell r="Y38">
            <v>0</v>
          </cell>
          <cell r="AA38">
            <v>0</v>
          </cell>
          <cell r="AJ38">
            <v>0</v>
          </cell>
          <cell r="AL38">
            <v>0</v>
          </cell>
          <cell r="AN38">
            <v>0</v>
          </cell>
          <cell r="AR38">
            <v>0</v>
          </cell>
          <cell r="AV38">
            <v>840.18375000000003</v>
          </cell>
          <cell r="AZ38">
            <v>7561.6537500000004</v>
          </cell>
        </row>
        <row r="39">
          <cell r="Q39">
            <v>0</v>
          </cell>
          <cell r="S39">
            <v>4843442.62</v>
          </cell>
          <cell r="U39">
            <v>5485108.0899999999</v>
          </cell>
          <cell r="V39">
            <v>7464692.5999999996</v>
          </cell>
          <cell r="W39">
            <v>5044592.8600000003</v>
          </cell>
          <cell r="Y39">
            <v>5717721.2800000003</v>
          </cell>
          <cell r="AA39">
            <v>9940459.7799999993</v>
          </cell>
          <cell r="AJ39">
            <v>7587555.9275000021</v>
          </cell>
          <cell r="AN39">
            <v>6561521.3208333328</v>
          </cell>
          <cell r="AR39">
            <v>5936816.6245833337</v>
          </cell>
          <cell r="AV39">
            <v>6032104.4595833337</v>
          </cell>
          <cell r="AZ39">
            <v>8691128.6908333339</v>
          </cell>
        </row>
        <row r="40">
          <cell r="Q40">
            <v>2632179.79</v>
          </cell>
          <cell r="S40">
            <v>24201487.949999999</v>
          </cell>
          <cell r="U40">
            <v>20293182.440000001</v>
          </cell>
          <cell r="V40">
            <v>20614318.940000001</v>
          </cell>
          <cell r="W40">
            <v>17216151.350000001</v>
          </cell>
          <cell r="Y40">
            <v>16758634.74</v>
          </cell>
          <cell r="AA40">
            <v>20309879.789999999</v>
          </cell>
          <cell r="AJ40">
            <v>18480397.571249999</v>
          </cell>
          <cell r="AN40">
            <v>20762406.352916662</v>
          </cell>
          <cell r="AR40">
            <v>20262857.039999999</v>
          </cell>
          <cell r="AV40">
            <v>18474176.257499997</v>
          </cell>
          <cell r="AZ40">
            <v>14615712.965416668</v>
          </cell>
        </row>
        <row r="41">
          <cell r="Q41">
            <v>173554074.58000001</v>
          </cell>
          <cell r="S41">
            <v>181847461.86000001</v>
          </cell>
          <cell r="U41">
            <v>191951143.94</v>
          </cell>
          <cell r="V41">
            <v>188677194.83000001</v>
          </cell>
          <cell r="W41">
            <v>241258447.31999999</v>
          </cell>
          <cell r="Y41">
            <v>313907707.43000001</v>
          </cell>
          <cell r="AA41">
            <v>356713708.88999999</v>
          </cell>
          <cell r="AJ41">
            <v>180113585.50166667</v>
          </cell>
          <cell r="AN41">
            <v>177202190.4366667</v>
          </cell>
          <cell r="AR41">
            <v>198371822.27416667</v>
          </cell>
          <cell r="AV41">
            <v>244375467.77666667</v>
          </cell>
          <cell r="AZ41">
            <v>275023348.38458335</v>
          </cell>
        </row>
        <row r="42">
          <cell r="Q42">
            <v>43727339.829999998</v>
          </cell>
          <cell r="S42">
            <v>31803811.09</v>
          </cell>
          <cell r="U42">
            <v>20644362.140000001</v>
          </cell>
          <cell r="V42">
            <v>20508757.190000001</v>
          </cell>
          <cell r="W42">
            <v>22504845.75</v>
          </cell>
          <cell r="Y42">
            <v>31328763.010000002</v>
          </cell>
          <cell r="AA42">
            <v>18702871.699999999</v>
          </cell>
          <cell r="AJ42">
            <v>42780384.907499999</v>
          </cell>
          <cell r="AN42">
            <v>43855117.812083326</v>
          </cell>
          <cell r="AR42">
            <v>38406500.983333327</v>
          </cell>
          <cell r="AV42">
            <v>28539252.640000001</v>
          </cell>
          <cell r="AZ42">
            <v>26362907.767083332</v>
          </cell>
        </row>
        <row r="43">
          <cell r="Q43">
            <v>38918779.079999998</v>
          </cell>
          <cell r="S43">
            <v>44712278.210000001</v>
          </cell>
          <cell r="U43">
            <v>46400890.990000002</v>
          </cell>
          <cell r="V43">
            <v>48912862.100000001</v>
          </cell>
          <cell r="W43">
            <v>44497880.82</v>
          </cell>
          <cell r="Y43">
            <v>49901234.520000003</v>
          </cell>
          <cell r="AA43">
            <v>55785412.829999998</v>
          </cell>
          <cell r="AJ43">
            <v>26851092.516666666</v>
          </cell>
          <cell r="AN43">
            <v>33943335.187916659</v>
          </cell>
          <cell r="AR43">
            <v>41897219.334583342</v>
          </cell>
          <cell r="AV43">
            <v>48617043.230416663</v>
          </cell>
          <cell r="AZ43">
            <v>44971691.068749994</v>
          </cell>
        </row>
        <row r="44">
          <cell r="Q44">
            <v>0</v>
          </cell>
          <cell r="S44">
            <v>0</v>
          </cell>
          <cell r="U44">
            <v>0</v>
          </cell>
          <cell r="V44">
            <v>0</v>
          </cell>
          <cell r="W44">
            <v>0</v>
          </cell>
          <cell r="Y44">
            <v>0</v>
          </cell>
          <cell r="AA44">
            <v>0</v>
          </cell>
          <cell r="AJ44">
            <v>115788.93124999998</v>
          </cell>
          <cell r="AN44">
            <v>77306.925833333327</v>
          </cell>
          <cell r="AR44">
            <v>31627.226666666666</v>
          </cell>
          <cell r="AV44">
            <v>0</v>
          </cell>
          <cell r="AZ44">
            <v>0</v>
          </cell>
        </row>
        <row r="45">
          <cell r="Q45">
            <v>0</v>
          </cell>
          <cell r="S45">
            <v>0</v>
          </cell>
          <cell r="U45">
            <v>0</v>
          </cell>
          <cell r="V45">
            <v>0</v>
          </cell>
          <cell r="W45">
            <v>0</v>
          </cell>
          <cell r="Y45">
            <v>0</v>
          </cell>
          <cell r="AA45">
            <v>0</v>
          </cell>
          <cell r="AJ45">
            <v>-115788.93124999998</v>
          </cell>
          <cell r="AN45">
            <v>-77306.925833333327</v>
          </cell>
          <cell r="AR45">
            <v>-31627.226666666666</v>
          </cell>
          <cell r="AV45">
            <v>0</v>
          </cell>
          <cell r="AZ45">
            <v>0</v>
          </cell>
        </row>
        <row r="46">
          <cell r="Q46">
            <v>0</v>
          </cell>
          <cell r="S46">
            <v>0</v>
          </cell>
          <cell r="U46">
            <v>0</v>
          </cell>
          <cell r="V46">
            <v>0</v>
          </cell>
          <cell r="W46">
            <v>0</v>
          </cell>
          <cell r="Y46">
            <v>0</v>
          </cell>
          <cell r="AA46">
            <v>0</v>
          </cell>
          <cell r="AJ46">
            <v>0</v>
          </cell>
          <cell r="AN46">
            <v>0</v>
          </cell>
          <cell r="AR46">
            <v>0</v>
          </cell>
          <cell r="AV46">
            <v>0</v>
          </cell>
          <cell r="AZ46">
            <v>0</v>
          </cell>
        </row>
        <row r="47">
          <cell r="Q47">
            <v>0</v>
          </cell>
          <cell r="S47">
            <v>0</v>
          </cell>
          <cell r="U47">
            <v>0</v>
          </cell>
          <cell r="V47">
            <v>0</v>
          </cell>
          <cell r="W47">
            <v>0</v>
          </cell>
          <cell r="Y47">
            <v>0</v>
          </cell>
          <cell r="AA47">
            <v>0</v>
          </cell>
          <cell r="AJ47">
            <v>11013.111666666664</v>
          </cell>
          <cell r="AN47">
            <v>6969.975833333333</v>
          </cell>
          <cell r="AR47">
            <v>2729.1066666666666</v>
          </cell>
          <cell r="AV47">
            <v>0</v>
          </cell>
          <cell r="AZ47">
            <v>0</v>
          </cell>
        </row>
        <row r="48">
          <cell r="Q48">
            <v>0</v>
          </cell>
          <cell r="S48">
            <v>0</v>
          </cell>
          <cell r="U48">
            <v>0</v>
          </cell>
          <cell r="V48">
            <v>0</v>
          </cell>
          <cell r="W48">
            <v>0</v>
          </cell>
          <cell r="Y48">
            <v>0</v>
          </cell>
          <cell r="AA48">
            <v>0</v>
          </cell>
          <cell r="AJ48">
            <v>-11013.111666666664</v>
          </cell>
          <cell r="AN48">
            <v>-6969.975833333333</v>
          </cell>
          <cell r="AR48">
            <v>-2729.1066666666666</v>
          </cell>
          <cell r="AV48">
            <v>0</v>
          </cell>
          <cell r="AZ48">
            <v>0</v>
          </cell>
        </row>
        <row r="49">
          <cell r="Q49">
            <v>0</v>
          </cell>
          <cell r="S49">
            <v>0</v>
          </cell>
          <cell r="U49">
            <v>0</v>
          </cell>
          <cell r="V49">
            <v>0</v>
          </cell>
          <cell r="W49">
            <v>0</v>
          </cell>
          <cell r="Y49">
            <v>0</v>
          </cell>
          <cell r="AA49">
            <v>0</v>
          </cell>
          <cell r="AJ49">
            <v>0</v>
          </cell>
          <cell r="AN49">
            <v>0</v>
          </cell>
          <cell r="AR49">
            <v>0</v>
          </cell>
          <cell r="AV49">
            <v>0</v>
          </cell>
          <cell r="AZ49">
            <v>0</v>
          </cell>
        </row>
        <row r="50">
          <cell r="Q50">
            <v>0</v>
          </cell>
          <cell r="S50">
            <v>0</v>
          </cell>
          <cell r="U50">
            <v>0</v>
          </cell>
          <cell r="V50">
            <v>0</v>
          </cell>
          <cell r="W50">
            <v>0</v>
          </cell>
          <cell r="Y50">
            <v>0</v>
          </cell>
          <cell r="AA50">
            <v>0</v>
          </cell>
          <cell r="AJ50">
            <v>0</v>
          </cell>
          <cell r="AN50">
            <v>0</v>
          </cell>
          <cell r="AR50">
            <v>0</v>
          </cell>
          <cell r="AV50">
            <v>0</v>
          </cell>
          <cell r="AZ50">
            <v>0</v>
          </cell>
        </row>
        <row r="51">
          <cell r="Q51">
            <v>0</v>
          </cell>
          <cell r="S51">
            <v>0</v>
          </cell>
          <cell r="U51">
            <v>0</v>
          </cell>
          <cell r="V51">
            <v>0</v>
          </cell>
          <cell r="W51">
            <v>0</v>
          </cell>
          <cell r="Y51">
            <v>0</v>
          </cell>
          <cell r="AA51">
            <v>0</v>
          </cell>
          <cell r="AJ51">
            <v>0</v>
          </cell>
          <cell r="AN51">
            <v>0</v>
          </cell>
          <cell r="AR51">
            <v>0</v>
          </cell>
          <cell r="AV51">
            <v>0</v>
          </cell>
          <cell r="AZ51">
            <v>0</v>
          </cell>
        </row>
        <row r="52">
          <cell r="Q52">
            <v>0</v>
          </cell>
          <cell r="S52">
            <v>0</v>
          </cell>
          <cell r="U52">
            <v>0</v>
          </cell>
          <cell r="V52">
            <v>0</v>
          </cell>
          <cell r="W52">
            <v>0</v>
          </cell>
          <cell r="Y52">
            <v>0</v>
          </cell>
          <cell r="AA52">
            <v>0</v>
          </cell>
          <cell r="AJ52">
            <v>0</v>
          </cell>
          <cell r="AN52">
            <v>0</v>
          </cell>
          <cell r="AR52">
            <v>0</v>
          </cell>
          <cell r="AV52">
            <v>0</v>
          </cell>
          <cell r="AZ52">
            <v>0</v>
          </cell>
        </row>
        <row r="53">
          <cell r="Q53">
            <v>0</v>
          </cell>
          <cell r="S53">
            <v>0</v>
          </cell>
          <cell r="U53">
            <v>0</v>
          </cell>
          <cell r="V53">
            <v>0</v>
          </cell>
          <cell r="W53">
            <v>0</v>
          </cell>
          <cell r="Y53">
            <v>0</v>
          </cell>
          <cell r="AA53">
            <v>0</v>
          </cell>
          <cell r="AJ53">
            <v>0</v>
          </cell>
          <cell r="AN53">
            <v>0</v>
          </cell>
          <cell r="AR53">
            <v>0</v>
          </cell>
          <cell r="AV53">
            <v>0</v>
          </cell>
          <cell r="AZ53">
            <v>0</v>
          </cell>
        </row>
        <row r="54">
          <cell r="Q54">
            <v>-42834236</v>
          </cell>
          <cell r="S54">
            <v>-42834236</v>
          </cell>
          <cell r="U54">
            <v>-42151986</v>
          </cell>
          <cell r="V54">
            <v>-42151986</v>
          </cell>
          <cell r="W54">
            <v>-43721207</v>
          </cell>
          <cell r="Y54">
            <v>-43721207</v>
          </cell>
          <cell r="AA54">
            <v>-44262577</v>
          </cell>
          <cell r="AJ54">
            <v>-34194580.916666664</v>
          </cell>
          <cell r="AN54">
            <v>-37155500.75</v>
          </cell>
          <cell r="AR54">
            <v>-40943851.416666664</v>
          </cell>
          <cell r="AV54">
            <v>-43322620.708333336</v>
          </cell>
          <cell r="AZ54">
            <v>-44136554.625</v>
          </cell>
        </row>
        <row r="55">
          <cell r="Q55">
            <v>-113835552</v>
          </cell>
          <cell r="S55">
            <v>-113835552</v>
          </cell>
          <cell r="U55">
            <v>-119243460</v>
          </cell>
          <cell r="V55">
            <v>-119243460</v>
          </cell>
          <cell r="W55">
            <v>-121613173</v>
          </cell>
          <cell r="Y55">
            <v>-121613173</v>
          </cell>
          <cell r="AA55">
            <v>-125407887</v>
          </cell>
          <cell r="AJ55">
            <v>-108938605.70833333</v>
          </cell>
          <cell r="AN55">
            <v>-112190645.75</v>
          </cell>
          <cell r="AR55">
            <v>-116127997.66666667</v>
          </cell>
          <cell r="AV55">
            <v>-120640753.29166667</v>
          </cell>
          <cell r="AZ55">
            <v>-125804431.375</v>
          </cell>
        </row>
        <row r="56">
          <cell r="Q56">
            <v>42834236</v>
          </cell>
          <cell r="S56">
            <v>42834236</v>
          </cell>
          <cell r="U56">
            <v>42151986</v>
          </cell>
          <cell r="V56">
            <v>42151986</v>
          </cell>
          <cell r="W56">
            <v>43721207</v>
          </cell>
          <cell r="Y56">
            <v>43721207</v>
          </cell>
          <cell r="AA56">
            <v>44262577</v>
          </cell>
          <cell r="AJ56">
            <v>34194580.916666664</v>
          </cell>
          <cell r="AN56">
            <v>37155500.75</v>
          </cell>
          <cell r="AR56">
            <v>40943851.416666664</v>
          </cell>
          <cell r="AV56">
            <v>43322620.708333336</v>
          </cell>
          <cell r="AZ56">
            <v>44136554.625</v>
          </cell>
        </row>
        <row r="57">
          <cell r="Q57">
            <v>113835552</v>
          </cell>
          <cell r="S57">
            <v>113835552</v>
          </cell>
          <cell r="U57">
            <v>119243460</v>
          </cell>
          <cell r="V57">
            <v>119243460</v>
          </cell>
          <cell r="W57">
            <v>121613173</v>
          </cell>
          <cell r="Y57">
            <v>121613173</v>
          </cell>
          <cell r="AA57">
            <v>125407887</v>
          </cell>
          <cell r="AJ57">
            <v>108938605.70833333</v>
          </cell>
          <cell r="AN57">
            <v>112190645.75</v>
          </cell>
          <cell r="AR57">
            <v>116127997.66666667</v>
          </cell>
          <cell r="AV57">
            <v>120640753.29166667</v>
          </cell>
          <cell r="AZ57">
            <v>125804431.375</v>
          </cell>
        </row>
        <row r="58">
          <cell r="Q58">
            <v>0</v>
          </cell>
          <cell r="S58">
            <v>0</v>
          </cell>
          <cell r="U58">
            <v>0</v>
          </cell>
          <cell r="V58">
            <v>0</v>
          </cell>
          <cell r="W58">
            <v>0</v>
          </cell>
          <cell r="Y58">
            <v>0</v>
          </cell>
          <cell r="AA58">
            <v>0</v>
          </cell>
          <cell r="AJ58">
            <v>0</v>
          </cell>
          <cell r="AN58">
            <v>0</v>
          </cell>
          <cell r="AR58">
            <v>0</v>
          </cell>
          <cell r="AV58">
            <v>0</v>
          </cell>
          <cell r="AZ58">
            <v>0</v>
          </cell>
        </row>
        <row r="59">
          <cell r="Q59">
            <v>0</v>
          </cell>
          <cell r="S59">
            <v>0</v>
          </cell>
          <cell r="U59">
            <v>0</v>
          </cell>
          <cell r="V59">
            <v>0</v>
          </cell>
          <cell r="W59">
            <v>0</v>
          </cell>
          <cell r="Y59">
            <v>0</v>
          </cell>
          <cell r="AA59">
            <v>0</v>
          </cell>
          <cell r="AJ59">
            <v>0</v>
          </cell>
          <cell r="AN59">
            <v>0</v>
          </cell>
          <cell r="AR59">
            <v>0</v>
          </cell>
          <cell r="AV59">
            <v>0</v>
          </cell>
          <cell r="AZ59">
            <v>0</v>
          </cell>
        </row>
        <row r="60">
          <cell r="Q60">
            <v>0</v>
          </cell>
          <cell r="S60">
            <v>0</v>
          </cell>
          <cell r="U60">
            <v>0</v>
          </cell>
          <cell r="V60">
            <v>0</v>
          </cell>
          <cell r="W60">
            <v>0</v>
          </cell>
          <cell r="Y60">
            <v>0</v>
          </cell>
          <cell r="AA60">
            <v>0</v>
          </cell>
          <cell r="AJ60">
            <v>0</v>
          </cell>
          <cell r="AN60">
            <v>0</v>
          </cell>
          <cell r="AR60">
            <v>0</v>
          </cell>
          <cell r="AV60">
            <v>0</v>
          </cell>
          <cell r="AZ60">
            <v>0</v>
          </cell>
        </row>
        <row r="61">
          <cell r="Q61">
            <v>-2399292910.7399998</v>
          </cell>
          <cell r="S61">
            <v>-2443387078.1500001</v>
          </cell>
          <cell r="U61">
            <v>-2460937497.7600002</v>
          </cell>
          <cell r="V61">
            <v>-2472919628.8200002</v>
          </cell>
          <cell r="W61">
            <v>-2484160269.9699998</v>
          </cell>
          <cell r="Y61">
            <v>-2492691837.29</v>
          </cell>
          <cell r="AA61">
            <v>-2483933421.3200002</v>
          </cell>
          <cell r="AJ61">
            <v>-2307299187.2479167</v>
          </cell>
          <cell r="AN61">
            <v>-2372766361.9716668</v>
          </cell>
          <cell r="AR61">
            <v>-2432915611.5799999</v>
          </cell>
          <cell r="AV61">
            <v>-2468266330.1083331</v>
          </cell>
          <cell r="AZ61">
            <v>-2498656466.7287498</v>
          </cell>
        </row>
        <row r="62">
          <cell r="Q62">
            <v>-765122592.55999994</v>
          </cell>
          <cell r="S62">
            <v>-774544795.52999997</v>
          </cell>
          <cell r="U62">
            <v>-789808505.13</v>
          </cell>
          <cell r="V62">
            <v>-796519695.50999999</v>
          </cell>
          <cell r="W62">
            <v>-803072108.48000002</v>
          </cell>
          <cell r="Y62">
            <v>-813967053.75</v>
          </cell>
          <cell r="AA62">
            <v>-800349616.55999994</v>
          </cell>
          <cell r="AJ62">
            <v>-733170211.43083334</v>
          </cell>
          <cell r="AN62">
            <v>-754402253.41416657</v>
          </cell>
          <cell r="AR62">
            <v>-777574961.57458341</v>
          </cell>
          <cell r="AV62">
            <v>-796330090.14541674</v>
          </cell>
          <cell r="AZ62">
            <v>-811645489.19666672</v>
          </cell>
        </row>
        <row r="63">
          <cell r="Q63">
            <v>-38660758.909999996</v>
          </cell>
          <cell r="S63">
            <v>-41038835.219999999</v>
          </cell>
          <cell r="U63">
            <v>-43428517.009999998</v>
          </cell>
          <cell r="V63">
            <v>-44866667.149999999</v>
          </cell>
          <cell r="W63">
            <v>-45971763.850000001</v>
          </cell>
          <cell r="Y63">
            <v>-48306515.119999997</v>
          </cell>
          <cell r="AA63">
            <v>-21110117.27</v>
          </cell>
          <cell r="AJ63">
            <v>-34797096.578333326</v>
          </cell>
          <cell r="AN63">
            <v>-37697507.099999994</v>
          </cell>
          <cell r="AR63">
            <v>-41418967.67666667</v>
          </cell>
          <cell r="AV63">
            <v>-39702344.885416664</v>
          </cell>
          <cell r="AZ63">
            <v>-32907999.748333335</v>
          </cell>
        </row>
        <row r="64">
          <cell r="Q64">
            <v>8207425.3200000003</v>
          </cell>
          <cell r="S64">
            <v>6906797.1200000001</v>
          </cell>
          <cell r="U64">
            <v>4501065.28</v>
          </cell>
          <cell r="V64">
            <v>5184694.1399999997</v>
          </cell>
          <cell r="W64">
            <v>4925868.76</v>
          </cell>
          <cell r="Y64">
            <v>1222825.0900000001</v>
          </cell>
          <cell r="AA64">
            <v>-640403.19999999995</v>
          </cell>
          <cell r="AJ64">
            <v>-347810.29333333333</v>
          </cell>
          <cell r="AN64">
            <v>3085592.8700000006</v>
          </cell>
          <cell r="AR64">
            <v>5620029.3949999996</v>
          </cell>
          <cell r="AV64">
            <v>3932941.6895833337</v>
          </cell>
          <cell r="AZ64">
            <v>3817754.9508333332</v>
          </cell>
        </row>
        <row r="65">
          <cell r="Q65">
            <v>21478.19</v>
          </cell>
          <cell r="S65">
            <v>21876.85</v>
          </cell>
          <cell r="U65">
            <v>35873.72</v>
          </cell>
          <cell r="V65">
            <v>34754.29</v>
          </cell>
          <cell r="W65">
            <v>32280.97</v>
          </cell>
          <cell r="Y65">
            <v>34177.589999999997</v>
          </cell>
          <cell r="AA65">
            <v>30390.34</v>
          </cell>
          <cell r="AJ65">
            <v>12294.800833333335</v>
          </cell>
          <cell r="AN65">
            <v>18332.91</v>
          </cell>
          <cell r="AR65">
            <v>25755.20041666667</v>
          </cell>
          <cell r="AV65">
            <v>39893.202083333337</v>
          </cell>
          <cell r="AZ65">
            <v>77687.453750000001</v>
          </cell>
        </row>
        <row r="66">
          <cell r="Q66">
            <v>1658139.1</v>
          </cell>
          <cell r="S66">
            <v>1434648.84</v>
          </cell>
          <cell r="U66">
            <v>1323754.18</v>
          </cell>
          <cell r="V66">
            <v>1285193.06</v>
          </cell>
          <cell r="W66">
            <v>1597358.61</v>
          </cell>
          <cell r="Y66">
            <v>1282146.75</v>
          </cell>
          <cell r="AA66">
            <v>1133602.08</v>
          </cell>
          <cell r="AJ66">
            <v>3013183.98</v>
          </cell>
          <cell r="AN66">
            <v>2851712.9800000004</v>
          </cell>
          <cell r="AR66">
            <v>1755711.6804166667</v>
          </cell>
          <cell r="AV66">
            <v>1317723.40625</v>
          </cell>
          <cell r="AZ66">
            <v>1167744.8045833332</v>
          </cell>
        </row>
        <row r="67">
          <cell r="Q67">
            <v>0</v>
          </cell>
          <cell r="S67">
            <v>0</v>
          </cell>
          <cell r="U67">
            <v>0</v>
          </cell>
          <cell r="V67">
            <v>0</v>
          </cell>
          <cell r="W67">
            <v>0</v>
          </cell>
          <cell r="Y67">
            <v>0</v>
          </cell>
          <cell r="AA67">
            <v>0</v>
          </cell>
          <cell r="AJ67">
            <v>0</v>
          </cell>
          <cell r="AN67">
            <v>0</v>
          </cell>
          <cell r="AR67">
            <v>0</v>
          </cell>
          <cell r="AV67">
            <v>0</v>
          </cell>
          <cell r="AZ67">
            <v>0</v>
          </cell>
        </row>
        <row r="68">
          <cell r="Q68">
            <v>0</v>
          </cell>
          <cell r="S68">
            <v>0</v>
          </cell>
          <cell r="U68">
            <v>0</v>
          </cell>
          <cell r="V68">
            <v>0</v>
          </cell>
          <cell r="W68">
            <v>0</v>
          </cell>
          <cell r="Y68">
            <v>0</v>
          </cell>
          <cell r="AA68">
            <v>0</v>
          </cell>
          <cell r="AJ68">
            <v>0</v>
          </cell>
          <cell r="AN68">
            <v>0</v>
          </cell>
          <cell r="AR68">
            <v>0</v>
          </cell>
          <cell r="AV68">
            <v>0</v>
          </cell>
          <cell r="AZ68">
            <v>0</v>
          </cell>
        </row>
        <row r="69">
          <cell r="Q69">
            <v>0</v>
          </cell>
          <cell r="S69">
            <v>0</v>
          </cell>
          <cell r="U69">
            <v>0</v>
          </cell>
          <cell r="V69">
            <v>0</v>
          </cell>
          <cell r="W69">
            <v>0</v>
          </cell>
          <cell r="Y69">
            <v>0</v>
          </cell>
          <cell r="AA69">
            <v>0</v>
          </cell>
          <cell r="AJ69">
            <v>0</v>
          </cell>
          <cell r="AN69">
            <v>0</v>
          </cell>
          <cell r="AR69">
            <v>0</v>
          </cell>
          <cell r="AV69">
            <v>0</v>
          </cell>
          <cell r="AZ69">
            <v>0</v>
          </cell>
        </row>
        <row r="70">
          <cell r="Q70">
            <v>0</v>
          </cell>
          <cell r="S70">
            <v>0</v>
          </cell>
          <cell r="U70">
            <v>0</v>
          </cell>
          <cell r="V70">
            <v>0</v>
          </cell>
          <cell r="W70">
            <v>0</v>
          </cell>
          <cell r="Y70">
            <v>0</v>
          </cell>
          <cell r="AA70">
            <v>0</v>
          </cell>
          <cell r="AJ70">
            <v>0</v>
          </cell>
          <cell r="AN70">
            <v>0</v>
          </cell>
          <cell r="AR70">
            <v>0</v>
          </cell>
          <cell r="AV70">
            <v>0</v>
          </cell>
          <cell r="AZ70">
            <v>0</v>
          </cell>
        </row>
        <row r="71">
          <cell r="Q71">
            <v>0</v>
          </cell>
          <cell r="S71">
            <v>0</v>
          </cell>
          <cell r="U71">
            <v>0</v>
          </cell>
          <cell r="V71">
            <v>0</v>
          </cell>
          <cell r="W71">
            <v>0</v>
          </cell>
          <cell r="Y71">
            <v>0</v>
          </cell>
          <cell r="AA71">
            <v>0</v>
          </cell>
          <cell r="AJ71">
            <v>0</v>
          </cell>
          <cell r="AN71">
            <v>0</v>
          </cell>
          <cell r="AR71">
            <v>0</v>
          </cell>
          <cell r="AV71">
            <v>0</v>
          </cell>
          <cell r="AZ71">
            <v>0</v>
          </cell>
        </row>
        <row r="72">
          <cell r="Q72">
            <v>0</v>
          </cell>
          <cell r="S72">
            <v>0</v>
          </cell>
          <cell r="U72">
            <v>0</v>
          </cell>
          <cell r="V72">
            <v>0</v>
          </cell>
          <cell r="W72">
            <v>0</v>
          </cell>
          <cell r="Y72">
            <v>0</v>
          </cell>
          <cell r="AA72">
            <v>0</v>
          </cell>
          <cell r="AJ72">
            <v>0</v>
          </cell>
          <cell r="AN72">
            <v>0</v>
          </cell>
          <cell r="AR72">
            <v>0</v>
          </cell>
          <cell r="AV72">
            <v>0</v>
          </cell>
          <cell r="AZ72">
            <v>0</v>
          </cell>
        </row>
        <row r="73">
          <cell r="Q73">
            <v>-11122157.73</v>
          </cell>
          <cell r="S73">
            <v>-11671485.689999999</v>
          </cell>
          <cell r="U73">
            <v>-12231487.66</v>
          </cell>
          <cell r="V73">
            <v>-12509185.359999999</v>
          </cell>
          <cell r="W73">
            <v>-12786869</v>
          </cell>
          <cell r="Y73">
            <v>-13396355.720000001</v>
          </cell>
          <cell r="AA73">
            <v>-13763391.439999999</v>
          </cell>
          <cell r="AJ73">
            <v>-9973002.4933333322</v>
          </cell>
          <cell r="AN73">
            <v>-10727984.810000001</v>
          </cell>
          <cell r="AR73">
            <v>-11716370.014999999</v>
          </cell>
          <cell r="AV73">
            <v>-12638695.392916666</v>
          </cell>
          <cell r="AZ73">
            <v>-12854519.89625</v>
          </cell>
        </row>
        <row r="74">
          <cell r="Q74">
            <v>-11058142.369999999</v>
          </cell>
          <cell r="S74">
            <v>-11449324.710000001</v>
          </cell>
          <cell r="U74">
            <v>-11642727.699999999</v>
          </cell>
          <cell r="V74">
            <v>-11739651.77</v>
          </cell>
          <cell r="W74">
            <v>-11836615.32</v>
          </cell>
          <cell r="Y74">
            <v>-12030480.029999999</v>
          </cell>
          <cell r="AA74">
            <v>-12224431.59</v>
          </cell>
          <cell r="AJ74">
            <v>-10414650.352499999</v>
          </cell>
          <cell r="AN74">
            <v>-10897912.282500001</v>
          </cell>
          <cell r="AR74">
            <v>-11361582.42</v>
          </cell>
          <cell r="AV74">
            <v>-11762514.584166668</v>
          </cell>
          <cell r="AZ74">
            <v>-11146954.502083333</v>
          </cell>
        </row>
        <row r="75">
          <cell r="Q75">
            <v>-258857944.91</v>
          </cell>
          <cell r="S75">
            <v>-265592332.41</v>
          </cell>
          <cell r="U75">
            <v>-272399119.79000002</v>
          </cell>
          <cell r="V75">
            <v>-275881590.41000003</v>
          </cell>
          <cell r="W75">
            <v>-279455032</v>
          </cell>
          <cell r="Y75">
            <v>-286718469.36000001</v>
          </cell>
          <cell r="AA75">
            <v>-293987278.88999999</v>
          </cell>
          <cell r="AJ75">
            <v>-238681174.88291666</v>
          </cell>
          <cell r="AN75">
            <v>-252109742.57999995</v>
          </cell>
          <cell r="AR75">
            <v>-265763013.53958333</v>
          </cell>
          <cell r="AV75">
            <v>-277541678.49375004</v>
          </cell>
          <cell r="AZ75">
            <v>-272912456.98166674</v>
          </cell>
        </row>
        <row r="76">
          <cell r="Q76">
            <v>946172.25</v>
          </cell>
          <cell r="S76">
            <v>946172.25</v>
          </cell>
          <cell r="U76">
            <v>946172.25</v>
          </cell>
          <cell r="V76">
            <v>946172.25</v>
          </cell>
          <cell r="W76">
            <v>946172.25</v>
          </cell>
          <cell r="Y76">
            <v>946172.25</v>
          </cell>
          <cell r="AA76">
            <v>946172.25</v>
          </cell>
          <cell r="AJ76">
            <v>946172.25</v>
          </cell>
          <cell r="AN76">
            <v>946172.25</v>
          </cell>
          <cell r="AR76">
            <v>946172.25</v>
          </cell>
          <cell r="AV76">
            <v>946172.25</v>
          </cell>
          <cell r="AZ76">
            <v>946172.25</v>
          </cell>
        </row>
        <row r="77">
          <cell r="Q77">
            <v>0</v>
          </cell>
          <cell r="S77">
            <v>0</v>
          </cell>
          <cell r="U77">
            <v>0</v>
          </cell>
          <cell r="V77">
            <v>0</v>
          </cell>
          <cell r="W77">
            <v>0</v>
          </cell>
          <cell r="Y77">
            <v>0</v>
          </cell>
          <cell r="AA77">
            <v>0</v>
          </cell>
          <cell r="AJ77">
            <v>0</v>
          </cell>
          <cell r="AN77">
            <v>0</v>
          </cell>
          <cell r="AR77">
            <v>0</v>
          </cell>
          <cell r="AV77">
            <v>0</v>
          </cell>
          <cell r="AZ77">
            <v>0</v>
          </cell>
        </row>
        <row r="78">
          <cell r="Q78">
            <v>302358.01</v>
          </cell>
          <cell r="S78">
            <v>302358.01</v>
          </cell>
          <cell r="U78">
            <v>302358.01</v>
          </cell>
          <cell r="V78">
            <v>302358.01</v>
          </cell>
          <cell r="W78">
            <v>302358.01</v>
          </cell>
          <cell r="Y78">
            <v>302358.01</v>
          </cell>
          <cell r="AA78">
            <v>302358.01</v>
          </cell>
          <cell r="AJ78">
            <v>302358.00999999995</v>
          </cell>
          <cell r="AN78">
            <v>302358.00999999995</v>
          </cell>
          <cell r="AR78">
            <v>302358.00999999995</v>
          </cell>
          <cell r="AV78">
            <v>302358.00999999995</v>
          </cell>
          <cell r="AZ78">
            <v>302358.00999999995</v>
          </cell>
        </row>
        <row r="79">
          <cell r="Q79">
            <v>76622596.840000004</v>
          </cell>
          <cell r="S79">
            <v>76622596.840000004</v>
          </cell>
          <cell r="U79">
            <v>76622596.840000004</v>
          </cell>
          <cell r="V79">
            <v>76622596.840000004</v>
          </cell>
          <cell r="W79">
            <v>76622596.840000004</v>
          </cell>
          <cell r="Y79">
            <v>76622596.840000004</v>
          </cell>
          <cell r="AA79">
            <v>76622596.840000004</v>
          </cell>
          <cell r="AJ79">
            <v>76622596.840000018</v>
          </cell>
          <cell r="AN79">
            <v>76622596.840000018</v>
          </cell>
          <cell r="AR79">
            <v>76622596.840000018</v>
          </cell>
          <cell r="AV79">
            <v>76622596.840000018</v>
          </cell>
          <cell r="AZ79">
            <v>76622596.840000018</v>
          </cell>
        </row>
        <row r="80">
          <cell r="Q80">
            <v>0</v>
          </cell>
          <cell r="S80">
            <v>0</v>
          </cell>
          <cell r="U80">
            <v>0</v>
          </cell>
          <cell r="V80">
            <v>0</v>
          </cell>
          <cell r="W80">
            <v>0</v>
          </cell>
          <cell r="Y80">
            <v>0</v>
          </cell>
          <cell r="AA80">
            <v>0</v>
          </cell>
          <cell r="AJ80">
            <v>0</v>
          </cell>
          <cell r="AN80">
            <v>0</v>
          </cell>
          <cell r="AR80">
            <v>0</v>
          </cell>
          <cell r="AV80">
            <v>0</v>
          </cell>
          <cell r="AZ80">
            <v>0</v>
          </cell>
        </row>
        <row r="81">
          <cell r="Q81">
            <v>150900617.56</v>
          </cell>
          <cell r="S81">
            <v>154416733.77000001</v>
          </cell>
          <cell r="U81">
            <v>155115857.46000001</v>
          </cell>
          <cell r="V81">
            <v>154633591.38999999</v>
          </cell>
          <cell r="W81">
            <v>154925691.68000001</v>
          </cell>
          <cell r="Y81">
            <v>155175892.68000001</v>
          </cell>
          <cell r="AA81">
            <v>155148727.80000001</v>
          </cell>
          <cell r="AJ81">
            <v>6287525.7316666665</v>
          </cell>
          <cell r="AN81">
            <v>57401152.735000007</v>
          </cell>
          <cell r="AR81">
            <v>109053776.02249999</v>
          </cell>
          <cell r="AV81">
            <v>154553362.19041663</v>
          </cell>
          <cell r="AZ81">
            <v>155751081.81999999</v>
          </cell>
        </row>
        <row r="82">
          <cell r="S82">
            <v>16935620.390000001</v>
          </cell>
          <cell r="U82">
            <v>16950272.940000001</v>
          </cell>
          <cell r="V82">
            <v>16950332.440000001</v>
          </cell>
          <cell r="W82">
            <v>16950332.899999999</v>
          </cell>
          <cell r="Y82">
            <v>16950332.899999999</v>
          </cell>
          <cell r="AA82">
            <v>16950332.899999999</v>
          </cell>
          <cell r="AJ82">
            <v>0</v>
          </cell>
          <cell r="AN82">
            <v>3528864.7708333335</v>
          </cell>
          <cell r="AR82">
            <v>9178973.2008333337</v>
          </cell>
          <cell r="AV82">
            <v>14829084.167500002</v>
          </cell>
          <cell r="AZ82">
            <v>16950330.363333333</v>
          </cell>
        </row>
        <row r="83">
          <cell r="AV83">
            <v>0</v>
          </cell>
          <cell r="AZ83">
            <v>0</v>
          </cell>
        </row>
        <row r="84">
          <cell r="Q84">
            <v>-693189</v>
          </cell>
          <cell r="S84">
            <v>-697489</v>
          </cell>
          <cell r="U84">
            <v>-701789</v>
          </cell>
          <cell r="V84">
            <v>-703939</v>
          </cell>
          <cell r="W84">
            <v>-706089</v>
          </cell>
          <cell r="Y84">
            <v>-710389</v>
          </cell>
          <cell r="AA84">
            <v>-714689</v>
          </cell>
          <cell r="AJ84">
            <v>-680289</v>
          </cell>
          <cell r="AN84">
            <v>-688889</v>
          </cell>
          <cell r="AR84">
            <v>-697489</v>
          </cell>
          <cell r="AV84">
            <v>-706089</v>
          </cell>
          <cell r="AZ84">
            <v>-714689</v>
          </cell>
        </row>
        <row r="85">
          <cell r="Q85">
            <v>0</v>
          </cell>
          <cell r="S85">
            <v>0</v>
          </cell>
          <cell r="U85">
            <v>0</v>
          </cell>
          <cell r="V85">
            <v>0</v>
          </cell>
          <cell r="W85">
            <v>0</v>
          </cell>
          <cell r="Y85">
            <v>0</v>
          </cell>
          <cell r="AA85">
            <v>0</v>
          </cell>
          <cell r="AJ85">
            <v>0</v>
          </cell>
          <cell r="AN85">
            <v>0</v>
          </cell>
          <cell r="AR85">
            <v>0</v>
          </cell>
          <cell r="AV85">
            <v>0</v>
          </cell>
          <cell r="AZ85">
            <v>0</v>
          </cell>
        </row>
        <row r="86">
          <cell r="Q86">
            <v>-271599.03999999998</v>
          </cell>
          <cell r="S86">
            <v>-273465.7</v>
          </cell>
          <cell r="U86">
            <v>-275332.36</v>
          </cell>
          <cell r="V86">
            <v>-276265.69</v>
          </cell>
          <cell r="W86">
            <v>-277199.02</v>
          </cell>
          <cell r="Y86">
            <v>-279065.68</v>
          </cell>
          <cell r="AA86">
            <v>-280932.34000000003</v>
          </cell>
          <cell r="AJ86">
            <v>-265999.06</v>
          </cell>
          <cell r="AN86">
            <v>-269732.38000000006</v>
          </cell>
          <cell r="AR86">
            <v>-273465.69999999995</v>
          </cell>
          <cell r="AV86">
            <v>-277199.01999999996</v>
          </cell>
          <cell r="AZ86">
            <v>-280932.34000000003</v>
          </cell>
        </row>
        <row r="87">
          <cell r="Q87">
            <v>-39924138.659999996</v>
          </cell>
          <cell r="S87">
            <v>-40366288.659999996</v>
          </cell>
          <cell r="U87">
            <v>-40808438.659999996</v>
          </cell>
          <cell r="V87">
            <v>-41029513.659999996</v>
          </cell>
          <cell r="W87">
            <v>-41250588.659999996</v>
          </cell>
          <cell r="Y87">
            <v>-41692738.659999996</v>
          </cell>
          <cell r="AA87">
            <v>-42134888.659999996</v>
          </cell>
          <cell r="AJ87">
            <v>-38597688.659999989</v>
          </cell>
          <cell r="AN87">
            <v>-39481988.659999989</v>
          </cell>
          <cell r="AR87">
            <v>-40366288.659999989</v>
          </cell>
          <cell r="AV87">
            <v>-41250588.659999989</v>
          </cell>
          <cell r="AZ87">
            <v>-42134888.659999989</v>
          </cell>
        </row>
        <row r="88">
          <cell r="Q88">
            <v>-369830.2</v>
          </cell>
          <cell r="S88">
            <v>-1063937.04</v>
          </cell>
          <cell r="U88">
            <v>-1823795.66</v>
          </cell>
          <cell r="V88">
            <v>-2202800.02</v>
          </cell>
          <cell r="W88">
            <v>-2582520.31</v>
          </cell>
          <cell r="Y88">
            <v>-3343065.87</v>
          </cell>
          <cell r="AA88">
            <v>-4103533.69</v>
          </cell>
          <cell r="AJ88">
            <v>-15409.591666666667</v>
          </cell>
          <cell r="AN88">
            <v>-383380.55916666664</v>
          </cell>
          <cell r="AR88">
            <v>-1244337.5120833335</v>
          </cell>
          <cell r="AV88">
            <v>-2596951.9291666667</v>
          </cell>
          <cell r="AZ88">
            <v>-4108176.6945833336</v>
          </cell>
        </row>
        <row r="89">
          <cell r="S89">
            <v>-168873.65</v>
          </cell>
          <cell r="U89">
            <v>-550565.36</v>
          </cell>
          <cell r="V89">
            <v>-744625.77</v>
          </cell>
          <cell r="W89">
            <v>-932426.17</v>
          </cell>
          <cell r="Y89">
            <v>-1320546.99</v>
          </cell>
          <cell r="AA89">
            <v>-1702407.8</v>
          </cell>
          <cell r="AJ89">
            <v>0</v>
          </cell>
          <cell r="AN89">
            <v>-67243.495833333334</v>
          </cell>
          <cell r="AR89">
            <v>-378834.72041666665</v>
          </cell>
          <cell r="AV89">
            <v>-945782.31958333321</v>
          </cell>
          <cell r="AZ89">
            <v>-1700234.187083333</v>
          </cell>
        </row>
        <row r="90">
          <cell r="Q90">
            <v>0</v>
          </cell>
          <cell r="S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  <cell r="AA90">
            <v>0</v>
          </cell>
          <cell r="AJ90">
            <v>0</v>
          </cell>
          <cell r="AN90">
            <v>0</v>
          </cell>
          <cell r="AR90">
            <v>0</v>
          </cell>
          <cell r="AV90">
            <v>0</v>
          </cell>
          <cell r="AZ90">
            <v>0</v>
          </cell>
        </row>
        <row r="91">
          <cell r="Q91">
            <v>7036930.9000000004</v>
          </cell>
          <cell r="S91">
            <v>7125542.04</v>
          </cell>
          <cell r="U91">
            <v>7172985.8499999996</v>
          </cell>
          <cell r="V91">
            <v>7200270.2999999998</v>
          </cell>
          <cell r="W91">
            <v>7238534.71</v>
          </cell>
          <cell r="Y91">
            <v>7309932.3300000001</v>
          </cell>
          <cell r="AA91">
            <v>7389392.6299999999</v>
          </cell>
          <cell r="AJ91">
            <v>6692694.4420833336</v>
          </cell>
          <cell r="AN91">
            <v>6926245.0837499993</v>
          </cell>
          <cell r="AR91">
            <v>7098600.4499999983</v>
          </cell>
          <cell r="AV91">
            <v>7252173.3016666668</v>
          </cell>
          <cell r="AZ91">
            <v>7425869.2975000003</v>
          </cell>
        </row>
        <row r="92">
          <cell r="Q92">
            <v>0</v>
          </cell>
          <cell r="S92">
            <v>0</v>
          </cell>
          <cell r="U92">
            <v>0</v>
          </cell>
          <cell r="V92">
            <v>0</v>
          </cell>
          <cell r="W92">
            <v>0</v>
          </cell>
          <cell r="Y92">
            <v>0</v>
          </cell>
          <cell r="AA92">
            <v>0</v>
          </cell>
          <cell r="AJ92">
            <v>0</v>
          </cell>
          <cell r="AN92">
            <v>0</v>
          </cell>
          <cell r="AR92">
            <v>0</v>
          </cell>
          <cell r="AV92">
            <v>0</v>
          </cell>
          <cell r="AZ92">
            <v>0</v>
          </cell>
        </row>
        <row r="93">
          <cell r="Q93">
            <v>0</v>
          </cell>
          <cell r="S93">
            <v>0</v>
          </cell>
          <cell r="U93">
            <v>0</v>
          </cell>
          <cell r="V93">
            <v>0</v>
          </cell>
          <cell r="W93">
            <v>0</v>
          </cell>
          <cell r="Y93">
            <v>0</v>
          </cell>
          <cell r="AA93">
            <v>0</v>
          </cell>
          <cell r="AJ93">
            <v>0</v>
          </cell>
          <cell r="AN93">
            <v>0</v>
          </cell>
          <cell r="AR93">
            <v>0</v>
          </cell>
          <cell r="AV93">
            <v>0</v>
          </cell>
          <cell r="AZ93">
            <v>0</v>
          </cell>
        </row>
        <row r="94">
          <cell r="Q94">
            <v>-1112033.1499999999</v>
          </cell>
          <cell r="S94">
            <v>-1084531.1200000001</v>
          </cell>
          <cell r="U94">
            <v>-883395.11</v>
          </cell>
          <cell r="V94">
            <v>-434125.04</v>
          </cell>
          <cell r="W94">
            <v>-434425.04</v>
          </cell>
          <cell r="Y94">
            <v>-96513.65</v>
          </cell>
          <cell r="AA94">
            <v>-98522.54</v>
          </cell>
          <cell r="AJ94">
            <v>-100449.5175</v>
          </cell>
          <cell r="AN94">
            <v>-334331.17</v>
          </cell>
          <cell r="AR94">
            <v>-495626.53833333333</v>
          </cell>
          <cell r="AV94">
            <v>-496102.46541666664</v>
          </cell>
          <cell r="AZ94">
            <v>-191176.62583333332</v>
          </cell>
        </row>
        <row r="95">
          <cell r="Q95">
            <v>2855572.49</v>
          </cell>
          <cell r="S95">
            <v>2837811.66</v>
          </cell>
          <cell r="U95">
            <v>2837811.66</v>
          </cell>
          <cell r="V95">
            <v>2837811.66</v>
          </cell>
          <cell r="W95">
            <v>2840031.21</v>
          </cell>
          <cell r="Y95">
            <v>2843623.56</v>
          </cell>
          <cell r="AA95">
            <v>2843623.56</v>
          </cell>
          <cell r="AJ95">
            <v>2844471.9712500009</v>
          </cell>
          <cell r="AN95">
            <v>2846692.0750000007</v>
          </cell>
          <cell r="AR95">
            <v>2846863.4904166665</v>
          </cell>
          <cell r="AV95">
            <v>2864503.8495833329</v>
          </cell>
          <cell r="AZ95">
            <v>3037207.7324999999</v>
          </cell>
        </row>
        <row r="96">
          <cell r="Q96">
            <v>0</v>
          </cell>
          <cell r="S96">
            <v>0</v>
          </cell>
          <cell r="U96">
            <v>0</v>
          </cell>
          <cell r="V96">
            <v>0</v>
          </cell>
          <cell r="W96">
            <v>0</v>
          </cell>
          <cell r="Y96">
            <v>0</v>
          </cell>
          <cell r="AA96">
            <v>0</v>
          </cell>
          <cell r="AJ96">
            <v>0</v>
          </cell>
          <cell r="AN96">
            <v>0</v>
          </cell>
          <cell r="AR96">
            <v>0</v>
          </cell>
          <cell r="AV96">
            <v>0</v>
          </cell>
          <cell r="AZ96">
            <v>0</v>
          </cell>
        </row>
        <row r="97">
          <cell r="Q97">
            <v>-446720.92</v>
          </cell>
          <cell r="S97">
            <v>-446720.92</v>
          </cell>
          <cell r="U97">
            <v>-446720.92</v>
          </cell>
          <cell r="V97">
            <v>-446720.92</v>
          </cell>
          <cell r="W97">
            <v>-446720.92</v>
          </cell>
          <cell r="Y97">
            <v>-446720.92</v>
          </cell>
          <cell r="AA97">
            <v>-446720.92</v>
          </cell>
          <cell r="AJ97">
            <v>-446393.65958333336</v>
          </cell>
          <cell r="AN97">
            <v>-446720.92</v>
          </cell>
          <cell r="AR97">
            <v>-446720.92</v>
          </cell>
          <cell r="AV97">
            <v>-449847.57875000004</v>
          </cell>
          <cell r="AZ97">
            <v>-474860.84874999995</v>
          </cell>
        </row>
        <row r="98">
          <cell r="Q98">
            <v>443838568.27999997</v>
          </cell>
          <cell r="S98">
            <v>58011193.450000003</v>
          </cell>
          <cell r="U98">
            <v>58093445.390000001</v>
          </cell>
          <cell r="V98">
            <v>58093445.390000001</v>
          </cell>
          <cell r="W98">
            <v>56218650.359999999</v>
          </cell>
          <cell r="Y98">
            <v>56218650.359999999</v>
          </cell>
          <cell r="AA98">
            <v>55982106.93</v>
          </cell>
          <cell r="AJ98">
            <v>308853960.92083335</v>
          </cell>
          <cell r="AN98">
            <v>235847422.48833334</v>
          </cell>
          <cell r="AR98">
            <v>161508387.23458335</v>
          </cell>
          <cell r="AV98">
            <v>104178300.27374999</v>
          </cell>
          <cell r="AZ98">
            <v>54352868.52791667</v>
          </cell>
        </row>
        <row r="99">
          <cell r="Q99">
            <v>0</v>
          </cell>
          <cell r="S99">
            <v>0</v>
          </cell>
          <cell r="U99">
            <v>0</v>
          </cell>
          <cell r="V99">
            <v>0</v>
          </cell>
          <cell r="W99">
            <v>0</v>
          </cell>
          <cell r="Y99">
            <v>0</v>
          </cell>
          <cell r="AA99">
            <v>0</v>
          </cell>
          <cell r="AJ99">
            <v>0</v>
          </cell>
          <cell r="AN99">
            <v>0</v>
          </cell>
          <cell r="AR99">
            <v>0</v>
          </cell>
          <cell r="AV99">
            <v>0</v>
          </cell>
          <cell r="AZ99">
            <v>0</v>
          </cell>
        </row>
        <row r="100">
          <cell r="Q100">
            <v>100000</v>
          </cell>
          <cell r="S100">
            <v>100000</v>
          </cell>
          <cell r="U100">
            <v>100000</v>
          </cell>
          <cell r="V100">
            <v>100000</v>
          </cell>
          <cell r="W100">
            <v>100000</v>
          </cell>
          <cell r="Y100">
            <v>100000</v>
          </cell>
          <cell r="AA100">
            <v>100000</v>
          </cell>
          <cell r="AJ100">
            <v>100000</v>
          </cell>
          <cell r="AN100">
            <v>100000</v>
          </cell>
          <cell r="AR100">
            <v>100000</v>
          </cell>
          <cell r="AV100">
            <v>100000</v>
          </cell>
          <cell r="AZ100">
            <v>100000</v>
          </cell>
        </row>
        <row r="101">
          <cell r="Q101">
            <v>61983052.93</v>
          </cell>
          <cell r="S101">
            <v>61983052.93</v>
          </cell>
          <cell r="U101">
            <v>61735413.329999998</v>
          </cell>
          <cell r="V101">
            <v>61735413.329999998</v>
          </cell>
          <cell r="W101">
            <v>63312723.689999998</v>
          </cell>
          <cell r="Y101">
            <v>63313188.240000002</v>
          </cell>
          <cell r="AA101">
            <v>64350130.060000002</v>
          </cell>
          <cell r="AJ101">
            <v>60353776.018333323</v>
          </cell>
          <cell r="AN101">
            <v>61360062.964166664</v>
          </cell>
          <cell r="AR101">
            <v>61922912.796666674</v>
          </cell>
          <cell r="AV101">
            <v>62998582.946249992</v>
          </cell>
          <cell r="AZ101">
            <v>64252836.651666671</v>
          </cell>
        </row>
        <row r="102">
          <cell r="Q102">
            <v>-100000</v>
          </cell>
          <cell r="S102">
            <v>-100000</v>
          </cell>
          <cell r="U102">
            <v>-100000</v>
          </cell>
          <cell r="V102">
            <v>-100000</v>
          </cell>
          <cell r="W102">
            <v>-100000</v>
          </cell>
          <cell r="Y102">
            <v>-100000</v>
          </cell>
          <cell r="AA102">
            <v>-100000</v>
          </cell>
          <cell r="AJ102">
            <v>-100000</v>
          </cell>
          <cell r="AN102">
            <v>-100000</v>
          </cell>
          <cell r="AR102">
            <v>-100000</v>
          </cell>
          <cell r="AV102">
            <v>-100000</v>
          </cell>
          <cell r="AZ102">
            <v>-100000</v>
          </cell>
        </row>
        <row r="103">
          <cell r="Q103">
            <v>-5515.47</v>
          </cell>
          <cell r="S103">
            <v>-5515.47</v>
          </cell>
          <cell r="U103">
            <v>-5515.47</v>
          </cell>
          <cell r="V103">
            <v>-5515.47</v>
          </cell>
          <cell r="W103">
            <v>-5515.47</v>
          </cell>
          <cell r="Y103">
            <v>-5515.47</v>
          </cell>
          <cell r="AA103">
            <v>-2041.19</v>
          </cell>
          <cell r="AJ103">
            <v>-5192.0266666666676</v>
          </cell>
          <cell r="AN103">
            <v>-5328.213333333334</v>
          </cell>
          <cell r="AR103">
            <v>-5464.4000000000005</v>
          </cell>
          <cell r="AV103">
            <v>-4791.6616666666678</v>
          </cell>
          <cell r="AZ103">
            <v>-3633.5683333333341</v>
          </cell>
        </row>
        <row r="104">
          <cell r="Q104">
            <v>0</v>
          </cell>
          <cell r="S104">
            <v>0</v>
          </cell>
          <cell r="U104">
            <v>0</v>
          </cell>
          <cell r="V104">
            <v>0</v>
          </cell>
          <cell r="W104">
            <v>0</v>
          </cell>
          <cell r="Y104">
            <v>0</v>
          </cell>
          <cell r="AA104">
            <v>0</v>
          </cell>
          <cell r="AJ104">
            <v>0</v>
          </cell>
          <cell r="AN104">
            <v>0</v>
          </cell>
          <cell r="AR104">
            <v>0</v>
          </cell>
          <cell r="AV104">
            <v>0</v>
          </cell>
          <cell r="AZ104">
            <v>0</v>
          </cell>
        </row>
        <row r="105">
          <cell r="Q105">
            <v>6324.69</v>
          </cell>
          <cell r="S105">
            <v>6324.69</v>
          </cell>
          <cell r="U105">
            <v>6848.69</v>
          </cell>
          <cell r="V105">
            <v>6848.69</v>
          </cell>
          <cell r="W105">
            <v>4796.6000000000004</v>
          </cell>
          <cell r="Y105">
            <v>4796.6000000000004</v>
          </cell>
          <cell r="AA105">
            <v>3668.33</v>
          </cell>
          <cell r="AJ105">
            <v>11385.790416666669</v>
          </cell>
          <cell r="AN105">
            <v>8591.4987500000007</v>
          </cell>
          <cell r="AR105">
            <v>6768.7900000000018</v>
          </cell>
          <cell r="AV105">
            <v>4970.4475000000002</v>
          </cell>
          <cell r="AZ105">
            <v>3944.6662499999998</v>
          </cell>
        </row>
        <row r="106">
          <cell r="Q106">
            <v>1072111.53</v>
          </cell>
          <cell r="S106">
            <v>1058021.77</v>
          </cell>
          <cell r="U106">
            <v>1047414.85</v>
          </cell>
          <cell r="V106">
            <v>995116.85</v>
          </cell>
          <cell r="W106">
            <v>989834.27</v>
          </cell>
          <cell r="Y106">
            <v>955202.46</v>
          </cell>
          <cell r="AA106">
            <v>972182.77</v>
          </cell>
          <cell r="AJ106">
            <v>1134157.6466666667</v>
          </cell>
          <cell r="AN106">
            <v>1076055.7125000001</v>
          </cell>
          <cell r="AR106">
            <v>1026075.2716666665</v>
          </cell>
          <cell r="AV106">
            <v>993473.85958333313</v>
          </cell>
          <cell r="AZ106">
            <v>953598.19125000003</v>
          </cell>
        </row>
        <row r="107">
          <cell r="Q107">
            <v>0</v>
          </cell>
          <cell r="S107">
            <v>0</v>
          </cell>
          <cell r="U107">
            <v>0</v>
          </cell>
          <cell r="V107">
            <v>0</v>
          </cell>
          <cell r="W107">
            <v>0</v>
          </cell>
          <cell r="Y107">
            <v>0</v>
          </cell>
          <cell r="AA107">
            <v>0</v>
          </cell>
          <cell r="AJ107">
            <v>0</v>
          </cell>
          <cell r="AN107">
            <v>0</v>
          </cell>
          <cell r="AR107">
            <v>0</v>
          </cell>
          <cell r="AV107">
            <v>0</v>
          </cell>
          <cell r="AZ107">
            <v>0</v>
          </cell>
        </row>
        <row r="108">
          <cell r="Q108">
            <v>3524603.19</v>
          </cell>
          <cell r="S108">
            <v>3403625.25</v>
          </cell>
          <cell r="U108">
            <v>3368316.7</v>
          </cell>
          <cell r="V108">
            <v>3310738.5</v>
          </cell>
          <cell r="W108">
            <v>3328488.78</v>
          </cell>
          <cell r="Y108">
            <v>3213332.38</v>
          </cell>
          <cell r="AA108">
            <v>3626882.37</v>
          </cell>
          <cell r="AJ108">
            <v>1368225.8395833333</v>
          </cell>
          <cell r="AN108">
            <v>2351068.0333333332</v>
          </cell>
          <cell r="AR108">
            <v>3300134.4370833333</v>
          </cell>
          <cell r="AV108">
            <v>3434754.5216666665</v>
          </cell>
          <cell r="AZ108">
            <v>3450180.0291666663</v>
          </cell>
        </row>
        <row r="109">
          <cell r="Q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Y109">
            <v>0</v>
          </cell>
          <cell r="AA109">
            <v>0</v>
          </cell>
          <cell r="AJ109">
            <v>0</v>
          </cell>
          <cell r="AN109">
            <v>0</v>
          </cell>
          <cell r="AR109">
            <v>0</v>
          </cell>
          <cell r="AV109">
            <v>0</v>
          </cell>
          <cell r="AZ109">
            <v>0</v>
          </cell>
        </row>
        <row r="110">
          <cell r="Q110">
            <v>0</v>
          </cell>
          <cell r="S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  <cell r="AA110">
            <v>0</v>
          </cell>
          <cell r="AJ110">
            <v>0</v>
          </cell>
          <cell r="AN110">
            <v>0</v>
          </cell>
          <cell r="AR110">
            <v>0</v>
          </cell>
          <cell r="AV110">
            <v>0</v>
          </cell>
          <cell r="AZ110">
            <v>0</v>
          </cell>
        </row>
        <row r="111">
          <cell r="Q111">
            <v>0</v>
          </cell>
          <cell r="S111">
            <v>0</v>
          </cell>
          <cell r="U111">
            <v>0</v>
          </cell>
          <cell r="V111">
            <v>0</v>
          </cell>
          <cell r="W111">
            <v>0</v>
          </cell>
          <cell r="Y111">
            <v>0</v>
          </cell>
          <cell r="AA111">
            <v>0</v>
          </cell>
          <cell r="AJ111">
            <v>0</v>
          </cell>
          <cell r="AN111">
            <v>0</v>
          </cell>
          <cell r="AR111">
            <v>0</v>
          </cell>
          <cell r="AV111">
            <v>0</v>
          </cell>
          <cell r="AZ111">
            <v>0</v>
          </cell>
        </row>
        <row r="112">
          <cell r="Q112">
            <v>0</v>
          </cell>
          <cell r="S112">
            <v>0</v>
          </cell>
          <cell r="U112">
            <v>0</v>
          </cell>
          <cell r="V112">
            <v>0</v>
          </cell>
          <cell r="W112">
            <v>0</v>
          </cell>
          <cell r="Y112">
            <v>0</v>
          </cell>
          <cell r="AA112">
            <v>0</v>
          </cell>
          <cell r="AJ112">
            <v>0</v>
          </cell>
          <cell r="AN112">
            <v>0</v>
          </cell>
          <cell r="AR112">
            <v>0</v>
          </cell>
          <cell r="AV112">
            <v>0</v>
          </cell>
          <cell r="AZ112">
            <v>0</v>
          </cell>
        </row>
        <row r="113">
          <cell r="Q113">
            <v>7556.66</v>
          </cell>
          <cell r="S113">
            <v>7556.66</v>
          </cell>
          <cell r="U113">
            <v>7556.66</v>
          </cell>
          <cell r="V113">
            <v>7556.66</v>
          </cell>
          <cell r="W113">
            <v>7556.66</v>
          </cell>
          <cell r="Y113">
            <v>7556.66</v>
          </cell>
          <cell r="AA113">
            <v>2041.19</v>
          </cell>
          <cell r="AJ113">
            <v>11599.630416666667</v>
          </cell>
          <cell r="AN113">
            <v>9897.3270833333354</v>
          </cell>
          <cell r="AR113">
            <v>8195.0237500000021</v>
          </cell>
          <cell r="AV113">
            <v>6407.603750000002</v>
          </cell>
          <cell r="AZ113">
            <v>4569.1137500000013</v>
          </cell>
        </row>
        <row r="114">
          <cell r="Q114">
            <v>0</v>
          </cell>
          <cell r="S114">
            <v>0</v>
          </cell>
          <cell r="U114">
            <v>0</v>
          </cell>
          <cell r="V114">
            <v>0</v>
          </cell>
          <cell r="W114">
            <v>0</v>
          </cell>
          <cell r="Y114">
            <v>0</v>
          </cell>
          <cell r="AA114">
            <v>0</v>
          </cell>
          <cell r="AJ114">
            <v>0</v>
          </cell>
          <cell r="AN114">
            <v>0</v>
          </cell>
          <cell r="AR114">
            <v>0</v>
          </cell>
          <cell r="AV114">
            <v>0</v>
          </cell>
          <cell r="AZ114">
            <v>0</v>
          </cell>
        </row>
        <row r="115">
          <cell r="Q115">
            <v>0</v>
          </cell>
          <cell r="S115">
            <v>0</v>
          </cell>
          <cell r="U115">
            <v>0</v>
          </cell>
          <cell r="V115">
            <v>0</v>
          </cell>
          <cell r="W115">
            <v>0</v>
          </cell>
          <cell r="Y115">
            <v>0</v>
          </cell>
          <cell r="AA115">
            <v>0</v>
          </cell>
          <cell r="AJ115">
            <v>0</v>
          </cell>
          <cell r="AN115">
            <v>0</v>
          </cell>
          <cell r="AR115">
            <v>0</v>
          </cell>
          <cell r="AV115">
            <v>0</v>
          </cell>
          <cell r="AZ115">
            <v>0</v>
          </cell>
        </row>
        <row r="116">
          <cell r="Q116">
            <v>0</v>
          </cell>
          <cell r="S116">
            <v>0</v>
          </cell>
          <cell r="U116">
            <v>0</v>
          </cell>
          <cell r="V116">
            <v>0</v>
          </cell>
          <cell r="W116">
            <v>0</v>
          </cell>
          <cell r="Y116">
            <v>0</v>
          </cell>
          <cell r="AA116">
            <v>0</v>
          </cell>
          <cell r="AJ116">
            <v>0</v>
          </cell>
          <cell r="AN116">
            <v>0</v>
          </cell>
          <cell r="AR116">
            <v>0</v>
          </cell>
          <cell r="AV116">
            <v>0</v>
          </cell>
          <cell r="AZ116">
            <v>0</v>
          </cell>
        </row>
        <row r="117">
          <cell r="Q117">
            <v>0</v>
          </cell>
          <cell r="S117">
            <v>0</v>
          </cell>
          <cell r="U117">
            <v>0</v>
          </cell>
          <cell r="V117">
            <v>0</v>
          </cell>
          <cell r="W117">
            <v>0</v>
          </cell>
          <cell r="Y117">
            <v>0</v>
          </cell>
          <cell r="AA117">
            <v>0</v>
          </cell>
          <cell r="AJ117">
            <v>120225729.49166666</v>
          </cell>
          <cell r="AN117">
            <v>75933203.93249999</v>
          </cell>
          <cell r="AR117">
            <v>34073843.134999998</v>
          </cell>
          <cell r="AV117">
            <v>0</v>
          </cell>
          <cell r="AZ117">
            <v>0</v>
          </cell>
        </row>
        <row r="118">
          <cell r="Q118">
            <v>0</v>
          </cell>
          <cell r="S118">
            <v>0</v>
          </cell>
          <cell r="U118">
            <v>0</v>
          </cell>
          <cell r="V118">
            <v>0</v>
          </cell>
          <cell r="W118">
            <v>0</v>
          </cell>
          <cell r="Y118">
            <v>0</v>
          </cell>
          <cell r="AA118">
            <v>0</v>
          </cell>
          <cell r="AJ118">
            <v>0</v>
          </cell>
          <cell r="AN118">
            <v>0</v>
          </cell>
          <cell r="AR118">
            <v>0</v>
          </cell>
          <cell r="AV118">
            <v>0</v>
          </cell>
          <cell r="AZ118">
            <v>0</v>
          </cell>
        </row>
        <row r="119">
          <cell r="Q119">
            <v>0</v>
          </cell>
          <cell r="S119">
            <v>0</v>
          </cell>
          <cell r="U119">
            <v>0</v>
          </cell>
          <cell r="V119">
            <v>0</v>
          </cell>
          <cell r="W119">
            <v>0</v>
          </cell>
          <cell r="Y119">
            <v>0</v>
          </cell>
          <cell r="AA119">
            <v>0</v>
          </cell>
          <cell r="AJ119">
            <v>0</v>
          </cell>
          <cell r="AN119">
            <v>0</v>
          </cell>
          <cell r="AR119">
            <v>0</v>
          </cell>
          <cell r="AV119">
            <v>0</v>
          </cell>
          <cell r="AZ119">
            <v>0</v>
          </cell>
        </row>
        <row r="120">
          <cell r="Q120">
            <v>0</v>
          </cell>
          <cell r="S120">
            <v>0</v>
          </cell>
          <cell r="U120">
            <v>0</v>
          </cell>
          <cell r="V120">
            <v>0</v>
          </cell>
          <cell r="W120">
            <v>0</v>
          </cell>
          <cell r="Y120">
            <v>0</v>
          </cell>
          <cell r="AA120">
            <v>0</v>
          </cell>
          <cell r="AJ120">
            <v>0</v>
          </cell>
          <cell r="AN120">
            <v>0</v>
          </cell>
          <cell r="AR120">
            <v>0</v>
          </cell>
          <cell r="AV120">
            <v>0</v>
          </cell>
          <cell r="AZ120">
            <v>0</v>
          </cell>
        </row>
        <row r="121">
          <cell r="Q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AA121">
            <v>0</v>
          </cell>
          <cell r="AJ121">
            <v>0</v>
          </cell>
          <cell r="AN121">
            <v>0</v>
          </cell>
          <cell r="AR121">
            <v>0</v>
          </cell>
          <cell r="AV121">
            <v>0</v>
          </cell>
          <cell r="AZ121">
            <v>0</v>
          </cell>
        </row>
        <row r="122">
          <cell r="Q122">
            <v>0</v>
          </cell>
          <cell r="S122">
            <v>0</v>
          </cell>
          <cell r="U122">
            <v>0</v>
          </cell>
          <cell r="V122">
            <v>0</v>
          </cell>
          <cell r="W122">
            <v>0</v>
          </cell>
          <cell r="Y122">
            <v>0</v>
          </cell>
          <cell r="AA122">
            <v>0</v>
          </cell>
          <cell r="AJ122">
            <v>0</v>
          </cell>
          <cell r="AN122">
            <v>0</v>
          </cell>
          <cell r="AR122">
            <v>0</v>
          </cell>
          <cell r="AV122">
            <v>0</v>
          </cell>
          <cell r="AZ122">
            <v>0</v>
          </cell>
        </row>
        <row r="123">
          <cell r="Q123">
            <v>0</v>
          </cell>
          <cell r="S123">
            <v>0</v>
          </cell>
          <cell r="U123">
            <v>0</v>
          </cell>
          <cell r="V123">
            <v>0</v>
          </cell>
          <cell r="W123">
            <v>0</v>
          </cell>
          <cell r="Y123">
            <v>0</v>
          </cell>
          <cell r="AA123">
            <v>0</v>
          </cell>
          <cell r="AJ123">
            <v>0</v>
          </cell>
          <cell r="AN123">
            <v>0</v>
          </cell>
          <cell r="AR123">
            <v>0</v>
          </cell>
          <cell r="AV123">
            <v>0</v>
          </cell>
          <cell r="AZ123">
            <v>0</v>
          </cell>
        </row>
        <row r="124">
          <cell r="Q124">
            <v>0</v>
          </cell>
          <cell r="S124">
            <v>0</v>
          </cell>
          <cell r="U124">
            <v>0</v>
          </cell>
          <cell r="V124">
            <v>0</v>
          </cell>
          <cell r="W124">
            <v>0</v>
          </cell>
          <cell r="Y124">
            <v>0</v>
          </cell>
          <cell r="AA124">
            <v>0</v>
          </cell>
          <cell r="AJ124">
            <v>0</v>
          </cell>
          <cell r="AN124">
            <v>0</v>
          </cell>
          <cell r="AR124">
            <v>0</v>
          </cell>
          <cell r="AV124">
            <v>0</v>
          </cell>
          <cell r="AZ124">
            <v>0</v>
          </cell>
        </row>
        <row r="125">
          <cell r="Q125">
            <v>30664.54</v>
          </cell>
          <cell r="S125">
            <v>33333.03</v>
          </cell>
          <cell r="U125">
            <v>35951.64</v>
          </cell>
          <cell r="V125">
            <v>45047.76</v>
          </cell>
          <cell r="W125">
            <v>59036.480000000003</v>
          </cell>
          <cell r="Y125">
            <v>139839.60999999999</v>
          </cell>
          <cell r="AA125">
            <v>149606.25</v>
          </cell>
          <cell r="AJ125">
            <v>202001.08624999996</v>
          </cell>
          <cell r="AN125">
            <v>158775.54041666668</v>
          </cell>
          <cell r="AR125">
            <v>117355.02</v>
          </cell>
          <cell r="AV125">
            <v>78901.60291666667</v>
          </cell>
          <cell r="AZ125">
            <v>73636.822500000024</v>
          </cell>
        </row>
        <row r="126">
          <cell r="Q126">
            <v>230200.63</v>
          </cell>
          <cell r="S126">
            <v>884028.37</v>
          </cell>
          <cell r="U126">
            <v>361987.33</v>
          </cell>
          <cell r="V126">
            <v>698611.46</v>
          </cell>
          <cell r="W126">
            <v>987145.77</v>
          </cell>
          <cell r="Y126">
            <v>1452299.59</v>
          </cell>
          <cell r="AA126">
            <v>679033.6</v>
          </cell>
          <cell r="AJ126">
            <v>952886.56541666656</v>
          </cell>
          <cell r="AN126">
            <v>737866.12250000006</v>
          </cell>
          <cell r="AR126">
            <v>798015.48083333333</v>
          </cell>
          <cell r="AV126">
            <v>911134.70000000007</v>
          </cell>
          <cell r="AZ126">
            <v>1048272.6566666666</v>
          </cell>
        </row>
        <row r="127">
          <cell r="Q127">
            <v>20430.099999999999</v>
          </cell>
          <cell r="S127">
            <v>7240.61</v>
          </cell>
          <cell r="U127">
            <v>17264.88</v>
          </cell>
          <cell r="V127">
            <v>16515.400000000001</v>
          </cell>
          <cell r="W127">
            <v>16155.03</v>
          </cell>
          <cell r="Y127">
            <v>16517.59</v>
          </cell>
          <cell r="AA127">
            <v>17024.05</v>
          </cell>
          <cell r="AJ127">
            <v>-204688.80416666667</v>
          </cell>
          <cell r="AN127">
            <v>15874.249999999998</v>
          </cell>
          <cell r="AR127">
            <v>16793.347916666669</v>
          </cell>
          <cell r="AV127">
            <v>15420.023333333333</v>
          </cell>
          <cell r="AZ127">
            <v>14101.696666666669</v>
          </cell>
        </row>
        <row r="128">
          <cell r="Q128">
            <v>0</v>
          </cell>
          <cell r="S128">
            <v>0</v>
          </cell>
          <cell r="U128">
            <v>0</v>
          </cell>
          <cell r="V128">
            <v>0</v>
          </cell>
          <cell r="W128">
            <v>0</v>
          </cell>
          <cell r="Y128">
            <v>0</v>
          </cell>
          <cell r="AA128">
            <v>0</v>
          </cell>
          <cell r="AJ128">
            <v>0</v>
          </cell>
          <cell r="AN128">
            <v>0</v>
          </cell>
          <cell r="AR128">
            <v>0</v>
          </cell>
          <cell r="AV128">
            <v>0</v>
          </cell>
          <cell r="AZ128">
            <v>0</v>
          </cell>
        </row>
        <row r="129">
          <cell r="Q129">
            <v>0</v>
          </cell>
          <cell r="S129">
            <v>0</v>
          </cell>
          <cell r="U129">
            <v>0</v>
          </cell>
          <cell r="V129">
            <v>0</v>
          </cell>
          <cell r="W129">
            <v>0</v>
          </cell>
          <cell r="Y129">
            <v>0</v>
          </cell>
          <cell r="AA129">
            <v>0</v>
          </cell>
          <cell r="AJ129">
            <v>0</v>
          </cell>
          <cell r="AN129">
            <v>0</v>
          </cell>
          <cell r="AR129">
            <v>0</v>
          </cell>
          <cell r="AV129">
            <v>0</v>
          </cell>
          <cell r="AZ129">
            <v>0</v>
          </cell>
        </row>
        <row r="130">
          <cell r="Q130">
            <v>0</v>
          </cell>
          <cell r="S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0</v>
          </cell>
          <cell r="AA130">
            <v>0</v>
          </cell>
          <cell r="AJ130">
            <v>1461381.803333333</v>
          </cell>
          <cell r="AN130">
            <v>730690.96</v>
          </cell>
          <cell r="AR130">
            <v>0</v>
          </cell>
          <cell r="AV130">
            <v>0</v>
          </cell>
          <cell r="AZ130">
            <v>0</v>
          </cell>
        </row>
        <row r="131">
          <cell r="Q131">
            <v>0</v>
          </cell>
          <cell r="S131">
            <v>0</v>
          </cell>
          <cell r="U131">
            <v>0</v>
          </cell>
          <cell r="V131">
            <v>0</v>
          </cell>
          <cell r="W131">
            <v>0</v>
          </cell>
          <cell r="Y131">
            <v>0</v>
          </cell>
          <cell r="AA131">
            <v>0</v>
          </cell>
          <cell r="AJ131">
            <v>0</v>
          </cell>
          <cell r="AN131">
            <v>0</v>
          </cell>
          <cell r="AR131">
            <v>0</v>
          </cell>
          <cell r="AV131">
            <v>0</v>
          </cell>
          <cell r="AZ131">
            <v>0</v>
          </cell>
        </row>
        <row r="132">
          <cell r="Q132">
            <v>8312521.1600000001</v>
          </cell>
          <cell r="S132">
            <v>12631775.25</v>
          </cell>
          <cell r="U132">
            <v>13076930.800000001</v>
          </cell>
          <cell r="V132">
            <v>9811604.6099999994</v>
          </cell>
          <cell r="W132">
            <v>9114943.5299999993</v>
          </cell>
          <cell r="Y132">
            <v>6039258.04</v>
          </cell>
          <cell r="AA132">
            <v>5624014.7000000002</v>
          </cell>
          <cell r="AJ132">
            <v>9409494.5216666646</v>
          </cell>
          <cell r="AN132">
            <v>9570336.072916666</v>
          </cell>
          <cell r="AR132">
            <v>9533781.6941666659</v>
          </cell>
          <cell r="AV132">
            <v>9705793.8816666678</v>
          </cell>
          <cell r="AZ132">
            <v>9150256.6491666678</v>
          </cell>
        </row>
        <row r="133">
          <cell r="Q133">
            <v>0</v>
          </cell>
          <cell r="S133">
            <v>-20867</v>
          </cell>
          <cell r="U133">
            <v>0</v>
          </cell>
          <cell r="V133">
            <v>0</v>
          </cell>
          <cell r="W133">
            <v>0</v>
          </cell>
          <cell r="Y133">
            <v>173094.36</v>
          </cell>
          <cell r="AA133">
            <v>-9722.91</v>
          </cell>
          <cell r="AJ133">
            <v>14997.707499999999</v>
          </cell>
          <cell r="AN133">
            <v>13258.797499999995</v>
          </cell>
          <cell r="AR133">
            <v>2587.6341666666631</v>
          </cell>
          <cell r="AV133">
            <v>43810.874166666668</v>
          </cell>
          <cell r="AZ133">
            <v>45571.427499999991</v>
          </cell>
        </row>
        <row r="134">
          <cell r="Q134">
            <v>1928011.44</v>
          </cell>
          <cell r="S134">
            <v>1623415.99</v>
          </cell>
          <cell r="U134">
            <v>2357686.73</v>
          </cell>
          <cell r="V134">
            <v>1622508.29</v>
          </cell>
          <cell r="W134">
            <v>2329383.0299999998</v>
          </cell>
          <cell r="Y134">
            <v>1485702.44</v>
          </cell>
          <cell r="AA134">
            <v>1724883.34</v>
          </cell>
          <cell r="AJ134">
            <v>1468474.4000000001</v>
          </cell>
          <cell r="AN134">
            <v>1867150.2333333336</v>
          </cell>
          <cell r="AR134">
            <v>1943524.0674999999</v>
          </cell>
          <cell r="AV134">
            <v>3012015.0383333326</v>
          </cell>
          <cell r="AZ134">
            <v>5386417.1408333341</v>
          </cell>
        </row>
        <row r="135">
          <cell r="Q135">
            <v>781337.92</v>
          </cell>
          <cell r="S135">
            <v>800320.63</v>
          </cell>
          <cell r="U135">
            <v>909674.57</v>
          </cell>
          <cell r="V135">
            <v>1225053.55</v>
          </cell>
          <cell r="W135">
            <v>-245933.44</v>
          </cell>
          <cell r="Y135">
            <v>595934.69999999995</v>
          </cell>
          <cell r="AA135">
            <v>379886.97</v>
          </cell>
          <cell r="AJ135">
            <v>843492.26541666652</v>
          </cell>
          <cell r="AN135">
            <v>809677.96458333312</v>
          </cell>
          <cell r="AR135">
            <v>774894.75583333336</v>
          </cell>
          <cell r="AV135">
            <v>680083.18791666662</v>
          </cell>
          <cell r="AZ135">
            <v>598616.45041666669</v>
          </cell>
        </row>
        <row r="136">
          <cell r="Q136">
            <v>0</v>
          </cell>
          <cell r="S136">
            <v>0</v>
          </cell>
          <cell r="U136">
            <v>0</v>
          </cell>
          <cell r="V136">
            <v>0</v>
          </cell>
          <cell r="W136">
            <v>0</v>
          </cell>
          <cell r="Y136">
            <v>0</v>
          </cell>
          <cell r="AA136">
            <v>0</v>
          </cell>
          <cell r="AJ136">
            <v>0</v>
          </cell>
          <cell r="AN136">
            <v>0</v>
          </cell>
          <cell r="AR136">
            <v>0</v>
          </cell>
          <cell r="AV136">
            <v>0</v>
          </cell>
          <cell r="AZ136">
            <v>0</v>
          </cell>
        </row>
        <row r="137">
          <cell r="Q137">
            <v>0</v>
          </cell>
          <cell r="S137">
            <v>0</v>
          </cell>
          <cell r="U137">
            <v>0</v>
          </cell>
          <cell r="V137">
            <v>0</v>
          </cell>
          <cell r="W137">
            <v>0</v>
          </cell>
          <cell r="Y137">
            <v>0</v>
          </cell>
          <cell r="AA137">
            <v>0</v>
          </cell>
          <cell r="AJ137">
            <v>0</v>
          </cell>
          <cell r="AN137">
            <v>0</v>
          </cell>
          <cell r="AR137">
            <v>0</v>
          </cell>
          <cell r="AV137">
            <v>0</v>
          </cell>
          <cell r="AZ137">
            <v>0</v>
          </cell>
        </row>
        <row r="138">
          <cell r="Q138">
            <v>54.1</v>
          </cell>
          <cell r="S138">
            <v>-40.96</v>
          </cell>
          <cell r="U138">
            <v>1588.57</v>
          </cell>
          <cell r="V138">
            <v>331.63</v>
          </cell>
          <cell r="W138">
            <v>4959.42</v>
          </cell>
          <cell r="Y138">
            <v>4320.7700000000004</v>
          </cell>
          <cell r="AA138">
            <v>0</v>
          </cell>
          <cell r="AJ138">
            <v>606.69541666666657</v>
          </cell>
          <cell r="AN138">
            <v>629.00625000000002</v>
          </cell>
          <cell r="AR138">
            <v>1034.6083333333333</v>
          </cell>
          <cell r="AV138">
            <v>1007.7533333333332</v>
          </cell>
          <cell r="AZ138">
            <v>922.32625000000007</v>
          </cell>
        </row>
        <row r="139">
          <cell r="Q139">
            <v>0</v>
          </cell>
          <cell r="S139">
            <v>0</v>
          </cell>
          <cell r="U139">
            <v>0</v>
          </cell>
          <cell r="V139">
            <v>0</v>
          </cell>
          <cell r="W139">
            <v>0</v>
          </cell>
          <cell r="Y139">
            <v>0</v>
          </cell>
          <cell r="AA139">
            <v>0</v>
          </cell>
          <cell r="AJ139">
            <v>45216.795000000006</v>
          </cell>
          <cell r="AN139">
            <v>45216.795000000006</v>
          </cell>
          <cell r="AR139">
            <v>10364.275833333333</v>
          </cell>
          <cell r="AV139">
            <v>0</v>
          </cell>
          <cell r="AZ139">
            <v>0</v>
          </cell>
        </row>
        <row r="140">
          <cell r="Q140">
            <v>12299.23</v>
          </cell>
          <cell r="S140">
            <v>399.5</v>
          </cell>
          <cell r="U140">
            <v>-3257.28</v>
          </cell>
          <cell r="V140">
            <v>7425.92</v>
          </cell>
          <cell r="W140">
            <v>-466.28</v>
          </cell>
          <cell r="Y140">
            <v>-194.56</v>
          </cell>
          <cell r="AA140">
            <v>3278.27</v>
          </cell>
          <cell r="AJ140">
            <v>-12450.414583333337</v>
          </cell>
          <cell r="AN140">
            <v>-18202.108333333334</v>
          </cell>
          <cell r="AR140">
            <v>-23183.015833333338</v>
          </cell>
          <cell r="AV140">
            <v>1615.7245833333334</v>
          </cell>
          <cell r="AZ140">
            <v>140.73666666666659</v>
          </cell>
        </row>
        <row r="141">
          <cell r="Q141">
            <v>3465.18</v>
          </cell>
          <cell r="S141">
            <v>-2234.25</v>
          </cell>
          <cell r="U141">
            <v>-4425.43</v>
          </cell>
          <cell r="V141">
            <v>-545.91999999999996</v>
          </cell>
          <cell r="W141">
            <v>-2817055.73</v>
          </cell>
          <cell r="Y141">
            <v>-4535.71</v>
          </cell>
          <cell r="AA141">
            <v>-294.02</v>
          </cell>
          <cell r="AJ141">
            <v>-8562.4</v>
          </cell>
          <cell r="AN141">
            <v>-6039.0912500000004</v>
          </cell>
          <cell r="AR141">
            <v>-238983.63791666666</v>
          </cell>
          <cell r="AV141">
            <v>-235657.41708333333</v>
          </cell>
          <cell r="AZ141">
            <v>-238930.35541666663</v>
          </cell>
        </row>
        <row r="142">
          <cell r="Q142">
            <v>0</v>
          </cell>
          <cell r="S142">
            <v>0</v>
          </cell>
          <cell r="U142">
            <v>0</v>
          </cell>
          <cell r="V142">
            <v>0</v>
          </cell>
          <cell r="W142">
            <v>0</v>
          </cell>
          <cell r="Y142">
            <v>0</v>
          </cell>
          <cell r="AA142">
            <v>0</v>
          </cell>
          <cell r="AJ142">
            <v>0</v>
          </cell>
          <cell r="AN142">
            <v>0</v>
          </cell>
          <cell r="AR142">
            <v>0</v>
          </cell>
          <cell r="AV142">
            <v>0</v>
          </cell>
          <cell r="AZ142">
            <v>0</v>
          </cell>
        </row>
        <row r="143">
          <cell r="Q143">
            <v>-7287084.5199999996</v>
          </cell>
          <cell r="S143">
            <v>-6412744.8399999999</v>
          </cell>
          <cell r="U143">
            <v>-33832390.560000002</v>
          </cell>
          <cell r="V143">
            <v>-15136569.130000001</v>
          </cell>
          <cell r="W143">
            <v>-4760648.8899999997</v>
          </cell>
          <cell r="Y143">
            <v>-4604507.87</v>
          </cell>
          <cell r="AA143">
            <v>-29125867.59</v>
          </cell>
          <cell r="AJ143">
            <v>-11010148.284999998</v>
          </cell>
          <cell r="AN143">
            <v>-10660073.790416667</v>
          </cell>
          <cell r="AR143">
            <v>-11304963.712083334</v>
          </cell>
          <cell r="AV143">
            <v>-13104490.772500001</v>
          </cell>
          <cell r="AZ143">
            <v>-14222877.63833333</v>
          </cell>
        </row>
        <row r="144">
          <cell r="Q144">
            <v>-850240.57</v>
          </cell>
          <cell r="S144">
            <v>-1055092.53</v>
          </cell>
          <cell r="U144">
            <v>-1080440.06</v>
          </cell>
          <cell r="V144">
            <v>-956440.7</v>
          </cell>
          <cell r="W144">
            <v>-1344553.14</v>
          </cell>
          <cell r="Y144">
            <v>-1153144.6200000001</v>
          </cell>
          <cell r="AA144">
            <v>-1064071.74</v>
          </cell>
          <cell r="AJ144">
            <v>-1170773.2141666666</v>
          </cell>
          <cell r="AN144">
            <v>-1107069.1054166667</v>
          </cell>
          <cell r="AR144">
            <v>-1044792.4254166667</v>
          </cell>
          <cell r="AV144">
            <v>-1079742.5174999998</v>
          </cell>
          <cell r="AZ144">
            <v>-1089779.3375000001</v>
          </cell>
        </row>
        <row r="145">
          <cell r="Q145">
            <v>0</v>
          </cell>
          <cell r="S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AA145">
            <v>0</v>
          </cell>
          <cell r="AJ145">
            <v>-103344.08166666667</v>
          </cell>
          <cell r="AN145">
            <v>-103344.08166666667</v>
          </cell>
          <cell r="AR145">
            <v>-105658.04166666667</v>
          </cell>
          <cell r="AV145">
            <v>-101634.3575</v>
          </cell>
          <cell r="AZ145">
            <v>-101566.02250000001</v>
          </cell>
        </row>
        <row r="146">
          <cell r="Q146">
            <v>664113.85</v>
          </cell>
          <cell r="S146">
            <v>1056858.71</v>
          </cell>
          <cell r="U146">
            <v>3131366.29</v>
          </cell>
          <cell r="V146">
            <v>14115946.25</v>
          </cell>
          <cell r="W146">
            <v>324636.11</v>
          </cell>
          <cell r="Y146">
            <v>0</v>
          </cell>
          <cell r="AA146">
            <v>0</v>
          </cell>
          <cell r="AJ146">
            <v>513238.63291666657</v>
          </cell>
          <cell r="AN146">
            <v>717093.50749999995</v>
          </cell>
          <cell r="AR146">
            <v>1901602.0383333331</v>
          </cell>
          <cell r="AV146">
            <v>1742047.70625</v>
          </cell>
          <cell r="AZ146">
            <v>1335319.2170833333</v>
          </cell>
        </row>
        <row r="147">
          <cell r="Q147">
            <v>178621.09</v>
          </cell>
          <cell r="S147">
            <v>323296.15999999997</v>
          </cell>
          <cell r="U147">
            <v>249000</v>
          </cell>
          <cell r="V147">
            <v>289805.52</v>
          </cell>
          <cell r="W147">
            <v>212891.99</v>
          </cell>
          <cell r="Y147">
            <v>491577.92</v>
          </cell>
          <cell r="AA147">
            <v>799.82</v>
          </cell>
          <cell r="AJ147">
            <v>15133.890416666667</v>
          </cell>
          <cell r="AN147">
            <v>112510.70124999998</v>
          </cell>
          <cell r="AR147">
            <v>210784.88499999998</v>
          </cell>
          <cell r="AV147">
            <v>216805.23958333328</v>
          </cell>
          <cell r="AZ147">
            <v>119408.84333333334</v>
          </cell>
        </row>
        <row r="148">
          <cell r="Q148">
            <v>32556.53</v>
          </cell>
          <cell r="S148">
            <v>-40252.53</v>
          </cell>
          <cell r="U148">
            <v>929.45</v>
          </cell>
          <cell r="V148">
            <v>15226.39</v>
          </cell>
          <cell r="W148">
            <v>21407.4</v>
          </cell>
          <cell r="Y148">
            <v>44237.9</v>
          </cell>
          <cell r="AA148">
            <v>30194.57</v>
          </cell>
          <cell r="AJ148">
            <v>31171.607083333336</v>
          </cell>
          <cell r="AN148">
            <v>21066.017083333336</v>
          </cell>
          <cell r="AR148">
            <v>19846.97625</v>
          </cell>
          <cell r="AV148">
            <v>18478.697916666668</v>
          </cell>
          <cell r="AZ148">
            <v>16166.213750000001</v>
          </cell>
        </row>
        <row r="149">
          <cell r="Y149">
            <v>0</v>
          </cell>
          <cell r="AA149">
            <v>595801.48</v>
          </cell>
          <cell r="AJ149">
            <v>0</v>
          </cell>
          <cell r="AN149">
            <v>0</v>
          </cell>
          <cell r="AR149">
            <v>0</v>
          </cell>
          <cell r="AV149">
            <v>185189.15625</v>
          </cell>
          <cell r="AZ149">
            <v>548986.52625</v>
          </cell>
        </row>
        <row r="150">
          <cell r="U150">
            <v>-2401720.16</v>
          </cell>
          <cell r="V150">
            <v>-13352828.77</v>
          </cell>
          <cell r="W150">
            <v>353882.56</v>
          </cell>
          <cell r="Y150">
            <v>317173.11</v>
          </cell>
          <cell r="AA150">
            <v>375188.24</v>
          </cell>
          <cell r="AJ150">
            <v>0</v>
          </cell>
          <cell r="AN150">
            <v>-100071.67333333334</v>
          </cell>
          <cell r="AR150">
            <v>-1239877.5862499999</v>
          </cell>
          <cell r="AV150">
            <v>-1100529.0545833334</v>
          </cell>
          <cell r="AZ150">
            <v>-778688.36458333337</v>
          </cell>
        </row>
        <row r="151">
          <cell r="U151">
            <v>0</v>
          </cell>
          <cell r="V151">
            <v>0</v>
          </cell>
          <cell r="W151">
            <v>0</v>
          </cell>
          <cell r="Y151">
            <v>0</v>
          </cell>
          <cell r="AA151">
            <v>0</v>
          </cell>
          <cell r="AJ151">
            <v>0</v>
          </cell>
          <cell r="AN151">
            <v>0</v>
          </cell>
          <cell r="AR151">
            <v>0</v>
          </cell>
          <cell r="AV151">
            <v>0</v>
          </cell>
          <cell r="AZ151">
            <v>0</v>
          </cell>
        </row>
        <row r="152">
          <cell r="Q152">
            <v>0</v>
          </cell>
          <cell r="S152">
            <v>0</v>
          </cell>
          <cell r="U152">
            <v>0</v>
          </cell>
          <cell r="V152">
            <v>0</v>
          </cell>
          <cell r="W152">
            <v>0</v>
          </cell>
          <cell r="Y152">
            <v>0</v>
          </cell>
          <cell r="AA152">
            <v>0</v>
          </cell>
          <cell r="AJ152">
            <v>0</v>
          </cell>
          <cell r="AN152">
            <v>0</v>
          </cell>
          <cell r="AR152">
            <v>0</v>
          </cell>
          <cell r="AV152">
            <v>0</v>
          </cell>
          <cell r="AZ152">
            <v>0</v>
          </cell>
        </row>
        <row r="153">
          <cell r="Q153">
            <v>0</v>
          </cell>
          <cell r="S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AA153">
            <v>0</v>
          </cell>
          <cell r="AJ153">
            <v>0</v>
          </cell>
          <cell r="AN153">
            <v>0</v>
          </cell>
          <cell r="AR153">
            <v>0</v>
          </cell>
          <cell r="AV153">
            <v>0</v>
          </cell>
          <cell r="AZ153">
            <v>0</v>
          </cell>
        </row>
        <row r="154">
          <cell r="Q154">
            <v>209156.53</v>
          </cell>
          <cell r="S154">
            <v>755998.95</v>
          </cell>
          <cell r="U154">
            <v>294420.3</v>
          </cell>
          <cell r="V154">
            <v>325503.94</v>
          </cell>
          <cell r="W154">
            <v>153188.81</v>
          </cell>
          <cell r="Y154">
            <v>213780.58</v>
          </cell>
          <cell r="AA154">
            <v>177914.57</v>
          </cell>
          <cell r="AJ154">
            <v>262728.11249999999</v>
          </cell>
          <cell r="AN154">
            <v>301305.4916666667</v>
          </cell>
          <cell r="AR154">
            <v>253894.90083333335</v>
          </cell>
          <cell r="AV154">
            <v>288173.96249999997</v>
          </cell>
          <cell r="AZ154">
            <v>271217.00291666668</v>
          </cell>
        </row>
        <row r="155">
          <cell r="Q155">
            <v>0</v>
          </cell>
          <cell r="S155">
            <v>0</v>
          </cell>
          <cell r="U155">
            <v>0</v>
          </cell>
          <cell r="V155">
            <v>0</v>
          </cell>
          <cell r="W155">
            <v>0</v>
          </cell>
          <cell r="Y155">
            <v>0</v>
          </cell>
          <cell r="AA155">
            <v>0</v>
          </cell>
          <cell r="AJ155">
            <v>0</v>
          </cell>
          <cell r="AN155">
            <v>0</v>
          </cell>
          <cell r="AR155">
            <v>0</v>
          </cell>
          <cell r="AV155">
            <v>0</v>
          </cell>
          <cell r="AZ155">
            <v>0</v>
          </cell>
        </row>
        <row r="156">
          <cell r="Q156">
            <v>0</v>
          </cell>
          <cell r="S156">
            <v>0</v>
          </cell>
          <cell r="U156">
            <v>0</v>
          </cell>
          <cell r="V156">
            <v>0</v>
          </cell>
          <cell r="W156">
            <v>0</v>
          </cell>
          <cell r="Y156">
            <v>0</v>
          </cell>
          <cell r="AA156">
            <v>0</v>
          </cell>
          <cell r="AJ156">
            <v>0</v>
          </cell>
          <cell r="AN156">
            <v>0</v>
          </cell>
          <cell r="AR156">
            <v>0</v>
          </cell>
          <cell r="AV156">
            <v>0</v>
          </cell>
          <cell r="AZ156">
            <v>0</v>
          </cell>
        </row>
        <row r="157">
          <cell r="Q157">
            <v>435367</v>
          </cell>
          <cell r="S157">
            <v>435367</v>
          </cell>
          <cell r="U157">
            <v>1551367</v>
          </cell>
          <cell r="V157">
            <v>1551367</v>
          </cell>
          <cell r="W157">
            <v>1551367</v>
          </cell>
          <cell r="Y157">
            <v>435367</v>
          </cell>
          <cell r="AA157">
            <v>435367</v>
          </cell>
          <cell r="AJ157">
            <v>414533.66666666669</v>
          </cell>
          <cell r="AN157">
            <v>574867</v>
          </cell>
          <cell r="AR157">
            <v>900367</v>
          </cell>
          <cell r="AV157">
            <v>900408.66666666663</v>
          </cell>
          <cell r="AZ157">
            <v>762492</v>
          </cell>
        </row>
        <row r="158">
          <cell r="Q158">
            <v>-435367</v>
          </cell>
          <cell r="S158">
            <v>-435367</v>
          </cell>
          <cell r="U158">
            <v>-1551367</v>
          </cell>
          <cell r="V158">
            <v>-1551367</v>
          </cell>
          <cell r="W158">
            <v>-1551367</v>
          </cell>
          <cell r="Y158">
            <v>-435367</v>
          </cell>
          <cell r="AA158">
            <v>-435367</v>
          </cell>
          <cell r="AJ158">
            <v>-414533.66666666669</v>
          </cell>
          <cell r="AN158">
            <v>-574867</v>
          </cell>
          <cell r="AR158">
            <v>-900367</v>
          </cell>
          <cell r="AV158">
            <v>-900408.66666666663</v>
          </cell>
          <cell r="AZ158">
            <v>-762492</v>
          </cell>
        </row>
        <row r="159">
          <cell r="Q159">
            <v>0</v>
          </cell>
          <cell r="S159">
            <v>0</v>
          </cell>
          <cell r="U159">
            <v>0</v>
          </cell>
          <cell r="V159">
            <v>0</v>
          </cell>
          <cell r="W159">
            <v>0</v>
          </cell>
          <cell r="Y159">
            <v>0</v>
          </cell>
          <cell r="AA159">
            <v>0</v>
          </cell>
          <cell r="AJ159">
            <v>144400</v>
          </cell>
          <cell r="AN159">
            <v>83600</v>
          </cell>
          <cell r="AR159">
            <v>22800</v>
          </cell>
          <cell r="AV159">
            <v>0</v>
          </cell>
          <cell r="AZ159">
            <v>0</v>
          </cell>
        </row>
        <row r="160">
          <cell r="Q160">
            <v>0</v>
          </cell>
          <cell r="S160">
            <v>0</v>
          </cell>
          <cell r="U160">
            <v>0</v>
          </cell>
          <cell r="V160">
            <v>0</v>
          </cell>
          <cell r="W160">
            <v>0</v>
          </cell>
          <cell r="Y160">
            <v>0</v>
          </cell>
          <cell r="AA160">
            <v>0</v>
          </cell>
          <cell r="AJ160">
            <v>0</v>
          </cell>
          <cell r="AN160">
            <v>0</v>
          </cell>
          <cell r="AR160">
            <v>0</v>
          </cell>
          <cell r="AV160">
            <v>0</v>
          </cell>
          <cell r="AZ160">
            <v>0</v>
          </cell>
        </row>
        <row r="161">
          <cell r="Q161">
            <v>8512</v>
          </cell>
          <cell r="S161">
            <v>8512</v>
          </cell>
          <cell r="U161">
            <v>0</v>
          </cell>
          <cell r="V161">
            <v>0</v>
          </cell>
          <cell r="W161">
            <v>0</v>
          </cell>
          <cell r="Y161">
            <v>0</v>
          </cell>
          <cell r="AA161">
            <v>0</v>
          </cell>
          <cell r="AJ161">
            <v>46012</v>
          </cell>
          <cell r="AN161">
            <v>24948</v>
          </cell>
          <cell r="AR161">
            <v>4610.666666666667</v>
          </cell>
          <cell r="AV161">
            <v>1773.3333333333333</v>
          </cell>
          <cell r="AZ161">
            <v>0</v>
          </cell>
        </row>
        <row r="162">
          <cell r="Q162">
            <v>0</v>
          </cell>
          <cell r="S162">
            <v>0</v>
          </cell>
          <cell r="U162">
            <v>0</v>
          </cell>
          <cell r="V162">
            <v>0</v>
          </cell>
          <cell r="W162">
            <v>0</v>
          </cell>
          <cell r="Y162">
            <v>0</v>
          </cell>
          <cell r="AA162">
            <v>0</v>
          </cell>
          <cell r="AJ162">
            <v>0</v>
          </cell>
          <cell r="AN162">
            <v>0</v>
          </cell>
          <cell r="AR162">
            <v>0</v>
          </cell>
          <cell r="AV162">
            <v>0</v>
          </cell>
          <cell r="AZ162">
            <v>0</v>
          </cell>
        </row>
        <row r="163">
          <cell r="Q163">
            <v>0</v>
          </cell>
          <cell r="S163">
            <v>0</v>
          </cell>
          <cell r="U163">
            <v>0</v>
          </cell>
          <cell r="V163">
            <v>0</v>
          </cell>
          <cell r="W163">
            <v>0</v>
          </cell>
          <cell r="Y163">
            <v>0</v>
          </cell>
          <cell r="AA163">
            <v>0</v>
          </cell>
          <cell r="AJ163">
            <v>36885.333333333336</v>
          </cell>
          <cell r="AN163">
            <v>14186.666666666666</v>
          </cell>
          <cell r="AR163">
            <v>0</v>
          </cell>
          <cell r="AV163">
            <v>0</v>
          </cell>
          <cell r="AZ163">
            <v>0</v>
          </cell>
        </row>
        <row r="164">
          <cell r="Q164">
            <v>4188093</v>
          </cell>
          <cell r="S164">
            <v>4196422.41</v>
          </cell>
          <cell r="U164">
            <v>3377938.23</v>
          </cell>
          <cell r="V164">
            <v>3346485.29</v>
          </cell>
          <cell r="W164">
            <v>3449840.06</v>
          </cell>
          <cell r="Y164">
            <v>3382260.03</v>
          </cell>
          <cell r="AA164">
            <v>3313529.66</v>
          </cell>
          <cell r="AJ164">
            <v>3709137.8849999998</v>
          </cell>
          <cell r="AN164">
            <v>3863908.3504166664</v>
          </cell>
          <cell r="AR164">
            <v>3797870.2512500007</v>
          </cell>
          <cell r="AV164">
            <v>3535145.8045833334</v>
          </cell>
          <cell r="AZ164">
            <v>2603277.4979166668</v>
          </cell>
        </row>
        <row r="165">
          <cell r="Q165">
            <v>0</v>
          </cell>
          <cell r="S165">
            <v>0</v>
          </cell>
          <cell r="U165">
            <v>0</v>
          </cell>
          <cell r="V165">
            <v>0</v>
          </cell>
          <cell r="W165">
            <v>0</v>
          </cell>
          <cell r="Y165">
            <v>0</v>
          </cell>
          <cell r="AA165">
            <v>0</v>
          </cell>
          <cell r="AJ165">
            <v>56066.666666666664</v>
          </cell>
          <cell r="AN165">
            <v>22750</v>
          </cell>
          <cell r="AR165">
            <v>416.66666666666669</v>
          </cell>
          <cell r="AV165">
            <v>0</v>
          </cell>
          <cell r="AZ165">
            <v>0</v>
          </cell>
        </row>
        <row r="166">
          <cell r="Q166">
            <v>0</v>
          </cell>
          <cell r="S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AA166">
            <v>0</v>
          </cell>
          <cell r="AJ166">
            <v>16578.022500000003</v>
          </cell>
          <cell r="AN166">
            <v>6376.1625000000013</v>
          </cell>
          <cell r="AR166">
            <v>0</v>
          </cell>
          <cell r="AV166">
            <v>0</v>
          </cell>
          <cell r="AZ166">
            <v>0</v>
          </cell>
        </row>
        <row r="167">
          <cell r="Q167">
            <v>0</v>
          </cell>
          <cell r="S167">
            <v>0</v>
          </cell>
          <cell r="U167">
            <v>0</v>
          </cell>
          <cell r="V167">
            <v>0</v>
          </cell>
          <cell r="W167">
            <v>0</v>
          </cell>
          <cell r="Y167">
            <v>0</v>
          </cell>
          <cell r="AA167">
            <v>0</v>
          </cell>
          <cell r="AJ167">
            <v>14166.666666666666</v>
          </cell>
          <cell r="AN167">
            <v>7500</v>
          </cell>
          <cell r="AR167">
            <v>833.33333333333337</v>
          </cell>
          <cell r="AV167">
            <v>0</v>
          </cell>
          <cell r="AZ167">
            <v>0</v>
          </cell>
        </row>
        <row r="168">
          <cell r="Q168">
            <v>0</v>
          </cell>
          <cell r="S168">
            <v>0</v>
          </cell>
          <cell r="U168">
            <v>0</v>
          </cell>
          <cell r="V168">
            <v>0</v>
          </cell>
          <cell r="W168">
            <v>0</v>
          </cell>
          <cell r="Y168">
            <v>0</v>
          </cell>
          <cell r="AA168">
            <v>0</v>
          </cell>
          <cell r="AJ168">
            <v>24710.798749999998</v>
          </cell>
          <cell r="AN168">
            <v>6739.3087500000001</v>
          </cell>
          <cell r="AR168">
            <v>0</v>
          </cell>
          <cell r="AV168">
            <v>0</v>
          </cell>
          <cell r="AZ168">
            <v>0</v>
          </cell>
        </row>
        <row r="169">
          <cell r="Q169">
            <v>298949</v>
          </cell>
          <cell r="S169">
            <v>298949</v>
          </cell>
          <cell r="U169">
            <v>263903</v>
          </cell>
          <cell r="V169">
            <v>263903</v>
          </cell>
          <cell r="W169">
            <v>263903</v>
          </cell>
          <cell r="Y169">
            <v>263903</v>
          </cell>
          <cell r="AA169">
            <v>263903</v>
          </cell>
          <cell r="AJ169">
            <v>151196.45833333334</v>
          </cell>
          <cell r="AN169">
            <v>241671.79166666666</v>
          </cell>
          <cell r="AR169">
            <v>282886.25</v>
          </cell>
          <cell r="AV169">
            <v>242335.54416666666</v>
          </cell>
          <cell r="AZ169">
            <v>150399.96083333335</v>
          </cell>
        </row>
        <row r="170">
          <cell r="W170">
            <v>150447.59</v>
          </cell>
          <cell r="Y170">
            <v>120499.06</v>
          </cell>
          <cell r="AA170">
            <v>64245.63</v>
          </cell>
          <cell r="AJ170">
            <v>0</v>
          </cell>
          <cell r="AN170">
            <v>0</v>
          </cell>
          <cell r="AR170">
            <v>27599.478333333333</v>
          </cell>
          <cell r="AV170">
            <v>51270.756249999999</v>
          </cell>
          <cell r="AZ170">
            <v>71988.489166666681</v>
          </cell>
        </row>
        <row r="171">
          <cell r="Q171">
            <v>778800</v>
          </cell>
          <cell r="S171">
            <v>778800</v>
          </cell>
          <cell r="U171">
            <v>454300</v>
          </cell>
          <cell r="V171">
            <v>454300</v>
          </cell>
          <cell r="W171">
            <v>519200</v>
          </cell>
          <cell r="Y171">
            <v>778800</v>
          </cell>
          <cell r="AA171">
            <v>803800</v>
          </cell>
          <cell r="AJ171">
            <v>778800</v>
          </cell>
          <cell r="AN171">
            <v>738237.5</v>
          </cell>
          <cell r="AR171">
            <v>676041.66666666663</v>
          </cell>
          <cell r="AV171">
            <v>683333.33333333337</v>
          </cell>
          <cell r="AZ171">
            <v>729525</v>
          </cell>
        </row>
        <row r="172">
          <cell r="Q172">
            <v>92000</v>
          </cell>
          <cell r="S172">
            <v>92000</v>
          </cell>
          <cell r="U172">
            <v>92000</v>
          </cell>
          <cell r="V172">
            <v>0</v>
          </cell>
          <cell r="W172">
            <v>0</v>
          </cell>
          <cell r="Y172">
            <v>0</v>
          </cell>
          <cell r="AA172">
            <v>0</v>
          </cell>
          <cell r="AJ172">
            <v>88166.666666666672</v>
          </cell>
          <cell r="AN172">
            <v>92000</v>
          </cell>
          <cell r="AR172">
            <v>65166.666666666664</v>
          </cell>
          <cell r="AV172">
            <v>34500</v>
          </cell>
          <cell r="AZ172">
            <v>3833.3333333333335</v>
          </cell>
        </row>
        <row r="173">
          <cell r="Q173">
            <v>12243257.460000001</v>
          </cell>
          <cell r="S173">
            <v>12243257.460000001</v>
          </cell>
          <cell r="U173">
            <v>10447371.48</v>
          </cell>
          <cell r="V173">
            <v>10447371.48</v>
          </cell>
          <cell r="W173">
            <v>10447371.48</v>
          </cell>
          <cell r="Y173">
            <v>12671951.91</v>
          </cell>
          <cell r="AA173">
            <v>12671951.91</v>
          </cell>
          <cell r="AJ173">
            <v>6626958.8850000007</v>
          </cell>
          <cell r="AN173">
            <v>10483946.122500001</v>
          </cell>
          <cell r="AR173">
            <v>11512897.991250003</v>
          </cell>
          <cell r="AV173">
            <v>11656119.21875</v>
          </cell>
          <cell r="AZ173">
            <v>12023115.95125</v>
          </cell>
        </row>
        <row r="174">
          <cell r="Q174">
            <v>389400</v>
          </cell>
          <cell r="S174">
            <v>389400</v>
          </cell>
          <cell r="U174">
            <v>389400</v>
          </cell>
          <cell r="V174">
            <v>389400</v>
          </cell>
          <cell r="W174">
            <v>0</v>
          </cell>
          <cell r="Y174">
            <v>0</v>
          </cell>
          <cell r="AA174">
            <v>0</v>
          </cell>
          <cell r="AJ174">
            <v>113575</v>
          </cell>
          <cell r="AN174">
            <v>243375</v>
          </cell>
          <cell r="AR174">
            <v>292050</v>
          </cell>
          <cell r="AV174">
            <v>178475</v>
          </cell>
          <cell r="AZ174">
            <v>48675</v>
          </cell>
        </row>
        <row r="175">
          <cell r="Q175">
            <v>80000</v>
          </cell>
          <cell r="S175">
            <v>80000</v>
          </cell>
          <cell r="U175">
            <v>80000</v>
          </cell>
          <cell r="V175">
            <v>80000</v>
          </cell>
          <cell r="W175">
            <v>80000</v>
          </cell>
          <cell r="Y175">
            <v>80000</v>
          </cell>
          <cell r="AA175">
            <v>80000</v>
          </cell>
          <cell r="AJ175">
            <v>3333.3333333333335</v>
          </cell>
          <cell r="AN175">
            <v>30000</v>
          </cell>
          <cell r="AR175">
            <v>56666.666666666664</v>
          </cell>
          <cell r="AV175">
            <v>80000</v>
          </cell>
          <cell r="AZ175">
            <v>80000</v>
          </cell>
        </row>
        <row r="176">
          <cell r="S176">
            <v>10000</v>
          </cell>
          <cell r="U176">
            <v>25576</v>
          </cell>
          <cell r="V176">
            <v>25576</v>
          </cell>
          <cell r="W176">
            <v>25576</v>
          </cell>
          <cell r="Y176">
            <v>25576</v>
          </cell>
          <cell r="AA176">
            <v>25576</v>
          </cell>
          <cell r="AJ176">
            <v>0</v>
          </cell>
          <cell r="AN176">
            <v>4863.666666666667</v>
          </cell>
          <cell r="AR176">
            <v>13389</v>
          </cell>
          <cell r="AV176">
            <v>22539.333333333332</v>
          </cell>
          <cell r="AZ176">
            <v>31284.333333333332</v>
          </cell>
        </row>
        <row r="177">
          <cell r="U177">
            <v>10000</v>
          </cell>
          <cell r="V177">
            <v>10000</v>
          </cell>
          <cell r="W177">
            <v>10000</v>
          </cell>
          <cell r="Y177">
            <v>10000</v>
          </cell>
          <cell r="AA177">
            <v>10000</v>
          </cell>
          <cell r="AJ177">
            <v>0</v>
          </cell>
          <cell r="AN177">
            <v>1250</v>
          </cell>
          <cell r="AR177">
            <v>4583.333333333333</v>
          </cell>
          <cell r="AV177">
            <v>7916.666666666667</v>
          </cell>
          <cell r="AZ177">
            <v>10000</v>
          </cell>
        </row>
        <row r="178">
          <cell r="AR178">
            <v>0</v>
          </cell>
          <cell r="AV178">
            <v>0</v>
          </cell>
          <cell r="AZ178">
            <v>0</v>
          </cell>
        </row>
        <row r="179">
          <cell r="AV179">
            <v>0</v>
          </cell>
          <cell r="AZ179">
            <v>0</v>
          </cell>
        </row>
        <row r="180">
          <cell r="AR180">
            <v>0</v>
          </cell>
          <cell r="AV180">
            <v>87756.628749999989</v>
          </cell>
          <cell r="AZ180">
            <v>757866.4733333335</v>
          </cell>
        </row>
        <row r="181">
          <cell r="AV181">
            <v>0</v>
          </cell>
          <cell r="AZ181">
            <v>11262.558750000002</v>
          </cell>
        </row>
        <row r="182">
          <cell r="Q182">
            <v>98033.49</v>
          </cell>
          <cell r="S182">
            <v>96188.07</v>
          </cell>
          <cell r="U182">
            <v>96233.49</v>
          </cell>
          <cell r="V182">
            <v>96233.49</v>
          </cell>
          <cell r="W182">
            <v>96149.97</v>
          </cell>
          <cell r="Y182">
            <v>96224.97</v>
          </cell>
          <cell r="AA182">
            <v>98224.97</v>
          </cell>
          <cell r="AJ182">
            <v>90119.322916666672</v>
          </cell>
          <cell r="AN182">
            <v>93782.76416666666</v>
          </cell>
          <cell r="AR182">
            <v>96097.13916666666</v>
          </cell>
          <cell r="AV182">
            <v>96883.423333333325</v>
          </cell>
          <cell r="AZ182">
            <v>97784.368333333332</v>
          </cell>
        </row>
        <row r="183">
          <cell r="Q183">
            <v>346489.93</v>
          </cell>
          <cell r="S183">
            <v>330101.58</v>
          </cell>
          <cell r="U183">
            <v>221663.86</v>
          </cell>
          <cell r="V183">
            <v>262270.98</v>
          </cell>
          <cell r="W183">
            <v>231254.16</v>
          </cell>
          <cell r="Y183">
            <v>722182.22</v>
          </cell>
          <cell r="AA183">
            <v>235696.12</v>
          </cell>
          <cell r="AJ183">
            <v>312605.22124999989</v>
          </cell>
          <cell r="AN183">
            <v>324547.78416666662</v>
          </cell>
          <cell r="AR183">
            <v>319776.02250000002</v>
          </cell>
          <cell r="AV183">
            <v>368859.61166666663</v>
          </cell>
          <cell r="AZ183">
            <v>358085.30791666661</v>
          </cell>
        </row>
        <row r="184">
          <cell r="Q184">
            <v>73353</v>
          </cell>
          <cell r="S184">
            <v>73353</v>
          </cell>
          <cell r="U184">
            <v>73353</v>
          </cell>
          <cell r="V184">
            <v>73353</v>
          </cell>
          <cell r="W184">
            <v>73353</v>
          </cell>
          <cell r="Y184">
            <v>73353</v>
          </cell>
          <cell r="AA184">
            <v>73353</v>
          </cell>
          <cell r="AJ184">
            <v>73353</v>
          </cell>
          <cell r="AN184">
            <v>73353</v>
          </cell>
          <cell r="AR184">
            <v>73353</v>
          </cell>
          <cell r="AV184">
            <v>73353</v>
          </cell>
          <cell r="AZ184">
            <v>73353</v>
          </cell>
        </row>
        <row r="185">
          <cell r="Q185">
            <v>1484090</v>
          </cell>
          <cell r="S185">
            <v>1575687</v>
          </cell>
          <cell r="U185">
            <v>1575687</v>
          </cell>
          <cell r="V185">
            <v>1575687</v>
          </cell>
          <cell r="W185">
            <v>1575687</v>
          </cell>
          <cell r="Y185">
            <v>1575687</v>
          </cell>
          <cell r="AA185">
            <v>1575687</v>
          </cell>
          <cell r="AJ185">
            <v>1437481</v>
          </cell>
          <cell r="AN185">
            <v>1510805.7916666667</v>
          </cell>
          <cell r="AR185">
            <v>1541338.125</v>
          </cell>
          <cell r="AV185">
            <v>1571870.4583333333</v>
          </cell>
          <cell r="AZ185">
            <v>1448839.125</v>
          </cell>
        </row>
        <row r="186">
          <cell r="Q186">
            <v>784970</v>
          </cell>
          <cell r="S186">
            <v>1166064</v>
          </cell>
          <cell r="U186">
            <v>1166064</v>
          </cell>
          <cell r="V186">
            <v>1166064</v>
          </cell>
          <cell r="W186">
            <v>1166064</v>
          </cell>
          <cell r="Y186">
            <v>1166064</v>
          </cell>
          <cell r="AA186">
            <v>1166064</v>
          </cell>
          <cell r="AJ186">
            <v>797965.25</v>
          </cell>
          <cell r="AN186">
            <v>896122.41666666663</v>
          </cell>
          <cell r="AR186">
            <v>1023153.75</v>
          </cell>
          <cell r="AV186">
            <v>1150185.0833333333</v>
          </cell>
          <cell r="AZ186">
            <v>1126420.0833333333</v>
          </cell>
        </row>
        <row r="187">
          <cell r="Q187">
            <v>0</v>
          </cell>
          <cell r="S187">
            <v>0</v>
          </cell>
          <cell r="U187">
            <v>0</v>
          </cell>
          <cell r="V187">
            <v>0</v>
          </cell>
          <cell r="W187">
            <v>0</v>
          </cell>
          <cell r="Y187">
            <v>0</v>
          </cell>
          <cell r="AA187">
            <v>0</v>
          </cell>
          <cell r="AJ187">
            <v>0</v>
          </cell>
          <cell r="AN187">
            <v>0</v>
          </cell>
          <cell r="AR187">
            <v>0</v>
          </cell>
          <cell r="AV187">
            <v>0</v>
          </cell>
          <cell r="AZ187">
            <v>0</v>
          </cell>
        </row>
        <row r="188">
          <cell r="Q188">
            <v>0</v>
          </cell>
          <cell r="S188">
            <v>0</v>
          </cell>
          <cell r="U188">
            <v>0</v>
          </cell>
          <cell r="V188">
            <v>0</v>
          </cell>
          <cell r="W188">
            <v>0</v>
          </cell>
          <cell r="Y188">
            <v>0</v>
          </cell>
          <cell r="AA188">
            <v>0</v>
          </cell>
          <cell r="AJ188">
            <v>11.090000000000002</v>
          </cell>
          <cell r="AN188">
            <v>10.165833333333333</v>
          </cell>
          <cell r="AR188">
            <v>2.7724999999999995</v>
          </cell>
          <cell r="AV188">
            <v>0</v>
          </cell>
          <cell r="AZ188">
            <v>0</v>
          </cell>
        </row>
        <row r="189">
          <cell r="Q189">
            <v>0</v>
          </cell>
          <cell r="S189">
            <v>0</v>
          </cell>
          <cell r="U189">
            <v>0</v>
          </cell>
          <cell r="V189">
            <v>0</v>
          </cell>
          <cell r="W189">
            <v>0</v>
          </cell>
          <cell r="Y189">
            <v>0</v>
          </cell>
          <cell r="AA189">
            <v>0</v>
          </cell>
          <cell r="AJ189">
            <v>0</v>
          </cell>
          <cell r="AN189">
            <v>0</v>
          </cell>
          <cell r="AR189">
            <v>0</v>
          </cell>
          <cell r="AV189">
            <v>0</v>
          </cell>
          <cell r="AZ189">
            <v>0</v>
          </cell>
        </row>
        <row r="190">
          <cell r="Q190">
            <v>53028.05</v>
          </cell>
          <cell r="S190">
            <v>44239.08</v>
          </cell>
          <cell r="U190">
            <v>13002.93</v>
          </cell>
          <cell r="V190">
            <v>37075.040000000001</v>
          </cell>
          <cell r="W190">
            <v>8692.23</v>
          </cell>
          <cell r="Y190">
            <v>73807</v>
          </cell>
          <cell r="AA190">
            <v>36306.81</v>
          </cell>
          <cell r="AJ190">
            <v>50063.098333333335</v>
          </cell>
          <cell r="AN190">
            <v>42226.935000000005</v>
          </cell>
          <cell r="AR190">
            <v>34135.66375</v>
          </cell>
          <cell r="AV190">
            <v>36680.810833333329</v>
          </cell>
          <cell r="AZ190">
            <v>20820.789583333328</v>
          </cell>
        </row>
        <row r="191">
          <cell r="Q191">
            <v>0</v>
          </cell>
          <cell r="S191">
            <v>0</v>
          </cell>
          <cell r="U191">
            <v>0</v>
          </cell>
          <cell r="V191">
            <v>0</v>
          </cell>
          <cell r="W191">
            <v>0</v>
          </cell>
          <cell r="Y191">
            <v>0</v>
          </cell>
          <cell r="AA191">
            <v>0</v>
          </cell>
          <cell r="AJ191">
            <v>0</v>
          </cell>
          <cell r="AN191">
            <v>0</v>
          </cell>
          <cell r="AR191">
            <v>0</v>
          </cell>
          <cell r="AV191">
            <v>0</v>
          </cell>
          <cell r="AZ191">
            <v>0</v>
          </cell>
        </row>
        <row r="192">
          <cell r="Q192">
            <v>0</v>
          </cell>
          <cell r="S192">
            <v>0</v>
          </cell>
          <cell r="U192">
            <v>0</v>
          </cell>
          <cell r="V192">
            <v>0</v>
          </cell>
          <cell r="W192">
            <v>0</v>
          </cell>
          <cell r="Y192">
            <v>0</v>
          </cell>
          <cell r="AA192">
            <v>0</v>
          </cell>
          <cell r="AJ192">
            <v>0</v>
          </cell>
          <cell r="AN192">
            <v>0</v>
          </cell>
          <cell r="AR192">
            <v>0</v>
          </cell>
          <cell r="AV192">
            <v>0</v>
          </cell>
          <cell r="AZ192">
            <v>0</v>
          </cell>
        </row>
        <row r="193">
          <cell r="Q193">
            <v>1000</v>
          </cell>
          <cell r="S193">
            <v>1000</v>
          </cell>
          <cell r="U193">
            <v>1000</v>
          </cell>
          <cell r="V193">
            <v>1000</v>
          </cell>
          <cell r="W193">
            <v>1000</v>
          </cell>
          <cell r="Y193">
            <v>1000</v>
          </cell>
          <cell r="AA193">
            <v>1000</v>
          </cell>
          <cell r="AJ193">
            <v>6313.0083333333314</v>
          </cell>
          <cell r="AN193">
            <v>4844.3483333333334</v>
          </cell>
          <cell r="AR193">
            <v>3032.3179166666669</v>
          </cell>
          <cell r="AV193">
            <v>1000</v>
          </cell>
          <cell r="AZ193">
            <v>1000</v>
          </cell>
        </row>
        <row r="194">
          <cell r="Q194">
            <v>0</v>
          </cell>
          <cell r="S194">
            <v>0</v>
          </cell>
          <cell r="U194">
            <v>0</v>
          </cell>
          <cell r="V194">
            <v>0</v>
          </cell>
          <cell r="W194">
            <v>0</v>
          </cell>
          <cell r="Y194">
            <v>0</v>
          </cell>
          <cell r="AA194">
            <v>0</v>
          </cell>
          <cell r="AJ194">
            <v>0</v>
          </cell>
          <cell r="AN194">
            <v>0</v>
          </cell>
          <cell r="AR194">
            <v>0</v>
          </cell>
          <cell r="AV194">
            <v>0</v>
          </cell>
          <cell r="AZ194">
            <v>0</v>
          </cell>
        </row>
        <row r="195">
          <cell r="Q195">
            <v>0</v>
          </cell>
          <cell r="S195">
            <v>0</v>
          </cell>
          <cell r="U195">
            <v>0</v>
          </cell>
          <cell r="V195">
            <v>0</v>
          </cell>
          <cell r="W195">
            <v>0</v>
          </cell>
          <cell r="Y195">
            <v>0</v>
          </cell>
          <cell r="AA195">
            <v>0</v>
          </cell>
          <cell r="AJ195">
            <v>2050000</v>
          </cell>
          <cell r="AN195">
            <v>0</v>
          </cell>
          <cell r="AR195">
            <v>0</v>
          </cell>
          <cell r="AV195">
            <v>0</v>
          </cell>
          <cell r="AZ195">
            <v>0</v>
          </cell>
        </row>
        <row r="196">
          <cell r="Q196">
            <v>13900000</v>
          </cell>
          <cell r="S196">
            <v>87002086.969999999</v>
          </cell>
          <cell r="U196">
            <v>26152086.969999999</v>
          </cell>
          <cell r="V196">
            <v>47450000</v>
          </cell>
          <cell r="W196">
            <v>9550000</v>
          </cell>
          <cell r="Y196">
            <v>50850000</v>
          </cell>
          <cell r="AA196">
            <v>31750000</v>
          </cell>
          <cell r="AJ196">
            <v>40102558.949166663</v>
          </cell>
          <cell r="AN196">
            <v>59645039.935833335</v>
          </cell>
          <cell r="AR196">
            <v>74272491.94250001</v>
          </cell>
          <cell r="AV196">
            <v>59136188.419166662</v>
          </cell>
          <cell r="AZ196">
            <v>43371565.149583332</v>
          </cell>
        </row>
        <row r="197">
          <cell r="Q197">
            <v>0</v>
          </cell>
          <cell r="S197">
            <v>0</v>
          </cell>
          <cell r="U197">
            <v>0</v>
          </cell>
          <cell r="V197">
            <v>0</v>
          </cell>
          <cell r="W197">
            <v>0</v>
          </cell>
          <cell r="Y197">
            <v>0</v>
          </cell>
          <cell r="AA197">
            <v>0</v>
          </cell>
          <cell r="AJ197">
            <v>0</v>
          </cell>
          <cell r="AN197">
            <v>0</v>
          </cell>
          <cell r="AR197">
            <v>0</v>
          </cell>
          <cell r="AV197">
            <v>0</v>
          </cell>
          <cell r="AZ197">
            <v>0</v>
          </cell>
        </row>
        <row r="198">
          <cell r="Q198">
            <v>6012976.7699999996</v>
          </cell>
          <cell r="S198">
            <v>7295748.79</v>
          </cell>
          <cell r="U198">
            <v>8443594.3900000006</v>
          </cell>
          <cell r="V198">
            <v>8448808.7799999993</v>
          </cell>
          <cell r="W198">
            <v>8452607.9700000007</v>
          </cell>
          <cell r="Y198">
            <v>8966862.4700000007</v>
          </cell>
          <cell r="AA198">
            <v>30318765.350000001</v>
          </cell>
          <cell r="AJ198">
            <v>4223241.9079166669</v>
          </cell>
          <cell r="AN198">
            <v>5663981.6462499993</v>
          </cell>
          <cell r="AR198">
            <v>7153723.1437499998</v>
          </cell>
          <cell r="AV198">
            <v>14326111.75</v>
          </cell>
          <cell r="AZ198">
            <v>25767672.355416667</v>
          </cell>
        </row>
        <row r="199">
          <cell r="Q199">
            <v>0</v>
          </cell>
          <cell r="S199">
            <v>0</v>
          </cell>
          <cell r="U199">
            <v>0</v>
          </cell>
          <cell r="V199">
            <v>0</v>
          </cell>
          <cell r="W199">
            <v>0</v>
          </cell>
          <cell r="Y199">
            <v>0</v>
          </cell>
          <cell r="AA199">
            <v>0</v>
          </cell>
          <cell r="AJ199">
            <v>217206.93666666668</v>
          </cell>
          <cell r="AN199">
            <v>217206.93666666668</v>
          </cell>
          <cell r="AR199">
            <v>0</v>
          </cell>
          <cell r="AV199">
            <v>0</v>
          </cell>
          <cell r="AZ199">
            <v>0</v>
          </cell>
        </row>
        <row r="200">
          <cell r="U200">
            <v>658810.86</v>
          </cell>
          <cell r="V200">
            <v>659217.71</v>
          </cell>
          <cell r="W200">
            <v>685640.93</v>
          </cell>
          <cell r="Y200">
            <v>707523.76</v>
          </cell>
          <cell r="AA200">
            <v>718884.56</v>
          </cell>
          <cell r="AJ200">
            <v>0</v>
          </cell>
          <cell r="AN200">
            <v>60444.619166666664</v>
          </cell>
          <cell r="AR200">
            <v>288390.2558333333</v>
          </cell>
          <cell r="AV200">
            <v>532643.91958333331</v>
          </cell>
          <cell r="AZ200">
            <v>727838.02708333347</v>
          </cell>
        </row>
        <row r="201">
          <cell r="Q201">
            <v>5515.47</v>
          </cell>
          <cell r="S201">
            <v>5515.47</v>
          </cell>
          <cell r="U201">
            <v>5515.47</v>
          </cell>
          <cell r="V201">
            <v>5515.47</v>
          </cell>
          <cell r="W201">
            <v>5515.47</v>
          </cell>
          <cell r="Y201">
            <v>5515.47</v>
          </cell>
          <cell r="AA201">
            <v>2041.19</v>
          </cell>
          <cell r="AJ201">
            <v>5192.0266666666676</v>
          </cell>
          <cell r="AN201">
            <v>5328.213333333334</v>
          </cell>
          <cell r="AR201">
            <v>5464.4000000000005</v>
          </cell>
          <cell r="AV201">
            <v>4791.6616666666678</v>
          </cell>
          <cell r="AZ201">
            <v>3633.5683333333341</v>
          </cell>
        </row>
        <row r="202">
          <cell r="Q202">
            <v>4851095.6399999997</v>
          </cell>
          <cell r="S202">
            <v>4634754.1399999997</v>
          </cell>
          <cell r="U202">
            <v>4580016.54</v>
          </cell>
          <cell r="V202">
            <v>5277905.72</v>
          </cell>
          <cell r="W202">
            <v>6016147.0499999998</v>
          </cell>
          <cell r="Y202">
            <v>5917619.3700000001</v>
          </cell>
          <cell r="AA202">
            <v>4832959.9800000004</v>
          </cell>
          <cell r="AJ202">
            <v>3767168.8483333327</v>
          </cell>
          <cell r="AN202">
            <v>4032379.7320833341</v>
          </cell>
          <cell r="AR202">
            <v>4620363.8254166665</v>
          </cell>
          <cell r="AV202">
            <v>4810628.3479166664</v>
          </cell>
          <cell r="AZ202">
            <v>3948559.0829166663</v>
          </cell>
        </row>
        <row r="203">
          <cell r="Y203">
            <v>0</v>
          </cell>
          <cell r="AA203">
            <v>89050.03</v>
          </cell>
          <cell r="AR203">
            <v>0</v>
          </cell>
          <cell r="AV203">
            <v>267695.26708333334</v>
          </cell>
          <cell r="AZ203">
            <v>959420.99916666665</v>
          </cell>
        </row>
        <row r="204">
          <cell r="Q204">
            <v>-107377.05</v>
          </cell>
          <cell r="S204">
            <v>-304644.78000000003</v>
          </cell>
          <cell r="U204">
            <v>-7968.72</v>
          </cell>
          <cell r="V204">
            <v>-139470.79999999999</v>
          </cell>
          <cell r="W204">
            <v>-285702.51</v>
          </cell>
          <cell r="Y204">
            <v>-234369.52</v>
          </cell>
          <cell r="AA204">
            <v>-162163.57</v>
          </cell>
          <cell r="AJ204">
            <v>-268399.13708333339</v>
          </cell>
          <cell r="AN204">
            <v>-148385.07041666668</v>
          </cell>
          <cell r="AR204">
            <v>-234932.35708333331</v>
          </cell>
          <cell r="AV204">
            <v>-305740.80833333329</v>
          </cell>
          <cell r="AZ204">
            <v>-470030.17791666667</v>
          </cell>
        </row>
        <row r="205">
          <cell r="Q205">
            <v>386226211.69</v>
          </cell>
          <cell r="S205">
            <v>0</v>
          </cell>
          <cell r="U205">
            <v>0</v>
          </cell>
          <cell r="V205">
            <v>0</v>
          </cell>
          <cell r="W205">
            <v>0</v>
          </cell>
          <cell r="Y205">
            <v>0</v>
          </cell>
          <cell r="AA205">
            <v>0</v>
          </cell>
          <cell r="AJ205">
            <v>250490984.67208329</v>
          </cell>
          <cell r="AN205">
            <v>178095664.70750001</v>
          </cell>
          <cell r="AR205">
            <v>104668913.47916669</v>
          </cell>
          <cell r="AV205">
            <v>47362005.417916663</v>
          </cell>
          <cell r="AZ205">
            <v>0</v>
          </cell>
        </row>
        <row r="206">
          <cell r="Q206">
            <v>166320274.00999999</v>
          </cell>
          <cell r="S206">
            <v>186569926.05000001</v>
          </cell>
          <cell r="U206">
            <v>157786641.61000001</v>
          </cell>
          <cell r="V206">
            <v>152507407.09999999</v>
          </cell>
          <cell r="W206">
            <v>137096880.41999999</v>
          </cell>
          <cell r="Y206">
            <v>127828448.23</v>
          </cell>
          <cell r="AA206">
            <v>125906062.7</v>
          </cell>
          <cell r="AJ206">
            <v>139621041.26583335</v>
          </cell>
          <cell r="AN206">
            <v>143694071.98708335</v>
          </cell>
          <cell r="AR206">
            <v>147619867.58166668</v>
          </cell>
          <cell r="AV206">
            <v>150932191.18958333</v>
          </cell>
          <cell r="AZ206">
            <v>147274695.86708334</v>
          </cell>
        </row>
        <row r="207">
          <cell r="Q207">
            <v>0</v>
          </cell>
          <cell r="S207">
            <v>0</v>
          </cell>
          <cell r="U207">
            <v>0</v>
          </cell>
          <cell r="V207">
            <v>0</v>
          </cell>
          <cell r="W207">
            <v>0</v>
          </cell>
          <cell r="Y207">
            <v>0</v>
          </cell>
          <cell r="AA207">
            <v>0</v>
          </cell>
          <cell r="AJ207">
            <v>0</v>
          </cell>
          <cell r="AN207">
            <v>0</v>
          </cell>
          <cell r="AR207">
            <v>0</v>
          </cell>
          <cell r="AV207">
            <v>0</v>
          </cell>
          <cell r="AZ207">
            <v>0</v>
          </cell>
        </row>
        <row r="208">
          <cell r="Q208">
            <v>158000000</v>
          </cell>
          <cell r="S208">
            <v>0</v>
          </cell>
          <cell r="U208">
            <v>0</v>
          </cell>
          <cell r="V208">
            <v>0</v>
          </cell>
          <cell r="W208">
            <v>0</v>
          </cell>
          <cell r="Y208">
            <v>0</v>
          </cell>
          <cell r="AA208">
            <v>0</v>
          </cell>
          <cell r="AJ208">
            <v>123750000</v>
          </cell>
          <cell r="AN208">
            <v>107750000</v>
          </cell>
          <cell r="AR208">
            <v>80291666.666666672</v>
          </cell>
          <cell r="AV208">
            <v>22250000</v>
          </cell>
          <cell r="AZ208">
            <v>0</v>
          </cell>
        </row>
        <row r="209">
          <cell r="Q209">
            <v>0</v>
          </cell>
          <cell r="S209">
            <v>0</v>
          </cell>
          <cell r="U209">
            <v>0</v>
          </cell>
          <cell r="V209">
            <v>0</v>
          </cell>
          <cell r="W209">
            <v>0</v>
          </cell>
          <cell r="Y209">
            <v>0</v>
          </cell>
          <cell r="AA209">
            <v>0</v>
          </cell>
          <cell r="AJ209">
            <v>0</v>
          </cell>
          <cell r="AN209">
            <v>0</v>
          </cell>
          <cell r="AR209">
            <v>0</v>
          </cell>
          <cell r="AV209">
            <v>0</v>
          </cell>
          <cell r="AZ209">
            <v>0</v>
          </cell>
        </row>
        <row r="210">
          <cell r="Q210">
            <v>0</v>
          </cell>
          <cell r="S210">
            <v>0</v>
          </cell>
          <cell r="U210">
            <v>0</v>
          </cell>
          <cell r="V210">
            <v>0</v>
          </cell>
          <cell r="W210">
            <v>0</v>
          </cell>
          <cell r="Y210">
            <v>0</v>
          </cell>
          <cell r="AA210">
            <v>0</v>
          </cell>
          <cell r="AJ210">
            <v>0</v>
          </cell>
          <cell r="AN210">
            <v>0</v>
          </cell>
          <cell r="AR210">
            <v>0</v>
          </cell>
          <cell r="AV210">
            <v>0</v>
          </cell>
          <cell r="AZ210">
            <v>0</v>
          </cell>
        </row>
        <row r="211">
          <cell r="Q211">
            <v>134267420.27000001</v>
          </cell>
          <cell r="S211">
            <v>165549425.03</v>
          </cell>
          <cell r="U211">
            <v>121683149.48999999</v>
          </cell>
          <cell r="V211">
            <v>98638657.170000002</v>
          </cell>
          <cell r="W211">
            <v>67191192.010000005</v>
          </cell>
          <cell r="Y211">
            <v>49224535.039999999</v>
          </cell>
          <cell r="AA211">
            <v>59026536.799999997</v>
          </cell>
          <cell r="AJ211">
            <v>86260314.594999999</v>
          </cell>
          <cell r="AN211">
            <v>96143460.341666654</v>
          </cell>
          <cell r="AR211">
            <v>98981271.509583309</v>
          </cell>
          <cell r="AV211">
            <v>98675322.170000002</v>
          </cell>
          <cell r="AZ211">
            <v>83040242.816249996</v>
          </cell>
        </row>
        <row r="212">
          <cell r="Q212">
            <v>-166320274.00999999</v>
          </cell>
          <cell r="S212">
            <v>0</v>
          </cell>
          <cell r="U212">
            <v>0</v>
          </cell>
          <cell r="V212">
            <v>0</v>
          </cell>
          <cell r="W212">
            <v>0</v>
          </cell>
          <cell r="Y212">
            <v>0</v>
          </cell>
          <cell r="AA212">
            <v>0</v>
          </cell>
          <cell r="AJ212">
            <v>-139621041.26583335</v>
          </cell>
          <cell r="AN212">
            <v>-106862321.32666667</v>
          </cell>
          <cell r="AR212">
            <v>-64235018.263749994</v>
          </cell>
          <cell r="AV212">
            <v>-21918495.841249999</v>
          </cell>
          <cell r="AZ212">
            <v>0</v>
          </cell>
        </row>
        <row r="213">
          <cell r="Q213">
            <v>-134267420.27000001</v>
          </cell>
          <cell r="S213">
            <v>0</v>
          </cell>
          <cell r="U213">
            <v>0</v>
          </cell>
          <cell r="V213">
            <v>0</v>
          </cell>
          <cell r="W213">
            <v>0</v>
          </cell>
          <cell r="Y213">
            <v>0</v>
          </cell>
          <cell r="AA213">
            <v>0</v>
          </cell>
          <cell r="AJ213">
            <v>-86260314.594999999</v>
          </cell>
          <cell r="AN213">
            <v>-65011535.308750004</v>
          </cell>
          <cell r="AR213">
            <v>-42376954.452916667</v>
          </cell>
          <cell r="AV213">
            <v>-19105290.937916666</v>
          </cell>
          <cell r="AZ213">
            <v>0</v>
          </cell>
        </row>
        <row r="214">
          <cell r="Q214">
            <v>0</v>
          </cell>
          <cell r="S214">
            <v>0</v>
          </cell>
          <cell r="U214">
            <v>0</v>
          </cell>
          <cell r="V214">
            <v>0</v>
          </cell>
          <cell r="W214">
            <v>0</v>
          </cell>
          <cell r="Y214">
            <v>0</v>
          </cell>
          <cell r="AA214">
            <v>0</v>
          </cell>
          <cell r="AJ214">
            <v>0</v>
          </cell>
          <cell r="AN214">
            <v>0</v>
          </cell>
          <cell r="AR214">
            <v>0</v>
          </cell>
          <cell r="AV214">
            <v>0</v>
          </cell>
          <cell r="AZ214">
            <v>0</v>
          </cell>
        </row>
        <row r="215">
          <cell r="Q215">
            <v>0</v>
          </cell>
          <cell r="S215">
            <v>0</v>
          </cell>
          <cell r="U215">
            <v>0</v>
          </cell>
          <cell r="V215">
            <v>0</v>
          </cell>
          <cell r="W215">
            <v>0</v>
          </cell>
          <cell r="Y215">
            <v>0</v>
          </cell>
          <cell r="AA215">
            <v>0</v>
          </cell>
          <cell r="AJ215">
            <v>0</v>
          </cell>
          <cell r="AN215">
            <v>0</v>
          </cell>
          <cell r="AR215">
            <v>0</v>
          </cell>
          <cell r="AV215">
            <v>0</v>
          </cell>
          <cell r="AZ215">
            <v>0</v>
          </cell>
        </row>
        <row r="216">
          <cell r="Q216">
            <v>49801.93</v>
          </cell>
          <cell r="S216">
            <v>0</v>
          </cell>
          <cell r="U216">
            <v>0</v>
          </cell>
          <cell r="V216">
            <v>0</v>
          </cell>
          <cell r="W216">
            <v>0</v>
          </cell>
          <cell r="Y216">
            <v>0</v>
          </cell>
          <cell r="AA216">
            <v>0</v>
          </cell>
          <cell r="AJ216">
            <v>258688.60041666668</v>
          </cell>
          <cell r="AN216">
            <v>141007.02041666667</v>
          </cell>
          <cell r="AR216">
            <v>68452.681250000009</v>
          </cell>
          <cell r="AV216">
            <v>5956.2095833333333</v>
          </cell>
          <cell r="AZ216">
            <v>0</v>
          </cell>
        </row>
        <row r="217">
          <cell r="Q217">
            <v>41451.39</v>
          </cell>
          <cell r="S217">
            <v>0</v>
          </cell>
          <cell r="U217">
            <v>0</v>
          </cell>
          <cell r="V217">
            <v>0</v>
          </cell>
          <cell r="W217">
            <v>0</v>
          </cell>
          <cell r="Y217">
            <v>0</v>
          </cell>
          <cell r="AA217">
            <v>0</v>
          </cell>
          <cell r="AJ217">
            <v>151594.01874999999</v>
          </cell>
          <cell r="AN217">
            <v>67302.818750000006</v>
          </cell>
          <cell r="AR217">
            <v>33789.790833333333</v>
          </cell>
          <cell r="AV217">
            <v>5124.1295833333334</v>
          </cell>
          <cell r="AZ217">
            <v>0</v>
          </cell>
        </row>
        <row r="218">
          <cell r="Q218">
            <v>-29676330.690000001</v>
          </cell>
          <cell r="S218">
            <v>-15467526.199999999</v>
          </cell>
          <cell r="U218">
            <v>-10860383.77</v>
          </cell>
          <cell r="V218">
            <v>-10884644.390000001</v>
          </cell>
          <cell r="W218">
            <v>-12508174.630000001</v>
          </cell>
          <cell r="Y218">
            <v>-22376729.449999999</v>
          </cell>
          <cell r="AA218">
            <v>-30743020.34</v>
          </cell>
          <cell r="AJ218">
            <v>-22823878.729166668</v>
          </cell>
          <cell r="AN218">
            <v>-22845877.77666666</v>
          </cell>
          <cell r="AR218">
            <v>-21369832.92625</v>
          </cell>
          <cell r="AV218">
            <v>-19839948.910416666</v>
          </cell>
          <cell r="AZ218">
            <v>-20450198.31625</v>
          </cell>
        </row>
        <row r="219">
          <cell r="Q219">
            <v>4930.66</v>
          </cell>
          <cell r="S219">
            <v>4934.88</v>
          </cell>
          <cell r="U219">
            <v>6350.72</v>
          </cell>
          <cell r="V219">
            <v>5486.54</v>
          </cell>
          <cell r="W219">
            <v>5504.87</v>
          </cell>
          <cell r="Y219">
            <v>5543.81</v>
          </cell>
          <cell r="AA219">
            <v>7238.24</v>
          </cell>
          <cell r="AJ219">
            <v>2652.19</v>
          </cell>
          <cell r="AN219">
            <v>4953.0254166666673</v>
          </cell>
          <cell r="AR219">
            <v>5217.702916666668</v>
          </cell>
          <cell r="AV219">
            <v>5788.7624999999998</v>
          </cell>
          <cell r="AZ219">
            <v>5985.1095833333338</v>
          </cell>
        </row>
        <row r="220">
          <cell r="Q220">
            <v>0</v>
          </cell>
          <cell r="S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AA220">
            <v>0</v>
          </cell>
          <cell r="AJ220">
            <v>0</v>
          </cell>
          <cell r="AN220">
            <v>0</v>
          </cell>
          <cell r="AR220">
            <v>0</v>
          </cell>
          <cell r="AV220">
            <v>0</v>
          </cell>
          <cell r="AZ220">
            <v>0</v>
          </cell>
        </row>
        <row r="221">
          <cell r="Q221">
            <v>5322325.9400000004</v>
          </cell>
          <cell r="S221">
            <v>3445569.28</v>
          </cell>
          <cell r="U221">
            <v>10243276.140000001</v>
          </cell>
          <cell r="V221">
            <v>6056939.3300000001</v>
          </cell>
          <cell r="W221">
            <v>7831199.25</v>
          </cell>
          <cell r="Y221">
            <v>13908651.93</v>
          </cell>
          <cell r="AA221">
            <v>13452489.34</v>
          </cell>
          <cell r="AJ221">
            <v>20705709.036666665</v>
          </cell>
          <cell r="AN221">
            <v>15828821.287916666</v>
          </cell>
          <cell r="AR221">
            <v>10585119.274583332</v>
          </cell>
          <cell r="AV221">
            <v>8402950.9983333331</v>
          </cell>
          <cell r="AZ221">
            <v>11750986.701666668</v>
          </cell>
        </row>
        <row r="222">
          <cell r="Q222">
            <v>7515.95</v>
          </cell>
          <cell r="S222">
            <v>6246.99</v>
          </cell>
          <cell r="U222">
            <v>5997.99</v>
          </cell>
          <cell r="V222">
            <v>5914.82</v>
          </cell>
          <cell r="W222">
            <v>5258.76</v>
          </cell>
          <cell r="Y222">
            <v>4780.16</v>
          </cell>
          <cell r="AA222">
            <v>4115.62</v>
          </cell>
          <cell r="AJ222">
            <v>10352.30625</v>
          </cell>
          <cell r="AN222">
            <v>8510.8337499999998</v>
          </cell>
          <cell r="AR222">
            <v>6721.4724999999999</v>
          </cell>
          <cell r="AV222">
            <v>5386.78</v>
          </cell>
          <cell r="AZ222">
            <v>4086.2758333333336</v>
          </cell>
        </row>
        <row r="223">
          <cell r="Q223">
            <v>269248.39</v>
          </cell>
          <cell r="S223">
            <v>168408.06</v>
          </cell>
          <cell r="U223">
            <v>188362.69</v>
          </cell>
          <cell r="V223">
            <v>-84927.88</v>
          </cell>
          <cell r="W223">
            <v>80690.38</v>
          </cell>
          <cell r="Y223">
            <v>257341.75</v>
          </cell>
          <cell r="AA223">
            <v>-170753.24</v>
          </cell>
          <cell r="AJ223">
            <v>1944939.7883333333</v>
          </cell>
          <cell r="AN223">
            <v>1101409.2654166666</v>
          </cell>
          <cell r="AR223">
            <v>525075.91083333327</v>
          </cell>
          <cell r="AV223">
            <v>83468.554583333331</v>
          </cell>
          <cell r="AZ223">
            <v>71469.733749999999</v>
          </cell>
        </row>
        <row r="224">
          <cell r="Q224">
            <v>253.24</v>
          </cell>
          <cell r="S224">
            <v>107.63</v>
          </cell>
          <cell r="U224">
            <v>12.93</v>
          </cell>
          <cell r="V224">
            <v>292.89</v>
          </cell>
          <cell r="W224">
            <v>192.36</v>
          </cell>
          <cell r="Y224">
            <v>34.86</v>
          </cell>
          <cell r="AA224">
            <v>143.76</v>
          </cell>
          <cell r="AJ224">
            <v>10.551666666666668</v>
          </cell>
          <cell r="AN224">
            <v>40.853749999999998</v>
          </cell>
          <cell r="AR224">
            <v>86.558333333333337</v>
          </cell>
          <cell r="AV224">
            <v>121.41374999999999</v>
          </cell>
          <cell r="AZ224">
            <v>113.17583333333334</v>
          </cell>
        </row>
        <row r="225">
          <cell r="Q225">
            <v>269248.24</v>
          </cell>
          <cell r="S225">
            <v>168408.01</v>
          </cell>
          <cell r="U225">
            <v>188362.55</v>
          </cell>
          <cell r="V225">
            <v>-84927.96</v>
          </cell>
          <cell r="W225">
            <v>0</v>
          </cell>
          <cell r="Y225">
            <v>141981.41</v>
          </cell>
          <cell r="AA225">
            <v>-170749.78</v>
          </cell>
          <cell r="AJ225">
            <v>1900493.6087499999</v>
          </cell>
          <cell r="AN225">
            <v>1066526.4783333333</v>
          </cell>
          <cell r="AR225">
            <v>494160.4629166667</v>
          </cell>
          <cell r="AV225">
            <v>47473.707499999997</v>
          </cell>
          <cell r="AZ225">
            <v>47859.174583333333</v>
          </cell>
        </row>
        <row r="226">
          <cell r="Q226">
            <v>6108.26</v>
          </cell>
          <cell r="S226">
            <v>2596.71</v>
          </cell>
          <cell r="U226">
            <v>682.41</v>
          </cell>
          <cell r="V226">
            <v>7064.42</v>
          </cell>
          <cell r="W226">
            <v>735.57</v>
          </cell>
          <cell r="Y226">
            <v>1058.74</v>
          </cell>
          <cell r="AA226">
            <v>3470.31</v>
          </cell>
          <cell r="AJ226">
            <v>254.51083333333335</v>
          </cell>
          <cell r="AN226">
            <v>1422.1220833333336</v>
          </cell>
          <cell r="AR226">
            <v>2223.8608333333336</v>
          </cell>
          <cell r="AV226">
            <v>2648.8600000000006</v>
          </cell>
          <cell r="AZ226">
            <v>1887.0874999999996</v>
          </cell>
        </row>
        <row r="227">
          <cell r="Q227">
            <v>11489.07</v>
          </cell>
          <cell r="S227">
            <v>8782.75</v>
          </cell>
          <cell r="U227">
            <v>6414.6</v>
          </cell>
          <cell r="V227">
            <v>6398.49</v>
          </cell>
          <cell r="W227">
            <v>5789.66</v>
          </cell>
          <cell r="Y227">
            <v>5221.3599999999997</v>
          </cell>
          <cell r="AA227">
            <v>4664.92</v>
          </cell>
          <cell r="AJ227">
            <v>18161.405416666665</v>
          </cell>
          <cell r="AN227">
            <v>13069.290416666665</v>
          </cell>
          <cell r="AR227">
            <v>9187.6395833333354</v>
          </cell>
          <cell r="AV227">
            <v>6582.2941666666657</v>
          </cell>
          <cell r="AZ227">
            <v>4667.2733333333335</v>
          </cell>
        </row>
        <row r="228">
          <cell r="Q228">
            <v>13568589.970000001</v>
          </cell>
          <cell r="S228">
            <v>11190475.630000001</v>
          </cell>
          <cell r="U228">
            <v>4817333.8099999996</v>
          </cell>
          <cell r="V228">
            <v>4546711.99</v>
          </cell>
          <cell r="W228">
            <v>5612300.04</v>
          </cell>
          <cell r="Y228">
            <v>20206291.809999999</v>
          </cell>
          <cell r="AA228">
            <v>24274665.600000001</v>
          </cell>
          <cell r="AJ228">
            <v>16586751.038333334</v>
          </cell>
          <cell r="AN228">
            <v>13746988.115833333</v>
          </cell>
          <cell r="AR228">
            <v>10216822.969583333</v>
          </cell>
          <cell r="AV228">
            <v>13705351.387916664</v>
          </cell>
          <cell r="AZ228">
            <v>16414516.409166666</v>
          </cell>
        </row>
        <row r="229">
          <cell r="Q229">
            <v>425000</v>
          </cell>
          <cell r="S229">
            <v>325000</v>
          </cell>
          <cell r="U229">
            <v>225000</v>
          </cell>
          <cell r="V229">
            <v>175000</v>
          </cell>
          <cell r="W229">
            <v>125000</v>
          </cell>
          <cell r="Y229">
            <v>25000</v>
          </cell>
          <cell r="AA229">
            <v>0</v>
          </cell>
          <cell r="AJ229">
            <v>305208.33333333331</v>
          </cell>
          <cell r="AN229">
            <v>413541.66666666669</v>
          </cell>
          <cell r="AR229">
            <v>325000</v>
          </cell>
          <cell r="AV229">
            <v>151041.66666666666</v>
          </cell>
          <cell r="AZ229">
            <v>42708.333333333336</v>
          </cell>
        </row>
        <row r="230">
          <cell r="Q230">
            <v>601846.14</v>
          </cell>
          <cell r="S230">
            <v>1710484.36</v>
          </cell>
          <cell r="U230">
            <v>1101954.08</v>
          </cell>
          <cell r="V230">
            <v>1263489.77</v>
          </cell>
          <cell r="W230">
            <v>509727.61</v>
          </cell>
          <cell r="Y230">
            <v>394763.07</v>
          </cell>
          <cell r="AA230">
            <v>602396.47</v>
          </cell>
          <cell r="AJ230">
            <v>981279.95499999996</v>
          </cell>
          <cell r="AN230">
            <v>1046326.465</v>
          </cell>
          <cell r="AR230">
            <v>866781.22291666677</v>
          </cell>
          <cell r="AV230">
            <v>747895.42333333322</v>
          </cell>
          <cell r="AZ230">
            <v>543451.22375</v>
          </cell>
        </row>
        <row r="231">
          <cell r="Q231">
            <v>18576725</v>
          </cell>
          <cell r="S231">
            <v>26792037</v>
          </cell>
          <cell r="U231">
            <v>21791523</v>
          </cell>
          <cell r="V231">
            <v>18612469.640000001</v>
          </cell>
          <cell r="W231">
            <v>5668702.6399999997</v>
          </cell>
          <cell r="Y231">
            <v>6023554</v>
          </cell>
          <cell r="AA231">
            <v>11243582</v>
          </cell>
          <cell r="AJ231">
            <v>7082010.041666667</v>
          </cell>
          <cell r="AN231">
            <v>10579080.541666666</v>
          </cell>
          <cell r="AR231">
            <v>14037335.189999998</v>
          </cell>
          <cell r="AV231">
            <v>14925871.023333333</v>
          </cell>
          <cell r="AZ231">
            <v>12073910.023333333</v>
          </cell>
        </row>
        <row r="232">
          <cell r="Q232">
            <v>0</v>
          </cell>
          <cell r="S232">
            <v>677814</v>
          </cell>
          <cell r="U232">
            <v>772765</v>
          </cell>
          <cell r="V232">
            <v>772765</v>
          </cell>
          <cell r="W232">
            <v>844366</v>
          </cell>
          <cell r="Y232">
            <v>844366</v>
          </cell>
          <cell r="AA232">
            <v>808211</v>
          </cell>
          <cell r="AJ232">
            <v>0</v>
          </cell>
          <cell r="AN232">
            <v>209564.625</v>
          </cell>
          <cell r="AR232">
            <v>482069.83333333331</v>
          </cell>
          <cell r="AV232">
            <v>758932.20833333337</v>
          </cell>
          <cell r="AZ232">
            <v>870836.75</v>
          </cell>
        </row>
        <row r="233">
          <cell r="Q233">
            <v>5713600</v>
          </cell>
          <cell r="S233">
            <v>2109037</v>
          </cell>
          <cell r="U233">
            <v>0</v>
          </cell>
          <cell r="V233">
            <v>0</v>
          </cell>
          <cell r="W233">
            <v>0</v>
          </cell>
          <cell r="Y233">
            <v>0</v>
          </cell>
          <cell r="AA233">
            <v>0</v>
          </cell>
          <cell r="AJ233">
            <v>7482275.2958333343</v>
          </cell>
          <cell r="AN233">
            <v>5608375.6358333332</v>
          </cell>
          <cell r="AR233">
            <v>3165027.4924999997</v>
          </cell>
          <cell r="AV233">
            <v>867406.16666666663</v>
          </cell>
          <cell r="AZ233">
            <v>0</v>
          </cell>
        </row>
        <row r="234">
          <cell r="Q234">
            <v>7809.12</v>
          </cell>
          <cell r="S234">
            <v>0</v>
          </cell>
          <cell r="U234">
            <v>28994.62</v>
          </cell>
          <cell r="V234">
            <v>17795.37</v>
          </cell>
          <cell r="W234">
            <v>6731.91</v>
          </cell>
          <cell r="Y234">
            <v>24318.09</v>
          </cell>
          <cell r="AA234">
            <v>6083.33</v>
          </cell>
          <cell r="AJ234">
            <v>58284.28125</v>
          </cell>
          <cell r="AN234">
            <v>49938.516666666663</v>
          </cell>
          <cell r="AR234">
            <v>27069.137499999997</v>
          </cell>
          <cell r="AV234">
            <v>16289.132499999998</v>
          </cell>
          <cell r="AZ234">
            <v>10245.47875</v>
          </cell>
        </row>
        <row r="235">
          <cell r="Q235">
            <v>190546</v>
          </cell>
          <cell r="S235">
            <v>144492</v>
          </cell>
          <cell r="U235">
            <v>144492</v>
          </cell>
          <cell r="V235">
            <v>144492</v>
          </cell>
          <cell r="W235">
            <v>144492</v>
          </cell>
          <cell r="Y235">
            <v>144492</v>
          </cell>
          <cell r="AA235">
            <v>144492</v>
          </cell>
          <cell r="AJ235">
            <v>86806.083333333328</v>
          </cell>
          <cell r="AN235">
            <v>136889</v>
          </cell>
          <cell r="AR235">
            <v>175194.66666666666</v>
          </cell>
          <cell r="AV235">
            <v>146410.91666666666</v>
          </cell>
          <cell r="AZ235">
            <v>102348.5</v>
          </cell>
        </row>
        <row r="236">
          <cell r="Q236">
            <v>0</v>
          </cell>
          <cell r="S236">
            <v>0</v>
          </cell>
          <cell r="U236">
            <v>3391.6</v>
          </cell>
          <cell r="V236">
            <v>3391.6</v>
          </cell>
          <cell r="W236">
            <v>0</v>
          </cell>
          <cell r="Y236">
            <v>0</v>
          </cell>
          <cell r="AA236">
            <v>0</v>
          </cell>
          <cell r="AJ236">
            <v>0</v>
          </cell>
          <cell r="AN236">
            <v>423.95</v>
          </cell>
          <cell r="AR236">
            <v>847.9</v>
          </cell>
          <cell r="AV236">
            <v>847.9</v>
          </cell>
          <cell r="AZ236">
            <v>423.95</v>
          </cell>
        </row>
        <row r="237">
          <cell r="U237">
            <v>850698.03</v>
          </cell>
          <cell r="V237">
            <v>850698.03</v>
          </cell>
          <cell r="W237">
            <v>850698.03</v>
          </cell>
          <cell r="Y237">
            <v>850698.03</v>
          </cell>
          <cell r="AA237">
            <v>680316.76</v>
          </cell>
          <cell r="AJ237">
            <v>0</v>
          </cell>
          <cell r="AN237">
            <v>106337.25374999999</v>
          </cell>
          <cell r="AR237">
            <v>389903.26374999998</v>
          </cell>
          <cell r="AV237">
            <v>623774.73666666669</v>
          </cell>
          <cell r="AZ237">
            <v>744209.73624999996</v>
          </cell>
        </row>
        <row r="238">
          <cell r="U238">
            <v>2601177.58</v>
          </cell>
          <cell r="V238">
            <v>1298.0899999999999</v>
          </cell>
          <cell r="W238">
            <v>0</v>
          </cell>
          <cell r="Y238">
            <v>0</v>
          </cell>
          <cell r="AA238">
            <v>0</v>
          </cell>
          <cell r="AJ238">
            <v>0</v>
          </cell>
          <cell r="AN238">
            <v>108382.39916666667</v>
          </cell>
          <cell r="AR238">
            <v>216872.9725</v>
          </cell>
          <cell r="AV238">
            <v>216872.9725</v>
          </cell>
          <cell r="AZ238">
            <v>108490.57333333335</v>
          </cell>
        </row>
        <row r="239">
          <cell r="AA239">
            <v>430457</v>
          </cell>
          <cell r="AR239">
            <v>0</v>
          </cell>
          <cell r="AV239">
            <v>140194.10541666669</v>
          </cell>
          <cell r="AZ239">
            <v>439311.96666666662</v>
          </cell>
        </row>
        <row r="240">
          <cell r="Q240">
            <v>0</v>
          </cell>
          <cell r="S240">
            <v>0</v>
          </cell>
          <cell r="U240">
            <v>0</v>
          </cell>
          <cell r="V240">
            <v>0</v>
          </cell>
          <cell r="W240">
            <v>0</v>
          </cell>
          <cell r="Y240">
            <v>0</v>
          </cell>
          <cell r="AA240">
            <v>0</v>
          </cell>
          <cell r="AJ240">
            <v>0</v>
          </cell>
          <cell r="AN240">
            <v>0</v>
          </cell>
          <cell r="AR240">
            <v>0</v>
          </cell>
          <cell r="AV240">
            <v>-1212.355</v>
          </cell>
          <cell r="AZ240">
            <v>-1228.9316666666666</v>
          </cell>
        </row>
        <row r="241">
          <cell r="Q241">
            <v>181639.72</v>
          </cell>
          <cell r="S241">
            <v>177332.42</v>
          </cell>
          <cell r="U241">
            <v>152844.70000000001</v>
          </cell>
          <cell r="V241">
            <v>147856.9</v>
          </cell>
          <cell r="W241">
            <v>145758.07999999999</v>
          </cell>
          <cell r="Y241">
            <v>139385.07999999999</v>
          </cell>
          <cell r="AA241">
            <v>133565.04</v>
          </cell>
          <cell r="AJ241">
            <v>185209.14666666664</v>
          </cell>
          <cell r="AN241">
            <v>178778.2858333333</v>
          </cell>
          <cell r="AR241">
            <v>165909.46666666665</v>
          </cell>
          <cell r="AV241">
            <v>149930.62083333332</v>
          </cell>
          <cell r="AZ241">
            <v>134595.33958333332</v>
          </cell>
        </row>
        <row r="242">
          <cell r="Q242">
            <v>5232078.96</v>
          </cell>
          <cell r="S242">
            <v>5303522.17</v>
          </cell>
          <cell r="U242">
            <v>5171938.03</v>
          </cell>
          <cell r="V242">
            <v>5265641.25</v>
          </cell>
          <cell r="W242">
            <v>4961353.8600000003</v>
          </cell>
          <cell r="Y242">
            <v>5085657.72</v>
          </cell>
          <cell r="AA242">
            <v>5340001.91</v>
          </cell>
          <cell r="AJ242">
            <v>4702342.3191666668</v>
          </cell>
          <cell r="AN242">
            <v>4905230.2016666662</v>
          </cell>
          <cell r="AR242">
            <v>5102836.3962500002</v>
          </cell>
          <cell r="AV242">
            <v>5237496.6266666669</v>
          </cell>
          <cell r="AZ242">
            <v>5223399.6920833336</v>
          </cell>
        </row>
        <row r="243">
          <cell r="Q243">
            <v>25085.26</v>
          </cell>
          <cell r="S243">
            <v>16178.53</v>
          </cell>
          <cell r="U243">
            <v>18830.25</v>
          </cell>
          <cell r="V243">
            <v>15788.79</v>
          </cell>
          <cell r="W243">
            <v>14628.32</v>
          </cell>
          <cell r="Y243">
            <v>22230.07</v>
          </cell>
          <cell r="AA243">
            <v>24338.17</v>
          </cell>
          <cell r="AJ243">
            <v>28482.822083333333</v>
          </cell>
          <cell r="AN243">
            <v>22571.727499999997</v>
          </cell>
          <cell r="AR243">
            <v>19883.045833333337</v>
          </cell>
          <cell r="AV243">
            <v>20404.464166666665</v>
          </cell>
          <cell r="AZ243">
            <v>26224.22083333334</v>
          </cell>
        </row>
        <row r="244">
          <cell r="Q244">
            <v>0</v>
          </cell>
          <cell r="S244">
            <v>0</v>
          </cell>
          <cell r="U244">
            <v>0</v>
          </cell>
          <cell r="V244">
            <v>0</v>
          </cell>
          <cell r="W244">
            <v>0</v>
          </cell>
          <cell r="Y244">
            <v>0</v>
          </cell>
          <cell r="AA244">
            <v>0</v>
          </cell>
          <cell r="AJ244">
            <v>0</v>
          </cell>
          <cell r="AN244">
            <v>0</v>
          </cell>
          <cell r="AR244">
            <v>0</v>
          </cell>
          <cell r="AV244">
            <v>0</v>
          </cell>
          <cell r="AZ244">
            <v>0</v>
          </cell>
        </row>
        <row r="245">
          <cell r="Q245">
            <v>47778.19</v>
          </cell>
          <cell r="S245">
            <v>51354.7</v>
          </cell>
          <cell r="U245">
            <v>146589.79</v>
          </cell>
          <cell r="V245">
            <v>48121.87</v>
          </cell>
          <cell r="W245">
            <v>42525.64</v>
          </cell>
          <cell r="Y245">
            <v>32333.56</v>
          </cell>
          <cell r="AA245">
            <v>28557.599999999999</v>
          </cell>
          <cell r="AJ245">
            <v>65533.318333333322</v>
          </cell>
          <cell r="AN245">
            <v>52685.482083333336</v>
          </cell>
          <cell r="AR245">
            <v>59184.195000000007</v>
          </cell>
          <cell r="AV245">
            <v>54056.328750000008</v>
          </cell>
          <cell r="AZ245">
            <v>27186.850416666668</v>
          </cell>
        </row>
        <row r="246">
          <cell r="Q246">
            <v>14913615.74</v>
          </cell>
          <cell r="S246">
            <v>13472557.5</v>
          </cell>
          <cell r="U246">
            <v>10803004.4</v>
          </cell>
          <cell r="V246">
            <v>8740673.6099999994</v>
          </cell>
          <cell r="W246">
            <v>11315327.16</v>
          </cell>
          <cell r="Y246">
            <v>10232152.300000001</v>
          </cell>
          <cell r="AA246">
            <v>6965380.4199999999</v>
          </cell>
          <cell r="AJ246">
            <v>11847936.057916665</v>
          </cell>
          <cell r="AN246">
            <v>12019658.159583332</v>
          </cell>
          <cell r="AR246">
            <v>11383191.800416669</v>
          </cell>
          <cell r="AV246">
            <v>10167417.063333334</v>
          </cell>
          <cell r="AZ246">
            <v>8593383.3754166663</v>
          </cell>
        </row>
        <row r="247">
          <cell r="Q247">
            <v>21062818.800000001</v>
          </cell>
          <cell r="S247">
            <v>21062818.800000001</v>
          </cell>
          <cell r="U247">
            <v>21062818.800000001</v>
          </cell>
          <cell r="V247">
            <v>21062818.800000001</v>
          </cell>
          <cell r="W247">
            <v>21062818.800000001</v>
          </cell>
          <cell r="Y247">
            <v>0</v>
          </cell>
          <cell r="AA247">
            <v>0</v>
          </cell>
          <cell r="AJ247">
            <v>21062818.800000004</v>
          </cell>
          <cell r="AN247">
            <v>21062818.800000004</v>
          </cell>
          <cell r="AR247">
            <v>20185201.350000005</v>
          </cell>
          <cell r="AV247">
            <v>13164261.75</v>
          </cell>
          <cell r="AZ247">
            <v>6143322.1500000013</v>
          </cell>
        </row>
        <row r="248">
          <cell r="Q248">
            <v>0</v>
          </cell>
          <cell r="S248">
            <v>0</v>
          </cell>
          <cell r="U248">
            <v>0</v>
          </cell>
          <cell r="V248">
            <v>0</v>
          </cell>
          <cell r="W248">
            <v>0</v>
          </cell>
          <cell r="Y248">
            <v>0</v>
          </cell>
          <cell r="AA248">
            <v>0</v>
          </cell>
          <cell r="AJ248">
            <v>0</v>
          </cell>
          <cell r="AN248">
            <v>0</v>
          </cell>
          <cell r="AR248">
            <v>0</v>
          </cell>
          <cell r="AV248">
            <v>0</v>
          </cell>
          <cell r="AZ248">
            <v>0</v>
          </cell>
        </row>
        <row r="249">
          <cell r="Q249">
            <v>0</v>
          </cell>
          <cell r="S249">
            <v>0</v>
          </cell>
          <cell r="U249">
            <v>0</v>
          </cell>
          <cell r="V249">
            <v>0</v>
          </cell>
          <cell r="W249">
            <v>0</v>
          </cell>
          <cell r="Y249">
            <v>0</v>
          </cell>
          <cell r="AA249">
            <v>0</v>
          </cell>
          <cell r="AJ249">
            <v>474568.26750000002</v>
          </cell>
          <cell r="AN249">
            <v>57574.006249999999</v>
          </cell>
          <cell r="AR249">
            <v>0</v>
          </cell>
          <cell r="AV249">
            <v>0</v>
          </cell>
          <cell r="AZ249">
            <v>0</v>
          </cell>
        </row>
        <row r="250">
          <cell r="Q250">
            <v>0</v>
          </cell>
          <cell r="S250">
            <v>0</v>
          </cell>
          <cell r="U250">
            <v>0</v>
          </cell>
          <cell r="V250">
            <v>0</v>
          </cell>
          <cell r="W250">
            <v>0</v>
          </cell>
          <cell r="Y250">
            <v>0</v>
          </cell>
          <cell r="AA250">
            <v>0</v>
          </cell>
          <cell r="AJ250">
            <v>5427824.1000000006</v>
          </cell>
          <cell r="AN250">
            <v>2077824.1000000003</v>
          </cell>
          <cell r="AR250">
            <v>0</v>
          </cell>
          <cell r="AV250">
            <v>0</v>
          </cell>
          <cell r="AZ250">
            <v>0</v>
          </cell>
        </row>
        <row r="251">
          <cell r="Q251">
            <v>1500000</v>
          </cell>
          <cell r="S251">
            <v>1500000</v>
          </cell>
          <cell r="U251">
            <v>2233147</v>
          </cell>
          <cell r="V251">
            <v>2309866</v>
          </cell>
          <cell r="W251">
            <v>2309866</v>
          </cell>
          <cell r="Y251">
            <v>2085348.63</v>
          </cell>
          <cell r="AA251">
            <v>2085348.63</v>
          </cell>
          <cell r="AJ251">
            <v>62500</v>
          </cell>
          <cell r="AN251">
            <v>654143.375</v>
          </cell>
          <cell r="AR251">
            <v>1411547.1929166669</v>
          </cell>
          <cell r="AV251">
            <v>2044163.4029166664</v>
          </cell>
          <cell r="AZ251">
            <v>2147636.2379166661</v>
          </cell>
        </row>
        <row r="252">
          <cell r="Q252">
            <v>0</v>
          </cell>
          <cell r="S252">
            <v>0</v>
          </cell>
          <cell r="U252">
            <v>0</v>
          </cell>
          <cell r="V252">
            <v>0</v>
          </cell>
          <cell r="W252">
            <v>0</v>
          </cell>
          <cell r="Y252">
            <v>0</v>
          </cell>
          <cell r="AA252">
            <v>0</v>
          </cell>
          <cell r="AJ252">
            <v>0</v>
          </cell>
          <cell r="AN252">
            <v>0</v>
          </cell>
          <cell r="AR252">
            <v>0</v>
          </cell>
          <cell r="AV252">
            <v>0</v>
          </cell>
          <cell r="AZ252">
            <v>0</v>
          </cell>
        </row>
        <row r="253">
          <cell r="Q253">
            <v>639223.5</v>
          </cell>
          <cell r="S253">
            <v>517085.9</v>
          </cell>
          <cell r="U253">
            <v>531793.19999999995</v>
          </cell>
          <cell r="V253">
            <v>489771.44</v>
          </cell>
          <cell r="W253">
            <v>519584.28</v>
          </cell>
          <cell r="Y253">
            <v>526071.04000000004</v>
          </cell>
          <cell r="AA253">
            <v>489948.17</v>
          </cell>
          <cell r="AJ253">
            <v>603853.4804166666</v>
          </cell>
          <cell r="AN253">
            <v>583334.47875000013</v>
          </cell>
          <cell r="AR253">
            <v>558575.03166666662</v>
          </cell>
          <cell r="AV253">
            <v>532058.0229166667</v>
          </cell>
          <cell r="AZ253">
            <v>505986.51208333328</v>
          </cell>
        </row>
        <row r="254">
          <cell r="Q254">
            <v>0</v>
          </cell>
          <cell r="S254">
            <v>0</v>
          </cell>
          <cell r="U254">
            <v>0</v>
          </cell>
          <cell r="V254">
            <v>0</v>
          </cell>
          <cell r="W254">
            <v>0</v>
          </cell>
          <cell r="Y254">
            <v>0</v>
          </cell>
          <cell r="AA254">
            <v>0</v>
          </cell>
          <cell r="AJ254">
            <v>0</v>
          </cell>
          <cell r="AN254">
            <v>0</v>
          </cell>
          <cell r="AR254">
            <v>0</v>
          </cell>
          <cell r="AV254">
            <v>0</v>
          </cell>
          <cell r="AZ254">
            <v>0</v>
          </cell>
        </row>
        <row r="255">
          <cell r="Q255">
            <v>0</v>
          </cell>
          <cell r="S255">
            <v>0</v>
          </cell>
          <cell r="U255">
            <v>0</v>
          </cell>
          <cell r="V255">
            <v>0</v>
          </cell>
          <cell r="W255">
            <v>0</v>
          </cell>
          <cell r="Y255">
            <v>0</v>
          </cell>
          <cell r="AA255">
            <v>0</v>
          </cell>
          <cell r="AJ255">
            <v>0</v>
          </cell>
          <cell r="AN255">
            <v>0</v>
          </cell>
          <cell r="AR255">
            <v>0</v>
          </cell>
          <cell r="AV255">
            <v>0</v>
          </cell>
          <cell r="AZ255">
            <v>0</v>
          </cell>
        </row>
        <row r="256">
          <cell r="Q256">
            <v>8327.23</v>
          </cell>
          <cell r="S256">
            <v>7249.76</v>
          </cell>
          <cell r="U256">
            <v>7049.76</v>
          </cell>
          <cell r="V256">
            <v>6949.76</v>
          </cell>
          <cell r="W256">
            <v>6849.76</v>
          </cell>
          <cell r="Y256">
            <v>6649.76</v>
          </cell>
          <cell r="AA256">
            <v>6449.76</v>
          </cell>
          <cell r="AJ256">
            <v>9794.1995833333349</v>
          </cell>
          <cell r="AN256">
            <v>8419.0958333333328</v>
          </cell>
          <cell r="AR256">
            <v>7576.5349999999989</v>
          </cell>
          <cell r="AV256">
            <v>6488.5712500000009</v>
          </cell>
          <cell r="AZ256">
            <v>5992.0129166666675</v>
          </cell>
        </row>
        <row r="257">
          <cell r="Q257">
            <v>0</v>
          </cell>
          <cell r="S257">
            <v>0</v>
          </cell>
          <cell r="U257">
            <v>0</v>
          </cell>
          <cell r="V257">
            <v>0</v>
          </cell>
          <cell r="W257">
            <v>0</v>
          </cell>
          <cell r="Y257">
            <v>0</v>
          </cell>
          <cell r="AA257">
            <v>0</v>
          </cell>
          <cell r="AJ257">
            <v>187281.44333333336</v>
          </cell>
          <cell r="AN257">
            <v>0</v>
          </cell>
          <cell r="AR257">
            <v>0</v>
          </cell>
          <cell r="AV257">
            <v>0</v>
          </cell>
          <cell r="AZ257">
            <v>0</v>
          </cell>
        </row>
        <row r="258">
          <cell r="Q258">
            <v>308204.13</v>
          </cell>
          <cell r="S258">
            <v>181982.71</v>
          </cell>
          <cell r="U258">
            <v>82231.14</v>
          </cell>
          <cell r="V258">
            <v>82231.14</v>
          </cell>
          <cell r="W258">
            <v>82231.14</v>
          </cell>
          <cell r="Y258">
            <v>82231.14</v>
          </cell>
          <cell r="AA258">
            <v>82231.14</v>
          </cell>
          <cell r="AJ258">
            <v>352707.13249999989</v>
          </cell>
          <cell r="AN258">
            <v>284567.32249999995</v>
          </cell>
          <cell r="AR258">
            <v>189149.89583333328</v>
          </cell>
          <cell r="AV258">
            <v>111809.98791666667</v>
          </cell>
          <cell r="AZ258">
            <v>82231.14</v>
          </cell>
        </row>
        <row r="259">
          <cell r="Q259">
            <v>532376</v>
          </cell>
          <cell r="S259">
            <v>532376</v>
          </cell>
          <cell r="U259">
            <v>532376</v>
          </cell>
          <cell r="V259">
            <v>532376</v>
          </cell>
          <cell r="W259">
            <v>532376</v>
          </cell>
          <cell r="Y259">
            <v>532376</v>
          </cell>
          <cell r="AA259">
            <v>532376</v>
          </cell>
          <cell r="AJ259">
            <v>520515.66666666669</v>
          </cell>
          <cell r="AN259">
            <v>524641</v>
          </cell>
          <cell r="AR259">
            <v>528766.33333333337</v>
          </cell>
          <cell r="AV259">
            <v>533494.65500000003</v>
          </cell>
          <cell r="AZ259">
            <v>542443.8949999999</v>
          </cell>
        </row>
        <row r="260">
          <cell r="Q260">
            <v>99000</v>
          </cell>
          <cell r="S260">
            <v>99000</v>
          </cell>
          <cell r="U260">
            <v>99000</v>
          </cell>
          <cell r="V260">
            <v>99000</v>
          </cell>
          <cell r="W260">
            <v>137000</v>
          </cell>
          <cell r="Y260">
            <v>137000</v>
          </cell>
          <cell r="AA260">
            <v>137000</v>
          </cell>
          <cell r="AJ260">
            <v>4125</v>
          </cell>
          <cell r="AN260">
            <v>37125</v>
          </cell>
          <cell r="AR260">
            <v>78041.666666666672</v>
          </cell>
          <cell r="AV260">
            <v>119583.33333333333</v>
          </cell>
          <cell r="AZ260">
            <v>132250</v>
          </cell>
        </row>
        <row r="261">
          <cell r="Q261">
            <v>0</v>
          </cell>
          <cell r="S261">
            <v>0</v>
          </cell>
          <cell r="U261">
            <v>0</v>
          </cell>
          <cell r="V261">
            <v>0</v>
          </cell>
          <cell r="W261">
            <v>0</v>
          </cell>
          <cell r="Y261">
            <v>0</v>
          </cell>
          <cell r="AA261">
            <v>0</v>
          </cell>
          <cell r="AJ261">
            <v>0</v>
          </cell>
          <cell r="AN261">
            <v>0</v>
          </cell>
          <cell r="AR261">
            <v>0</v>
          </cell>
          <cell r="AV261">
            <v>0</v>
          </cell>
          <cell r="AZ261">
            <v>0</v>
          </cell>
        </row>
        <row r="262">
          <cell r="Q262">
            <v>0</v>
          </cell>
          <cell r="S262">
            <v>0</v>
          </cell>
          <cell r="U262">
            <v>0</v>
          </cell>
          <cell r="V262">
            <v>0</v>
          </cell>
          <cell r="W262">
            <v>0</v>
          </cell>
          <cell r="Y262">
            <v>0</v>
          </cell>
          <cell r="AA262">
            <v>0</v>
          </cell>
          <cell r="AJ262">
            <v>0</v>
          </cell>
          <cell r="AN262">
            <v>0</v>
          </cell>
          <cell r="AR262">
            <v>0</v>
          </cell>
          <cell r="AV262">
            <v>0</v>
          </cell>
          <cell r="AZ262">
            <v>0</v>
          </cell>
        </row>
        <row r="263">
          <cell r="Q263">
            <v>7712913.7300000004</v>
          </cell>
          <cell r="S263">
            <v>9257769.7599999998</v>
          </cell>
          <cell r="U263">
            <v>7971969.96</v>
          </cell>
          <cell r="V263">
            <v>3204332.84</v>
          </cell>
          <cell r="W263">
            <v>2059862.23</v>
          </cell>
          <cell r="Y263">
            <v>3857155.22</v>
          </cell>
          <cell r="AA263">
            <v>4569474.8600000003</v>
          </cell>
          <cell r="AJ263">
            <v>8535830.9170833342</v>
          </cell>
          <cell r="AN263">
            <v>8052605.5554166669</v>
          </cell>
          <cell r="AR263">
            <v>6500748.6154166674</v>
          </cell>
          <cell r="AV263">
            <v>5526328.5091666663</v>
          </cell>
          <cell r="AZ263">
            <v>5502157.1258333335</v>
          </cell>
        </row>
        <row r="264">
          <cell r="Q264">
            <v>-3199410.1</v>
          </cell>
          <cell r="S264">
            <v>-3341648.63</v>
          </cell>
          <cell r="U264">
            <v>-3448458.23</v>
          </cell>
          <cell r="V264">
            <v>-3511372.47</v>
          </cell>
          <cell r="W264">
            <v>-3583223.03</v>
          </cell>
          <cell r="Y264">
            <v>-3589433.51</v>
          </cell>
          <cell r="AA264">
            <v>-3610663.08</v>
          </cell>
          <cell r="AJ264">
            <v>-2353592.8508333326</v>
          </cell>
          <cell r="AN264">
            <v>-2694151.5550000002</v>
          </cell>
          <cell r="AR264">
            <v>-3113717.1191666671</v>
          </cell>
          <cell r="AV264">
            <v>-3550589.9350000001</v>
          </cell>
          <cell r="AZ264">
            <v>-3878103.0595833338</v>
          </cell>
        </row>
        <row r="265">
          <cell r="Q265">
            <v>-1719418.91</v>
          </cell>
          <cell r="S265">
            <v>-1815110.43</v>
          </cell>
          <cell r="U265">
            <v>-1696730.77</v>
          </cell>
          <cell r="V265">
            <v>-1627270.89</v>
          </cell>
          <cell r="W265">
            <v>-1512518.6</v>
          </cell>
          <cell r="Y265">
            <v>-1468993.08</v>
          </cell>
          <cell r="AA265">
            <v>-1556702.85</v>
          </cell>
          <cell r="AJ265">
            <v>-1059522.6820833334</v>
          </cell>
          <cell r="AN265">
            <v>-1273109.2837500002</v>
          </cell>
          <cell r="AR265">
            <v>-1477585.0216666667</v>
          </cell>
          <cell r="AV265">
            <v>-1660174.4650000001</v>
          </cell>
          <cell r="AZ265">
            <v>-1744353.6429166666</v>
          </cell>
        </row>
        <row r="266">
          <cell r="Q266">
            <v>0</v>
          </cell>
          <cell r="S266">
            <v>0</v>
          </cell>
          <cell r="U266">
            <v>0</v>
          </cell>
          <cell r="V266">
            <v>0</v>
          </cell>
          <cell r="W266">
            <v>0</v>
          </cell>
          <cell r="Y266">
            <v>0</v>
          </cell>
          <cell r="AA266">
            <v>0</v>
          </cell>
          <cell r="AJ266">
            <v>0</v>
          </cell>
          <cell r="AN266">
            <v>0</v>
          </cell>
          <cell r="AR266">
            <v>0</v>
          </cell>
          <cell r="AV266">
            <v>0</v>
          </cell>
          <cell r="AZ266">
            <v>0</v>
          </cell>
        </row>
        <row r="267">
          <cell r="Q267">
            <v>3199410.1</v>
          </cell>
          <cell r="S267">
            <v>0</v>
          </cell>
          <cell r="U267">
            <v>0</v>
          </cell>
          <cell r="V267">
            <v>0</v>
          </cell>
          <cell r="W267">
            <v>0</v>
          </cell>
          <cell r="Y267">
            <v>0</v>
          </cell>
          <cell r="AA267">
            <v>0</v>
          </cell>
          <cell r="AJ267">
            <v>1985617.35375</v>
          </cell>
          <cell r="AN267">
            <v>1980967.5604166668</v>
          </cell>
          <cell r="AR267">
            <v>1214336.1345833333</v>
          </cell>
          <cell r="AV267">
            <v>407568.77166666667</v>
          </cell>
          <cell r="AZ267">
            <v>0</v>
          </cell>
        </row>
        <row r="268">
          <cell r="Q268">
            <v>1719418.91</v>
          </cell>
          <cell r="S268">
            <v>0</v>
          </cell>
          <cell r="U268">
            <v>0</v>
          </cell>
          <cell r="V268">
            <v>0</v>
          </cell>
          <cell r="W268">
            <v>0</v>
          </cell>
          <cell r="Y268">
            <v>0</v>
          </cell>
          <cell r="AA268">
            <v>0</v>
          </cell>
          <cell r="AJ268">
            <v>921836.3583333334</v>
          </cell>
          <cell r="AN268">
            <v>899361.3550000001</v>
          </cell>
          <cell r="AR268">
            <v>588355.35333333327</v>
          </cell>
          <cell r="AV268">
            <v>223637.82625000001</v>
          </cell>
          <cell r="AZ268">
            <v>0</v>
          </cell>
        </row>
        <row r="269">
          <cell r="Q269">
            <v>0</v>
          </cell>
          <cell r="S269">
            <v>0</v>
          </cell>
          <cell r="U269">
            <v>0</v>
          </cell>
          <cell r="V269">
            <v>0</v>
          </cell>
          <cell r="W269">
            <v>0</v>
          </cell>
          <cell r="Y269">
            <v>0</v>
          </cell>
          <cell r="AA269">
            <v>0</v>
          </cell>
          <cell r="AJ269">
            <v>-244840.10958333328</v>
          </cell>
          <cell r="AN269">
            <v>-94169.272916666654</v>
          </cell>
          <cell r="AR269">
            <v>0</v>
          </cell>
          <cell r="AV269">
            <v>0</v>
          </cell>
          <cell r="AZ269">
            <v>0</v>
          </cell>
        </row>
        <row r="270">
          <cell r="Q270">
            <v>0</v>
          </cell>
          <cell r="S270">
            <v>0</v>
          </cell>
          <cell r="U270">
            <v>0</v>
          </cell>
          <cell r="V270">
            <v>0</v>
          </cell>
          <cell r="W270">
            <v>0</v>
          </cell>
          <cell r="Y270">
            <v>0</v>
          </cell>
          <cell r="AA270">
            <v>0</v>
          </cell>
          <cell r="AJ270">
            <v>0</v>
          </cell>
          <cell r="AN270">
            <v>0</v>
          </cell>
          <cell r="AR270">
            <v>0</v>
          </cell>
          <cell r="AV270">
            <v>0</v>
          </cell>
          <cell r="AZ270">
            <v>0</v>
          </cell>
        </row>
        <row r="271">
          <cell r="Q271">
            <v>-842797.76</v>
          </cell>
          <cell r="S271">
            <v>-835819.99</v>
          </cell>
          <cell r="U271">
            <v>-793803.49</v>
          </cell>
          <cell r="V271">
            <v>-804982.79</v>
          </cell>
          <cell r="W271">
            <v>-782666.77</v>
          </cell>
          <cell r="Y271">
            <v>-836026.15</v>
          </cell>
          <cell r="AA271">
            <v>-885224.65</v>
          </cell>
          <cell r="AJ271">
            <v>-634380.37875000003</v>
          </cell>
          <cell r="AN271">
            <v>-710862.43916666659</v>
          </cell>
          <cell r="AR271">
            <v>-779355.72833333339</v>
          </cell>
          <cell r="AV271">
            <v>-834370.53625</v>
          </cell>
          <cell r="AZ271">
            <v>-879799.72666666657</v>
          </cell>
        </row>
        <row r="272">
          <cell r="Q272">
            <v>-44.77</v>
          </cell>
          <cell r="S272">
            <v>356.17</v>
          </cell>
          <cell r="U272">
            <v>1011.1</v>
          </cell>
          <cell r="V272">
            <v>1266.52</v>
          </cell>
          <cell r="W272">
            <v>1525.51</v>
          </cell>
          <cell r="Y272">
            <v>3030.2</v>
          </cell>
          <cell r="AA272">
            <v>1616.54</v>
          </cell>
          <cell r="AJ272">
            <v>2308.2641666666668</v>
          </cell>
          <cell r="AN272">
            <v>2134.5391666666665</v>
          </cell>
          <cell r="AR272">
            <v>2052.9354166666667</v>
          </cell>
          <cell r="AV272">
            <v>2168.4337499999997</v>
          </cell>
          <cell r="AZ272">
            <v>2197.864583333333</v>
          </cell>
        </row>
        <row r="273">
          <cell r="Q273">
            <v>0</v>
          </cell>
          <cell r="S273">
            <v>0</v>
          </cell>
          <cell r="U273">
            <v>0</v>
          </cell>
          <cell r="V273">
            <v>0</v>
          </cell>
          <cell r="W273">
            <v>0</v>
          </cell>
          <cell r="Y273">
            <v>0</v>
          </cell>
          <cell r="AA273">
            <v>0</v>
          </cell>
          <cell r="AJ273">
            <v>0</v>
          </cell>
          <cell r="AN273">
            <v>0</v>
          </cell>
          <cell r="AR273">
            <v>0</v>
          </cell>
          <cell r="AV273">
            <v>0</v>
          </cell>
          <cell r="AZ273">
            <v>0</v>
          </cell>
        </row>
        <row r="274">
          <cell r="Q274">
            <v>8720.19</v>
          </cell>
          <cell r="S274">
            <v>67041.33</v>
          </cell>
          <cell r="U274">
            <v>15222.07</v>
          </cell>
          <cell r="V274">
            <v>52573.73</v>
          </cell>
          <cell r="W274">
            <v>61391.08</v>
          </cell>
          <cell r="Y274">
            <v>232835.19</v>
          </cell>
          <cell r="AA274">
            <v>36311.51</v>
          </cell>
          <cell r="AJ274">
            <v>34699.973749999997</v>
          </cell>
          <cell r="AN274">
            <v>44925.13041666666</v>
          </cell>
          <cell r="AR274">
            <v>51579.630000000005</v>
          </cell>
          <cell r="AV274">
            <v>68069.60791666666</v>
          </cell>
          <cell r="AZ274">
            <v>64504.783333333333</v>
          </cell>
        </row>
        <row r="275">
          <cell r="Q275">
            <v>0</v>
          </cell>
          <cell r="S275">
            <v>0</v>
          </cell>
          <cell r="U275">
            <v>0</v>
          </cell>
          <cell r="V275">
            <v>0</v>
          </cell>
          <cell r="W275">
            <v>0</v>
          </cell>
          <cell r="Y275">
            <v>0</v>
          </cell>
          <cell r="AA275">
            <v>0</v>
          </cell>
          <cell r="AJ275">
            <v>0</v>
          </cell>
          <cell r="AN275">
            <v>0</v>
          </cell>
          <cell r="AR275">
            <v>0</v>
          </cell>
          <cell r="AV275">
            <v>0</v>
          </cell>
          <cell r="AZ275">
            <v>0</v>
          </cell>
        </row>
        <row r="276">
          <cell r="Q276">
            <v>0</v>
          </cell>
          <cell r="S276">
            <v>0</v>
          </cell>
          <cell r="U276">
            <v>0</v>
          </cell>
          <cell r="V276">
            <v>0</v>
          </cell>
          <cell r="W276">
            <v>0</v>
          </cell>
          <cell r="Y276">
            <v>0</v>
          </cell>
          <cell r="AA276">
            <v>0</v>
          </cell>
          <cell r="AJ276">
            <v>0</v>
          </cell>
          <cell r="AN276">
            <v>0</v>
          </cell>
          <cell r="AR276">
            <v>0</v>
          </cell>
          <cell r="AV276">
            <v>0</v>
          </cell>
          <cell r="AZ276">
            <v>0</v>
          </cell>
        </row>
        <row r="277">
          <cell r="Q277">
            <v>0</v>
          </cell>
          <cell r="S277">
            <v>0</v>
          </cell>
          <cell r="U277">
            <v>0</v>
          </cell>
          <cell r="V277">
            <v>0</v>
          </cell>
          <cell r="W277">
            <v>0</v>
          </cell>
          <cell r="Y277">
            <v>0</v>
          </cell>
          <cell r="AA277">
            <v>0</v>
          </cell>
          <cell r="AJ277">
            <v>0</v>
          </cell>
          <cell r="AN277">
            <v>0</v>
          </cell>
          <cell r="AR277">
            <v>0</v>
          </cell>
          <cell r="AV277">
            <v>0</v>
          </cell>
          <cell r="AZ277">
            <v>0</v>
          </cell>
        </row>
        <row r="278">
          <cell r="Q278">
            <v>-639223.5</v>
          </cell>
          <cell r="S278">
            <v>-517085.9</v>
          </cell>
          <cell r="U278">
            <v>-531793.19999999995</v>
          </cell>
          <cell r="V278">
            <v>-489771.44</v>
          </cell>
          <cell r="W278">
            <v>-519584.28</v>
          </cell>
          <cell r="Y278">
            <v>-526071.04000000004</v>
          </cell>
          <cell r="AA278">
            <v>-489948.17</v>
          </cell>
          <cell r="AJ278">
            <v>-603853.4804166666</v>
          </cell>
          <cell r="AN278">
            <v>-583334.47875000013</v>
          </cell>
          <cell r="AR278">
            <v>-558575.03166666662</v>
          </cell>
          <cell r="AV278">
            <v>-532058.0229166667</v>
          </cell>
          <cell r="AZ278">
            <v>-505986.51208333328</v>
          </cell>
        </row>
        <row r="279">
          <cell r="Q279">
            <v>6132808.3899999997</v>
          </cell>
          <cell r="S279">
            <v>9137238.7699999996</v>
          </cell>
          <cell r="U279">
            <v>2699641.88</v>
          </cell>
          <cell r="V279">
            <v>2804746.31</v>
          </cell>
          <cell r="W279">
            <v>112476.9</v>
          </cell>
          <cell r="Y279">
            <v>403928.49</v>
          </cell>
          <cell r="AA279">
            <v>497031.58</v>
          </cell>
          <cell r="AJ279">
            <v>4340062.5712499991</v>
          </cell>
          <cell r="AN279">
            <v>5351910.7491666665</v>
          </cell>
          <cell r="AR279">
            <v>4169563.3070833334</v>
          </cell>
          <cell r="AV279">
            <v>2417904.0279166657</v>
          </cell>
          <cell r="AZ279">
            <v>603696.52249999996</v>
          </cell>
        </row>
        <row r="280">
          <cell r="Q280">
            <v>2953683</v>
          </cell>
          <cell r="S280">
            <v>2953683</v>
          </cell>
          <cell r="U280">
            <v>2953683</v>
          </cell>
          <cell r="V280">
            <v>2953683</v>
          </cell>
          <cell r="W280">
            <v>0</v>
          </cell>
          <cell r="Y280">
            <v>0</v>
          </cell>
          <cell r="AA280">
            <v>0</v>
          </cell>
          <cell r="AJ280">
            <v>370085.375</v>
          </cell>
          <cell r="AN280">
            <v>1354313.0416666667</v>
          </cell>
          <cell r="AR280">
            <v>1723190.0833333333</v>
          </cell>
          <cell r="AV280">
            <v>1353771.375</v>
          </cell>
          <cell r="AZ280">
            <v>369210.375</v>
          </cell>
        </row>
        <row r="281">
          <cell r="Q281">
            <v>1661931.61</v>
          </cell>
          <cell r="S281">
            <v>1630305.04</v>
          </cell>
          <cell r="U281">
            <v>1276552.05</v>
          </cell>
          <cell r="V281">
            <v>864458.71</v>
          </cell>
          <cell r="W281">
            <v>862744.42</v>
          </cell>
          <cell r="Y281">
            <v>1414047.58</v>
          </cell>
          <cell r="AA281">
            <v>1548406.01</v>
          </cell>
          <cell r="AJ281">
            <v>1135187.5266666666</v>
          </cell>
          <cell r="AN281">
            <v>1327369.5483333336</v>
          </cell>
          <cell r="AR281">
            <v>1281920.0045833336</v>
          </cell>
          <cell r="AV281">
            <v>1318342.3354166665</v>
          </cell>
          <cell r="AZ281">
            <v>1491291.7783333333</v>
          </cell>
        </row>
        <row r="282">
          <cell r="Q282">
            <v>1721577.28</v>
          </cell>
          <cell r="S282">
            <v>2014952.41</v>
          </cell>
          <cell r="U282">
            <v>1269350.5900000001</v>
          </cell>
          <cell r="V282">
            <v>1171084.6599999999</v>
          </cell>
          <cell r="W282">
            <v>1299715.27</v>
          </cell>
          <cell r="Y282">
            <v>1579658.91</v>
          </cell>
          <cell r="AA282">
            <v>1660763.86</v>
          </cell>
          <cell r="AJ282">
            <v>1371827.2241666666</v>
          </cell>
          <cell r="AN282">
            <v>1567580.9658333333</v>
          </cell>
          <cell r="AR282">
            <v>1595942.4024999999</v>
          </cell>
          <cell r="AV282">
            <v>1611141.897083333</v>
          </cell>
          <cell r="AZ282">
            <v>1386966.8566666667</v>
          </cell>
        </row>
        <row r="283">
          <cell r="Q283">
            <v>408564.99</v>
          </cell>
          <cell r="S283">
            <v>324416.99</v>
          </cell>
          <cell r="U283">
            <v>282216.99</v>
          </cell>
          <cell r="V283">
            <v>267095.99</v>
          </cell>
          <cell r="W283">
            <v>233406.99</v>
          </cell>
          <cell r="Y283">
            <v>229662.99</v>
          </cell>
          <cell r="AA283">
            <v>260818.99</v>
          </cell>
          <cell r="AJ283">
            <v>373919.03166666673</v>
          </cell>
          <cell r="AN283">
            <v>373433.69833333342</v>
          </cell>
          <cell r="AR283">
            <v>331967.82333333342</v>
          </cell>
          <cell r="AV283">
            <v>277852.82333333342</v>
          </cell>
          <cell r="AZ283">
            <v>254998.07333333339</v>
          </cell>
        </row>
        <row r="284">
          <cell r="Q284">
            <v>32895.58</v>
          </cell>
          <cell r="S284">
            <v>31495.66</v>
          </cell>
          <cell r="U284">
            <v>29432.36</v>
          </cell>
          <cell r="V284">
            <v>28884.46</v>
          </cell>
          <cell r="W284">
            <v>27464.67</v>
          </cell>
          <cell r="Y284">
            <v>26745</v>
          </cell>
          <cell r="AA284">
            <v>26383.52</v>
          </cell>
          <cell r="AJ284">
            <v>47869.359583333331</v>
          </cell>
          <cell r="AN284">
            <v>41802.447500000002</v>
          </cell>
          <cell r="AR284">
            <v>36077.1</v>
          </cell>
          <cell r="AV284">
            <v>28488.466249999998</v>
          </cell>
          <cell r="AZ284">
            <v>27068.943333333329</v>
          </cell>
        </row>
        <row r="285">
          <cell r="Q285">
            <v>1204788.58</v>
          </cell>
          <cell r="S285">
            <v>1166691.6000000001</v>
          </cell>
          <cell r="U285">
            <v>1166691.6000000001</v>
          </cell>
          <cell r="V285">
            <v>1157033.3700000001</v>
          </cell>
          <cell r="W285">
            <v>1157033.3700000001</v>
          </cell>
          <cell r="Y285">
            <v>1150237.71</v>
          </cell>
          <cell r="AA285">
            <v>1131115.93</v>
          </cell>
          <cell r="AJ285">
            <v>1349978.5391666666</v>
          </cell>
          <cell r="AN285">
            <v>1279203.0795833331</v>
          </cell>
          <cell r="AR285">
            <v>1210994.3170833334</v>
          </cell>
          <cell r="AV285">
            <v>1156898.6166666667</v>
          </cell>
          <cell r="AZ285">
            <v>1142853.7000000002</v>
          </cell>
        </row>
        <row r="286">
          <cell r="Q286">
            <v>2136077.9300000002</v>
          </cell>
          <cell r="S286">
            <v>2043050.77</v>
          </cell>
          <cell r="U286">
            <v>1905061.47</v>
          </cell>
          <cell r="V286">
            <v>1905061.47</v>
          </cell>
          <cell r="W286">
            <v>1905061.47</v>
          </cell>
          <cell r="Y286">
            <v>1897591.52</v>
          </cell>
          <cell r="AA286">
            <v>2336915.7400000002</v>
          </cell>
          <cell r="AJ286">
            <v>1180910.8266666669</v>
          </cell>
          <cell r="AN286">
            <v>1668572.3641666668</v>
          </cell>
          <cell r="AR286">
            <v>2188398.6745833331</v>
          </cell>
          <cell r="AV286">
            <v>2063425.2204166662</v>
          </cell>
          <cell r="AZ286">
            <v>1990030.8779166669</v>
          </cell>
        </row>
        <row r="287">
          <cell r="Q287">
            <v>1541729.6</v>
          </cell>
          <cell r="S287">
            <v>1498714.81</v>
          </cell>
          <cell r="U287">
            <v>1453194.8</v>
          </cell>
          <cell r="V287">
            <v>1453194.8</v>
          </cell>
          <cell r="W287">
            <v>1436482.69</v>
          </cell>
          <cell r="Y287">
            <v>1381116.26</v>
          </cell>
          <cell r="AA287">
            <v>1380010.3</v>
          </cell>
          <cell r="AJ287">
            <v>1821200.9724999995</v>
          </cell>
          <cell r="AN287">
            <v>1700331.3816666666</v>
          </cell>
          <cell r="AR287">
            <v>1564918.4195833337</v>
          </cell>
          <cell r="AV287">
            <v>1533345.2758333331</v>
          </cell>
          <cell r="AZ287">
            <v>1771028.3266666664</v>
          </cell>
        </row>
        <row r="288">
          <cell r="Q288">
            <v>0</v>
          </cell>
          <cell r="S288">
            <v>0</v>
          </cell>
          <cell r="U288">
            <v>0</v>
          </cell>
          <cell r="V288">
            <v>0</v>
          </cell>
          <cell r="W288">
            <v>0</v>
          </cell>
          <cell r="Y288">
            <v>0</v>
          </cell>
          <cell r="AA288">
            <v>0</v>
          </cell>
          <cell r="AJ288">
            <v>0</v>
          </cell>
          <cell r="AN288">
            <v>0</v>
          </cell>
          <cell r="AR288">
            <v>0</v>
          </cell>
          <cell r="AV288">
            <v>0</v>
          </cell>
          <cell r="AZ288">
            <v>0</v>
          </cell>
        </row>
        <row r="289">
          <cell r="Q289">
            <v>296599.96000000002</v>
          </cell>
          <cell r="S289">
            <v>296599.96000000002</v>
          </cell>
          <cell r="U289">
            <v>296599.96000000002</v>
          </cell>
          <cell r="V289">
            <v>296599.96000000002</v>
          </cell>
          <cell r="W289">
            <v>296599.96000000002</v>
          </cell>
          <cell r="Y289">
            <v>296599.96000000002</v>
          </cell>
          <cell r="AA289">
            <v>296599.96000000002</v>
          </cell>
          <cell r="AJ289">
            <v>295586.93708333332</v>
          </cell>
          <cell r="AN289">
            <v>296063.65375</v>
          </cell>
          <cell r="AR289">
            <v>296540.37041666667</v>
          </cell>
          <cell r="AV289">
            <v>296599.96000000002</v>
          </cell>
          <cell r="AZ289">
            <v>296599.96000000002</v>
          </cell>
        </row>
        <row r="290">
          <cell r="Q290">
            <v>0</v>
          </cell>
          <cell r="S290">
            <v>0</v>
          </cell>
          <cell r="U290">
            <v>0</v>
          </cell>
          <cell r="V290">
            <v>0</v>
          </cell>
          <cell r="W290">
            <v>0</v>
          </cell>
          <cell r="Y290">
            <v>0</v>
          </cell>
          <cell r="AA290">
            <v>0</v>
          </cell>
          <cell r="AJ290">
            <v>0</v>
          </cell>
          <cell r="AN290">
            <v>0</v>
          </cell>
          <cell r="AR290">
            <v>0</v>
          </cell>
          <cell r="AV290">
            <v>0</v>
          </cell>
          <cell r="AZ290">
            <v>0</v>
          </cell>
        </row>
        <row r="291">
          <cell r="Q291">
            <v>0</v>
          </cell>
          <cell r="S291">
            <v>0</v>
          </cell>
          <cell r="U291">
            <v>0</v>
          </cell>
          <cell r="V291">
            <v>0</v>
          </cell>
          <cell r="W291">
            <v>0</v>
          </cell>
          <cell r="Y291">
            <v>0</v>
          </cell>
          <cell r="AA291">
            <v>0</v>
          </cell>
          <cell r="AJ291">
            <v>0</v>
          </cell>
          <cell r="AN291">
            <v>0</v>
          </cell>
          <cell r="AR291">
            <v>0</v>
          </cell>
          <cell r="AV291">
            <v>0</v>
          </cell>
          <cell r="AZ291">
            <v>0</v>
          </cell>
        </row>
        <row r="292">
          <cell r="Q292">
            <v>0</v>
          </cell>
          <cell r="S292">
            <v>0</v>
          </cell>
          <cell r="U292">
            <v>0</v>
          </cell>
          <cell r="V292">
            <v>0</v>
          </cell>
          <cell r="W292">
            <v>0</v>
          </cell>
          <cell r="Y292">
            <v>0</v>
          </cell>
          <cell r="AA292">
            <v>0</v>
          </cell>
          <cell r="AJ292">
            <v>0</v>
          </cell>
          <cell r="AN292">
            <v>0</v>
          </cell>
          <cell r="AR292">
            <v>0</v>
          </cell>
          <cell r="AV292">
            <v>0</v>
          </cell>
          <cell r="AZ292">
            <v>0</v>
          </cell>
        </row>
        <row r="293">
          <cell r="Q293">
            <v>236019.11</v>
          </cell>
          <cell r="S293">
            <v>220254.11</v>
          </cell>
          <cell r="U293">
            <v>212357.11</v>
          </cell>
          <cell r="V293">
            <v>174894.11</v>
          </cell>
          <cell r="W293">
            <v>171486.11</v>
          </cell>
          <cell r="Y293">
            <v>132046.10999999999</v>
          </cell>
          <cell r="AA293">
            <v>136125.10999999999</v>
          </cell>
          <cell r="AJ293">
            <v>222455.65166666658</v>
          </cell>
          <cell r="AN293">
            <v>218668.81833333327</v>
          </cell>
          <cell r="AR293">
            <v>202287.81833333324</v>
          </cell>
          <cell r="AV293">
            <v>167884.11</v>
          </cell>
          <cell r="AZ293">
            <v>152636.06833333327</v>
          </cell>
        </row>
        <row r="294">
          <cell r="Q294">
            <v>1269776.1000000001</v>
          </cell>
          <cell r="S294">
            <v>1269776.1000000001</v>
          </cell>
          <cell r="U294">
            <v>1269776.1000000001</v>
          </cell>
          <cell r="V294">
            <v>1269776.1000000001</v>
          </cell>
          <cell r="W294">
            <v>1269776.1000000001</v>
          </cell>
          <cell r="Y294">
            <v>1269776.1000000001</v>
          </cell>
          <cell r="AA294">
            <v>1269776.1000000001</v>
          </cell>
          <cell r="AJ294">
            <v>1286531.0120833332</v>
          </cell>
          <cell r="AN294">
            <v>1279998.7162499998</v>
          </cell>
          <cell r="AR294">
            <v>1274432.6579166665</v>
          </cell>
          <cell r="AV294">
            <v>1258652.075</v>
          </cell>
          <cell r="AZ294">
            <v>1169659.875</v>
          </cell>
        </row>
        <row r="295">
          <cell r="Q295">
            <v>109007.85</v>
          </cell>
          <cell r="S295">
            <v>-107513.12</v>
          </cell>
          <cell r="U295">
            <v>-160827.37</v>
          </cell>
          <cell r="V295">
            <v>-6363.33</v>
          </cell>
          <cell r="W295">
            <v>-243357.72</v>
          </cell>
          <cell r="Y295">
            <v>-75911.67</v>
          </cell>
          <cell r="AA295">
            <v>-32569.119999999999</v>
          </cell>
          <cell r="AJ295">
            <v>58.796666666667683</v>
          </cell>
          <cell r="AN295">
            <v>-52981.907916666671</v>
          </cell>
          <cell r="AR295">
            <v>-55059.267499999994</v>
          </cell>
          <cell r="AV295">
            <v>-34484.439999999995</v>
          </cell>
          <cell r="AZ295">
            <v>-30722.507499999996</v>
          </cell>
        </row>
        <row r="296">
          <cell r="Q296">
            <v>2619710.08</v>
          </cell>
          <cell r="S296">
            <v>2634471.19</v>
          </cell>
          <cell r="U296">
            <v>2595921.54</v>
          </cell>
          <cell r="V296">
            <v>1643690.23</v>
          </cell>
          <cell r="W296">
            <v>647990.86</v>
          </cell>
          <cell r="Y296">
            <v>2432705.02</v>
          </cell>
          <cell r="AA296">
            <v>2870359.44</v>
          </cell>
          <cell r="AJ296">
            <v>109154.58666666667</v>
          </cell>
          <cell r="AN296">
            <v>1025272.3583333334</v>
          </cell>
          <cell r="AR296">
            <v>1572226.62</v>
          </cell>
          <cell r="AV296">
            <v>2503230.8066666671</v>
          </cell>
          <cell r="AZ296">
            <v>2828879.4049999998</v>
          </cell>
        </row>
        <row r="297">
          <cell r="Q297">
            <v>-657287.94999999995</v>
          </cell>
          <cell r="S297">
            <v>-657287.94999999995</v>
          </cell>
          <cell r="U297">
            <v>-1164007.8700000001</v>
          </cell>
          <cell r="V297">
            <v>-1164007.8700000001</v>
          </cell>
          <cell r="W297">
            <v>-155336.56</v>
          </cell>
          <cell r="Y297">
            <v>-155336.56</v>
          </cell>
          <cell r="AA297">
            <v>-660027.71</v>
          </cell>
          <cell r="AJ297">
            <v>-27386.997916666664</v>
          </cell>
          <cell r="AN297">
            <v>-309822.97125</v>
          </cell>
          <cell r="AR297">
            <v>-487685.73833333328</v>
          </cell>
          <cell r="AV297">
            <v>-693209.15374999994</v>
          </cell>
          <cell r="AZ297">
            <v>-501667.4520833334</v>
          </cell>
        </row>
        <row r="298">
          <cell r="Q298">
            <v>8715.92</v>
          </cell>
          <cell r="S298">
            <v>0</v>
          </cell>
          <cell r="U298">
            <v>0</v>
          </cell>
          <cell r="V298">
            <v>0</v>
          </cell>
          <cell r="W298">
            <v>0</v>
          </cell>
          <cell r="Y298">
            <v>0</v>
          </cell>
          <cell r="AA298">
            <v>0</v>
          </cell>
          <cell r="AJ298">
            <v>363.16333333333336</v>
          </cell>
          <cell r="AN298">
            <v>1452.6533333333334</v>
          </cell>
          <cell r="AR298">
            <v>1452.6533333333334</v>
          </cell>
          <cell r="AV298">
            <v>1089.49</v>
          </cell>
          <cell r="AZ298">
            <v>0</v>
          </cell>
        </row>
        <row r="299">
          <cell r="Q299">
            <v>0</v>
          </cell>
          <cell r="S299">
            <v>0</v>
          </cell>
          <cell r="U299">
            <v>0</v>
          </cell>
          <cell r="V299">
            <v>0</v>
          </cell>
          <cell r="W299">
            <v>0</v>
          </cell>
          <cell r="Y299">
            <v>0</v>
          </cell>
          <cell r="AA299">
            <v>0</v>
          </cell>
          <cell r="AJ299">
            <v>0</v>
          </cell>
          <cell r="AN299">
            <v>0</v>
          </cell>
          <cell r="AR299">
            <v>0</v>
          </cell>
          <cell r="AV299">
            <v>0</v>
          </cell>
          <cell r="AZ299">
            <v>0</v>
          </cell>
        </row>
        <row r="300">
          <cell r="Q300">
            <v>0</v>
          </cell>
          <cell r="S300">
            <v>0</v>
          </cell>
          <cell r="U300">
            <v>0</v>
          </cell>
          <cell r="V300">
            <v>0</v>
          </cell>
          <cell r="W300">
            <v>0</v>
          </cell>
          <cell r="Y300">
            <v>0</v>
          </cell>
          <cell r="AA300">
            <v>0</v>
          </cell>
          <cell r="AJ300">
            <v>0</v>
          </cell>
          <cell r="AN300">
            <v>0</v>
          </cell>
          <cell r="AR300">
            <v>0</v>
          </cell>
          <cell r="AV300">
            <v>0</v>
          </cell>
          <cell r="AZ300">
            <v>0</v>
          </cell>
        </row>
        <row r="301">
          <cell r="Q301">
            <v>467455.69</v>
          </cell>
          <cell r="S301">
            <v>461988.35</v>
          </cell>
          <cell r="U301">
            <v>461988.35</v>
          </cell>
          <cell r="V301">
            <v>461988.35</v>
          </cell>
          <cell r="W301">
            <v>461988.35</v>
          </cell>
          <cell r="Y301">
            <v>455789.73</v>
          </cell>
          <cell r="AA301">
            <v>454038.99</v>
          </cell>
          <cell r="AJ301">
            <v>467683.4941666667</v>
          </cell>
          <cell r="AN301">
            <v>466088.85499999998</v>
          </cell>
          <cell r="AR301">
            <v>463582.59500000003</v>
          </cell>
          <cell r="AV301">
            <v>454910.39250000002</v>
          </cell>
          <cell r="AZ301">
            <v>417723.22958333342</v>
          </cell>
        </row>
        <row r="302">
          <cell r="Q302">
            <v>0</v>
          </cell>
          <cell r="S302">
            <v>0</v>
          </cell>
          <cell r="U302">
            <v>0</v>
          </cell>
          <cell r="V302">
            <v>0</v>
          </cell>
          <cell r="W302">
            <v>0</v>
          </cell>
          <cell r="Y302">
            <v>0</v>
          </cell>
          <cell r="AA302">
            <v>0</v>
          </cell>
          <cell r="AJ302">
            <v>0</v>
          </cell>
          <cell r="AN302">
            <v>0</v>
          </cell>
          <cell r="AR302">
            <v>0</v>
          </cell>
          <cell r="AV302">
            <v>0</v>
          </cell>
          <cell r="AZ302">
            <v>0</v>
          </cell>
        </row>
        <row r="303">
          <cell r="Q303">
            <v>10763113.720000001</v>
          </cell>
          <cell r="S303">
            <v>10927264.039999999</v>
          </cell>
          <cell r="U303">
            <v>11385830.41</v>
          </cell>
          <cell r="V303">
            <v>11593050.359999999</v>
          </cell>
          <cell r="W303">
            <v>11385559.310000001</v>
          </cell>
          <cell r="Y303">
            <v>10598837.619999999</v>
          </cell>
          <cell r="AA303">
            <v>10348376.98</v>
          </cell>
          <cell r="AJ303">
            <v>12502888.605000002</v>
          </cell>
          <cell r="AN303">
            <v>11428256.423749998</v>
          </cell>
          <cell r="AR303">
            <v>10987814.266666668</v>
          </cell>
          <cell r="AV303">
            <v>10876446.035000002</v>
          </cell>
          <cell r="AZ303">
            <v>10607426.962083334</v>
          </cell>
        </row>
        <row r="304">
          <cell r="Q304">
            <v>3662699.87</v>
          </cell>
          <cell r="S304">
            <v>3789392.87</v>
          </cell>
          <cell r="U304">
            <v>3881393.87</v>
          </cell>
          <cell r="V304">
            <v>3808184.87</v>
          </cell>
          <cell r="W304">
            <v>3793324.87</v>
          </cell>
          <cell r="Y304">
            <v>3771389.87</v>
          </cell>
          <cell r="AA304">
            <v>3807605.87</v>
          </cell>
          <cell r="AJ304">
            <v>3538858.7866666666</v>
          </cell>
          <cell r="AN304">
            <v>3634559.5366666666</v>
          </cell>
          <cell r="AR304">
            <v>3727514.4949999996</v>
          </cell>
          <cell r="AV304">
            <v>3801788.5366666666</v>
          </cell>
          <cell r="AZ304">
            <v>3821759.8283333331</v>
          </cell>
        </row>
        <row r="305">
          <cell r="Q305">
            <v>-10763113.720000001</v>
          </cell>
          <cell r="S305">
            <v>-10927264.039999999</v>
          </cell>
          <cell r="U305">
            <v>-11373157.609999999</v>
          </cell>
          <cell r="V305">
            <v>-11586482.210000001</v>
          </cell>
          <cell r="W305">
            <v>-11385559.310000001</v>
          </cell>
          <cell r="Y305">
            <v>-10598837.619999999</v>
          </cell>
          <cell r="AA305">
            <v>-10324551</v>
          </cell>
          <cell r="AJ305">
            <v>-12477522.497500002</v>
          </cell>
          <cell r="AN305">
            <v>-11402362.282916667</v>
          </cell>
          <cell r="AR305">
            <v>-10981278.897916667</v>
          </cell>
          <cell r="AV305">
            <v>-10872857.124166667</v>
          </cell>
          <cell r="AZ305">
            <v>-10604366.084583335</v>
          </cell>
        </row>
        <row r="306">
          <cell r="Q306">
            <v>2812058.79</v>
          </cell>
          <cell r="S306">
            <v>2907078.79</v>
          </cell>
          <cell r="U306">
            <v>2976080.79</v>
          </cell>
          <cell r="V306">
            <v>2921175.79</v>
          </cell>
          <cell r="W306">
            <v>2910033.79</v>
          </cell>
          <cell r="Y306">
            <v>2893587.79</v>
          </cell>
          <cell r="AA306">
            <v>2920751.79</v>
          </cell>
          <cell r="AJ306">
            <v>2719173.0816666661</v>
          </cell>
          <cell r="AN306">
            <v>2790951.2066666661</v>
          </cell>
          <cell r="AR306">
            <v>2860671.5816666665</v>
          </cell>
          <cell r="AV306">
            <v>2916381.9149999996</v>
          </cell>
          <cell r="AZ306">
            <v>2931365.9983333331</v>
          </cell>
        </row>
        <row r="307">
          <cell r="Q307">
            <v>6924082.9900000002</v>
          </cell>
          <cell r="S307">
            <v>7019344.25</v>
          </cell>
          <cell r="U307">
            <v>8814246.3100000005</v>
          </cell>
          <cell r="V307">
            <v>10020978.029999999</v>
          </cell>
          <cell r="W307">
            <v>10041976.82</v>
          </cell>
          <cell r="Y307">
            <v>10186882.630000001</v>
          </cell>
          <cell r="AA307">
            <v>13438047.15</v>
          </cell>
          <cell r="AJ307">
            <v>2805053.0529166665</v>
          </cell>
          <cell r="AN307">
            <v>4695493.6983333342</v>
          </cell>
          <cell r="AR307">
            <v>7020482.2300000004</v>
          </cell>
          <cell r="AV307">
            <v>9872144.9237500001</v>
          </cell>
          <cell r="AZ307">
            <v>12536668.922916666</v>
          </cell>
        </row>
        <row r="308">
          <cell r="Q308">
            <v>2315.4899999999998</v>
          </cell>
          <cell r="S308">
            <v>2315.4899999999998</v>
          </cell>
          <cell r="U308">
            <v>2315.4899999999998</v>
          </cell>
          <cell r="V308">
            <v>1875.49</v>
          </cell>
          <cell r="W308">
            <v>1875.49</v>
          </cell>
          <cell r="Y308">
            <v>1875.49</v>
          </cell>
          <cell r="AA308">
            <v>605.33000000000004</v>
          </cell>
          <cell r="AJ308">
            <v>78876.049999999988</v>
          </cell>
          <cell r="AN308">
            <v>51914.389999999992</v>
          </cell>
          <cell r="AR308">
            <v>24824.396666666657</v>
          </cell>
          <cell r="AV308">
            <v>1603.0070833333332</v>
          </cell>
          <cell r="AZ308">
            <v>831.17708333333337</v>
          </cell>
        </row>
        <row r="309">
          <cell r="Q309">
            <v>275.54000000000002</v>
          </cell>
          <cell r="S309">
            <v>275.54000000000002</v>
          </cell>
          <cell r="U309">
            <v>275.54000000000002</v>
          </cell>
          <cell r="V309">
            <v>0</v>
          </cell>
          <cell r="W309">
            <v>0</v>
          </cell>
          <cell r="Y309">
            <v>0</v>
          </cell>
          <cell r="AA309">
            <v>0</v>
          </cell>
          <cell r="AJ309">
            <v>107732.40083333332</v>
          </cell>
          <cell r="AN309">
            <v>72057.927500000005</v>
          </cell>
          <cell r="AR309">
            <v>34176.00499999999</v>
          </cell>
          <cell r="AV309">
            <v>103.3275</v>
          </cell>
          <cell r="AZ309">
            <v>11.480833333333335</v>
          </cell>
        </row>
        <row r="310">
          <cell r="Q310">
            <v>29947096.379999999</v>
          </cell>
          <cell r="S310">
            <v>31865431.100000001</v>
          </cell>
          <cell r="U310">
            <v>34772037.689999998</v>
          </cell>
          <cell r="V310">
            <v>36220387.350000001</v>
          </cell>
          <cell r="W310">
            <v>37309929.359999999</v>
          </cell>
          <cell r="Y310">
            <v>33383952.77</v>
          </cell>
          <cell r="AA310">
            <v>29434504.68</v>
          </cell>
          <cell r="AJ310">
            <v>33032604.543333337</v>
          </cell>
          <cell r="AN310">
            <v>31806191.614583332</v>
          </cell>
          <cell r="AR310">
            <v>32498803.71166667</v>
          </cell>
          <cell r="AV310">
            <v>32882758.389166668</v>
          </cell>
          <cell r="AZ310">
            <v>33423691.943750005</v>
          </cell>
        </row>
        <row r="311">
          <cell r="Q311">
            <v>8943192.1799999997</v>
          </cell>
          <cell r="S311">
            <v>9001657.0899999999</v>
          </cell>
          <cell r="U311">
            <v>9104592.6899999995</v>
          </cell>
          <cell r="V311">
            <v>8963351.9199999999</v>
          </cell>
          <cell r="W311">
            <v>8473294.4299999997</v>
          </cell>
          <cell r="Y311">
            <v>8215760.4800000004</v>
          </cell>
          <cell r="AA311">
            <v>7416364.6100000003</v>
          </cell>
          <cell r="AJ311">
            <v>8593425.4312500004</v>
          </cell>
          <cell r="AN311">
            <v>9207281.182500001</v>
          </cell>
          <cell r="AR311">
            <v>9029132.958333334</v>
          </cell>
          <cell r="AV311">
            <v>8507003.6549999993</v>
          </cell>
          <cell r="AZ311">
            <v>7968951.7508333335</v>
          </cell>
        </row>
        <row r="312">
          <cell r="Q312">
            <v>3592860.68</v>
          </cell>
          <cell r="S312">
            <v>3726699.2</v>
          </cell>
          <cell r="U312">
            <v>3709950.87</v>
          </cell>
          <cell r="V312">
            <v>3741965.06</v>
          </cell>
          <cell r="W312">
            <v>3880110</v>
          </cell>
          <cell r="Y312">
            <v>3756949.55</v>
          </cell>
          <cell r="AA312">
            <v>3737685.68</v>
          </cell>
          <cell r="AJ312">
            <v>3470041.0066666664</v>
          </cell>
          <cell r="AN312">
            <v>3517609.9820833332</v>
          </cell>
          <cell r="AR312">
            <v>3663612.8554166667</v>
          </cell>
          <cell r="AV312">
            <v>3766630.2962500001</v>
          </cell>
          <cell r="AZ312">
            <v>3809428.8283333327</v>
          </cell>
        </row>
        <row r="313">
          <cell r="Q313">
            <v>190932.86</v>
          </cell>
          <cell r="S313">
            <v>190932.86</v>
          </cell>
          <cell r="U313">
            <v>190932.86</v>
          </cell>
          <cell r="V313">
            <v>0</v>
          </cell>
          <cell r="W313">
            <v>0</v>
          </cell>
          <cell r="Y313">
            <v>0</v>
          </cell>
          <cell r="AA313">
            <v>0</v>
          </cell>
          <cell r="AJ313">
            <v>161816.91083333333</v>
          </cell>
          <cell r="AN313">
            <v>171944.19749999995</v>
          </cell>
          <cell r="AR313">
            <v>126382.73333333332</v>
          </cell>
          <cell r="AV313">
            <v>71599.822499999995</v>
          </cell>
          <cell r="AZ313">
            <v>7955.5358333333324</v>
          </cell>
        </row>
        <row r="314">
          <cell r="Q314">
            <v>826440.14</v>
          </cell>
          <cell r="S314">
            <v>826440.14</v>
          </cell>
          <cell r="U314">
            <v>8698.56</v>
          </cell>
          <cell r="V314">
            <v>8698.56</v>
          </cell>
          <cell r="W314">
            <v>8698.56</v>
          </cell>
          <cell r="Y314">
            <v>8698.56</v>
          </cell>
          <cell r="AA314">
            <v>8698.56</v>
          </cell>
          <cell r="AJ314">
            <v>312306.12999999995</v>
          </cell>
          <cell r="AN314">
            <v>422944.19083333336</v>
          </cell>
          <cell r="AR314">
            <v>299732.6241666667</v>
          </cell>
          <cell r="AV314">
            <v>241460.86750000002</v>
          </cell>
          <cell r="AZ314">
            <v>4711.7199999999993</v>
          </cell>
        </row>
        <row r="315">
          <cell r="Q315">
            <v>521979.19</v>
          </cell>
          <cell r="S315">
            <v>521979.19</v>
          </cell>
          <cell r="U315">
            <v>0</v>
          </cell>
          <cell r="V315">
            <v>0</v>
          </cell>
          <cell r="W315">
            <v>29345.3</v>
          </cell>
          <cell r="Y315">
            <v>19671.32</v>
          </cell>
          <cell r="AA315">
            <v>0</v>
          </cell>
          <cell r="AJ315">
            <v>617037.8175</v>
          </cell>
          <cell r="AN315">
            <v>497767.6412500001</v>
          </cell>
          <cell r="AR315">
            <v>272935.11458333326</v>
          </cell>
          <cell r="AV315">
            <v>117829.97875000001</v>
          </cell>
          <cell r="AZ315">
            <v>7363.2716666666674</v>
          </cell>
        </row>
        <row r="316">
          <cell r="Q316">
            <v>55.82</v>
          </cell>
          <cell r="S316">
            <v>55.82</v>
          </cell>
          <cell r="U316">
            <v>0</v>
          </cell>
          <cell r="V316">
            <v>0</v>
          </cell>
          <cell r="W316">
            <v>0</v>
          </cell>
          <cell r="Y316">
            <v>-3819.9</v>
          </cell>
          <cell r="AA316">
            <v>0</v>
          </cell>
          <cell r="AJ316">
            <v>543520.44999999995</v>
          </cell>
          <cell r="AN316">
            <v>64724.252500000002</v>
          </cell>
          <cell r="AR316">
            <v>923.86291666666659</v>
          </cell>
          <cell r="AV316">
            <v>-625.02083333333337</v>
          </cell>
          <cell r="AZ316">
            <v>-636.65</v>
          </cell>
        </row>
        <row r="317">
          <cell r="Q317">
            <v>13530.88</v>
          </cell>
          <cell r="S317">
            <v>13530.88</v>
          </cell>
          <cell r="U317">
            <v>0</v>
          </cell>
          <cell r="V317">
            <v>0</v>
          </cell>
          <cell r="W317">
            <v>0</v>
          </cell>
          <cell r="Y317">
            <v>0</v>
          </cell>
          <cell r="AA317">
            <v>0</v>
          </cell>
          <cell r="AJ317">
            <v>2513.2874999999999</v>
          </cell>
          <cell r="AN317">
            <v>6459.7941666666666</v>
          </cell>
          <cell r="AR317">
            <v>6459.7941666666666</v>
          </cell>
          <cell r="AV317">
            <v>3946.5066666666667</v>
          </cell>
          <cell r="AZ317">
            <v>0</v>
          </cell>
        </row>
        <row r="318">
          <cell r="Q318">
            <v>123787.93</v>
          </cell>
          <cell r="S318">
            <v>123787.93</v>
          </cell>
          <cell r="U318">
            <v>123787.93</v>
          </cell>
          <cell r="V318">
            <v>123787.93</v>
          </cell>
          <cell r="W318">
            <v>123787.93</v>
          </cell>
          <cell r="Y318">
            <v>123787.93</v>
          </cell>
          <cell r="AA318">
            <v>123787.93</v>
          </cell>
          <cell r="AJ318">
            <v>1630157.8304166666</v>
          </cell>
          <cell r="AN318">
            <v>1671420.4737499999</v>
          </cell>
          <cell r="AR318">
            <v>1225183.1170833332</v>
          </cell>
          <cell r="AV318">
            <v>108314.43874999997</v>
          </cell>
          <cell r="AZ318">
            <v>67051.795416666646</v>
          </cell>
        </row>
        <row r="319">
          <cell r="AA319">
            <v>0</v>
          </cell>
          <cell r="AJ319">
            <v>0</v>
          </cell>
          <cell r="AN319">
            <v>0</v>
          </cell>
          <cell r="AR319">
            <v>0</v>
          </cell>
          <cell r="AV319">
            <v>0</v>
          </cell>
          <cell r="AZ319">
            <v>87437.74083333333</v>
          </cell>
        </row>
        <row r="320">
          <cell r="Q320">
            <v>0</v>
          </cell>
          <cell r="S320">
            <v>0</v>
          </cell>
          <cell r="U320">
            <v>0</v>
          </cell>
          <cell r="V320">
            <v>0</v>
          </cell>
          <cell r="W320">
            <v>0</v>
          </cell>
          <cell r="Y320">
            <v>0</v>
          </cell>
          <cell r="AA320">
            <v>0</v>
          </cell>
          <cell r="AJ320">
            <v>53716.127083333326</v>
          </cell>
          <cell r="AN320">
            <v>31098.810416666664</v>
          </cell>
          <cell r="AR320">
            <v>8481.4937499999996</v>
          </cell>
          <cell r="AV320">
            <v>0</v>
          </cell>
          <cell r="AZ320">
            <v>0</v>
          </cell>
        </row>
        <row r="321">
          <cell r="Q321">
            <v>1009738.25</v>
          </cell>
          <cell r="S321">
            <v>1009738.25</v>
          </cell>
          <cell r="U321">
            <v>1009738.25</v>
          </cell>
          <cell r="V321">
            <v>0</v>
          </cell>
          <cell r="W321">
            <v>0</v>
          </cell>
          <cell r="Y321">
            <v>0</v>
          </cell>
          <cell r="AA321">
            <v>0</v>
          </cell>
          <cell r="AJ321">
            <v>42072.427083333336</v>
          </cell>
          <cell r="AN321">
            <v>378651.84375</v>
          </cell>
          <cell r="AR321">
            <v>420724.27083333331</v>
          </cell>
          <cell r="AV321">
            <v>378651.84375</v>
          </cell>
          <cell r="AZ321">
            <v>42072.427083333336</v>
          </cell>
        </row>
        <row r="322">
          <cell r="Q322">
            <v>0</v>
          </cell>
          <cell r="S322">
            <v>0</v>
          </cell>
          <cell r="U322">
            <v>0</v>
          </cell>
          <cell r="V322">
            <v>0</v>
          </cell>
          <cell r="W322">
            <v>0</v>
          </cell>
          <cell r="Y322">
            <v>0</v>
          </cell>
          <cell r="AA322">
            <v>0</v>
          </cell>
          <cell r="AJ322">
            <v>0</v>
          </cell>
          <cell r="AN322">
            <v>0</v>
          </cell>
          <cell r="AR322">
            <v>0</v>
          </cell>
          <cell r="AV322">
            <v>0</v>
          </cell>
          <cell r="AZ322">
            <v>0</v>
          </cell>
        </row>
        <row r="323">
          <cell r="Q323">
            <v>2465032.23</v>
          </cell>
          <cell r="S323">
            <v>2704538.63</v>
          </cell>
          <cell r="U323">
            <v>2906408.68</v>
          </cell>
          <cell r="V323">
            <v>3049913.52</v>
          </cell>
          <cell r="W323">
            <v>2963123.53</v>
          </cell>
          <cell r="Y323">
            <v>2849300.16</v>
          </cell>
          <cell r="AA323">
            <v>2781643.79</v>
          </cell>
          <cell r="AJ323">
            <v>2268877.7270833333</v>
          </cell>
          <cell r="AN323">
            <v>2483046.4091666667</v>
          </cell>
          <cell r="AR323">
            <v>2623464.5195833333</v>
          </cell>
          <cell r="AV323">
            <v>2793219.8629166665</v>
          </cell>
          <cell r="AZ323">
            <v>3005854.5020833337</v>
          </cell>
        </row>
        <row r="324">
          <cell r="Q324">
            <v>873329.15</v>
          </cell>
          <cell r="S324">
            <v>857157.85</v>
          </cell>
          <cell r="U324">
            <v>871444.67</v>
          </cell>
          <cell r="V324">
            <v>806273.01</v>
          </cell>
          <cell r="W324">
            <v>804923.6</v>
          </cell>
          <cell r="Y324">
            <v>744882.97</v>
          </cell>
          <cell r="AA324">
            <v>593228.57999999996</v>
          </cell>
          <cell r="AJ324">
            <v>1100641.8029166667</v>
          </cell>
          <cell r="AN324">
            <v>969349.56458333321</v>
          </cell>
          <cell r="AR324">
            <v>869978.59833333327</v>
          </cell>
          <cell r="AV324">
            <v>762250.98583333334</v>
          </cell>
          <cell r="AZ324">
            <v>664777.85499999986</v>
          </cell>
        </row>
        <row r="325">
          <cell r="Q325">
            <v>0</v>
          </cell>
          <cell r="S325">
            <v>0</v>
          </cell>
          <cell r="U325">
            <v>0</v>
          </cell>
          <cell r="V325">
            <v>0</v>
          </cell>
          <cell r="W325">
            <v>0</v>
          </cell>
          <cell r="Y325">
            <v>0</v>
          </cell>
          <cell r="AA325">
            <v>0</v>
          </cell>
          <cell r="AJ325">
            <v>0</v>
          </cell>
          <cell r="AN325">
            <v>0</v>
          </cell>
          <cell r="AR325">
            <v>0</v>
          </cell>
          <cell r="AV325">
            <v>0</v>
          </cell>
          <cell r="AZ325">
            <v>0</v>
          </cell>
        </row>
        <row r="326">
          <cell r="Q326">
            <v>0</v>
          </cell>
          <cell r="S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0</v>
          </cell>
          <cell r="AA326">
            <v>0</v>
          </cell>
          <cell r="AJ326">
            <v>0</v>
          </cell>
          <cell r="AN326">
            <v>0</v>
          </cell>
          <cell r="AR326">
            <v>0</v>
          </cell>
          <cell r="AV326">
            <v>0</v>
          </cell>
          <cell r="AZ326">
            <v>0</v>
          </cell>
        </row>
        <row r="327">
          <cell r="Q327">
            <v>114772.51</v>
          </cell>
          <cell r="S327">
            <v>147133.41</v>
          </cell>
          <cell r="U327">
            <v>192808.37</v>
          </cell>
          <cell r="V327">
            <v>217879.67999999999</v>
          </cell>
          <cell r="W327">
            <v>238199.27</v>
          </cell>
          <cell r="Y327">
            <v>242001.82</v>
          </cell>
          <cell r="AA327">
            <v>308465.37</v>
          </cell>
          <cell r="AJ327">
            <v>34043.377916666665</v>
          </cell>
          <cell r="AN327">
            <v>83869.021249999991</v>
          </cell>
          <cell r="AR327">
            <v>151508.58041666666</v>
          </cell>
          <cell r="AV327">
            <v>222828.89</v>
          </cell>
          <cell r="AZ327">
            <v>295195.16875000001</v>
          </cell>
        </row>
        <row r="328">
          <cell r="Q328">
            <v>38919608.960000001</v>
          </cell>
          <cell r="S328">
            <v>31624434.75</v>
          </cell>
          <cell r="U328">
            <v>26479524.129999999</v>
          </cell>
          <cell r="V328">
            <v>27779200.210000001</v>
          </cell>
          <cell r="W328">
            <v>33058033.059999999</v>
          </cell>
          <cell r="Y328">
            <v>35317042.43</v>
          </cell>
          <cell r="AA328">
            <v>34975907.219999999</v>
          </cell>
          <cell r="AJ328">
            <v>34865754.038333327</v>
          </cell>
          <cell r="AN328">
            <v>39566579.71791666</v>
          </cell>
          <cell r="AR328">
            <v>38206777.445</v>
          </cell>
          <cell r="AV328">
            <v>32287838.731250007</v>
          </cell>
          <cell r="AZ328">
            <v>28675345.375833336</v>
          </cell>
        </row>
        <row r="329">
          <cell r="Q329">
            <v>7056107.8899999997</v>
          </cell>
          <cell r="S329">
            <v>5530378.4100000001</v>
          </cell>
          <cell r="U329">
            <v>4196739.07</v>
          </cell>
          <cell r="V329">
            <v>8304363.8200000003</v>
          </cell>
          <cell r="W329">
            <v>7681886.54</v>
          </cell>
          <cell r="Y329">
            <v>7434885.5800000001</v>
          </cell>
          <cell r="AA329">
            <v>7184798.4900000002</v>
          </cell>
          <cell r="AJ329">
            <v>7405891.3862499995</v>
          </cell>
          <cell r="AN329">
            <v>7417822.0804166654</v>
          </cell>
          <cell r="AR329">
            <v>7181372.9349999996</v>
          </cell>
          <cell r="AV329">
            <v>6628943.8587500006</v>
          </cell>
          <cell r="AZ329">
            <v>6986502.1870833337</v>
          </cell>
        </row>
        <row r="330">
          <cell r="Q330">
            <v>60567476.310000002</v>
          </cell>
          <cell r="S330">
            <v>47636665.810000002</v>
          </cell>
          <cell r="U330">
            <v>35048420.770000003</v>
          </cell>
          <cell r="V330">
            <v>41454188.509999998</v>
          </cell>
          <cell r="W330">
            <v>47383496.969999999</v>
          </cell>
          <cell r="Y330">
            <v>50166856.020000003</v>
          </cell>
          <cell r="AA330">
            <v>51078367.020000003</v>
          </cell>
          <cell r="AJ330">
            <v>38895323.555833332</v>
          </cell>
          <cell r="AN330">
            <v>45466516.791249998</v>
          </cell>
          <cell r="AR330">
            <v>49952551.657083333</v>
          </cell>
          <cell r="AV330">
            <v>47311322.00666666</v>
          </cell>
          <cell r="AZ330">
            <v>45380436.170833342</v>
          </cell>
        </row>
        <row r="331">
          <cell r="Q331">
            <v>0</v>
          </cell>
          <cell r="S331">
            <v>0</v>
          </cell>
          <cell r="U331">
            <v>0</v>
          </cell>
          <cell r="V331">
            <v>0</v>
          </cell>
          <cell r="W331">
            <v>0</v>
          </cell>
          <cell r="Y331">
            <v>0</v>
          </cell>
          <cell r="AA331">
            <v>0</v>
          </cell>
          <cell r="AJ331">
            <v>955723.84583333333</v>
          </cell>
          <cell r="AN331">
            <v>0</v>
          </cell>
          <cell r="AR331">
            <v>0</v>
          </cell>
          <cell r="AV331">
            <v>0</v>
          </cell>
          <cell r="AZ331">
            <v>0</v>
          </cell>
        </row>
        <row r="332">
          <cell r="Q332">
            <v>576201.30000000005</v>
          </cell>
          <cell r="S332">
            <v>576201.30000000005</v>
          </cell>
          <cell r="U332">
            <v>576201.30000000005</v>
          </cell>
          <cell r="V332">
            <v>576201.30000000005</v>
          </cell>
          <cell r="W332">
            <v>576201.30000000005</v>
          </cell>
          <cell r="Y332">
            <v>576201.30000000005</v>
          </cell>
          <cell r="AA332">
            <v>576201.30000000005</v>
          </cell>
          <cell r="AJ332">
            <v>576201.29999999993</v>
          </cell>
          <cell r="AN332">
            <v>576201.29999999993</v>
          </cell>
          <cell r="AR332">
            <v>576201.29999999993</v>
          </cell>
          <cell r="AV332">
            <v>576201.29999999993</v>
          </cell>
          <cell r="AZ332">
            <v>576201.29999999993</v>
          </cell>
        </row>
        <row r="333">
          <cell r="Q333">
            <v>27666.98</v>
          </cell>
          <cell r="S333">
            <v>83834.84</v>
          </cell>
          <cell r="U333">
            <v>144089.84</v>
          </cell>
          <cell r="V333">
            <v>144089.84</v>
          </cell>
          <cell r="W333">
            <v>144089.84</v>
          </cell>
          <cell r="Y333">
            <v>144089.84</v>
          </cell>
          <cell r="AA333">
            <v>43316.27</v>
          </cell>
          <cell r="AJ333">
            <v>69967.68541666666</v>
          </cell>
          <cell r="AN333">
            <v>71646.031666666662</v>
          </cell>
          <cell r="AR333">
            <v>98546.131666666653</v>
          </cell>
          <cell r="AV333">
            <v>102954.10208333332</v>
          </cell>
          <cell r="AZ333">
            <v>92285.022500000006</v>
          </cell>
        </row>
        <row r="334">
          <cell r="Q334">
            <v>2034.05</v>
          </cell>
          <cell r="S334">
            <v>678.05</v>
          </cell>
          <cell r="U334">
            <v>39421.25</v>
          </cell>
          <cell r="V334">
            <v>35837.5</v>
          </cell>
          <cell r="W334">
            <v>32253.75</v>
          </cell>
          <cell r="Y334">
            <v>25086.25</v>
          </cell>
          <cell r="AA334">
            <v>0</v>
          </cell>
          <cell r="AJ334">
            <v>4334.7712500000007</v>
          </cell>
          <cell r="AN334">
            <v>5060.8458333333338</v>
          </cell>
          <cell r="AR334">
            <v>13778.079166666665</v>
          </cell>
          <cell r="AV334">
            <v>15485.197916666666</v>
          </cell>
          <cell r="AZ334">
            <v>15222.96875</v>
          </cell>
        </row>
        <row r="335">
          <cell r="Q335">
            <v>0</v>
          </cell>
          <cell r="S335">
            <v>0</v>
          </cell>
          <cell r="U335">
            <v>0</v>
          </cell>
          <cell r="V335">
            <v>0</v>
          </cell>
          <cell r="W335">
            <v>0</v>
          </cell>
          <cell r="Y335">
            <v>0</v>
          </cell>
          <cell r="AA335">
            <v>0</v>
          </cell>
          <cell r="AJ335">
            <v>0</v>
          </cell>
          <cell r="AN335">
            <v>0</v>
          </cell>
          <cell r="AR335">
            <v>0</v>
          </cell>
          <cell r="AV335">
            <v>0</v>
          </cell>
          <cell r="AZ335">
            <v>0</v>
          </cell>
        </row>
        <row r="336">
          <cell r="Q336">
            <v>2600231.17</v>
          </cell>
          <cell r="S336">
            <v>2100830.0499999998</v>
          </cell>
          <cell r="U336">
            <v>1633978.93</v>
          </cell>
          <cell r="V336">
            <v>1400553.37</v>
          </cell>
          <cell r="W336">
            <v>1167127.81</v>
          </cell>
          <cell r="Y336">
            <v>700276.69</v>
          </cell>
          <cell r="AA336">
            <v>233425.57</v>
          </cell>
          <cell r="AJ336">
            <v>1189509.3445833335</v>
          </cell>
          <cell r="AN336">
            <v>1273261.3262499999</v>
          </cell>
          <cell r="AR336">
            <v>1293095.41625</v>
          </cell>
          <cell r="AV336">
            <v>1305746.6595833332</v>
          </cell>
          <cell r="AZ336">
            <v>1424279.0062499999</v>
          </cell>
        </row>
        <row r="337">
          <cell r="Q337">
            <v>8697.24</v>
          </cell>
          <cell r="S337">
            <v>5218.3599999999997</v>
          </cell>
          <cell r="U337">
            <v>1739.48</v>
          </cell>
          <cell r="V337">
            <v>0</v>
          </cell>
          <cell r="W337">
            <v>23259.23</v>
          </cell>
          <cell r="Y337">
            <v>18045.27</v>
          </cell>
          <cell r="AA337">
            <v>14035.21</v>
          </cell>
          <cell r="AJ337">
            <v>9730.9654166666642</v>
          </cell>
          <cell r="AN337">
            <v>9573.5154166666671</v>
          </cell>
          <cell r="AR337">
            <v>10231.652083333334</v>
          </cell>
          <cell r="AV337">
            <v>10851.348749999999</v>
          </cell>
          <cell r="AZ337">
            <v>11116.925416666665</v>
          </cell>
        </row>
        <row r="338">
          <cell r="Q338">
            <v>0</v>
          </cell>
          <cell r="S338">
            <v>0</v>
          </cell>
          <cell r="U338">
            <v>0</v>
          </cell>
          <cell r="V338">
            <v>0</v>
          </cell>
          <cell r="W338">
            <v>0</v>
          </cell>
          <cell r="Y338">
            <v>0</v>
          </cell>
          <cell r="AA338">
            <v>0</v>
          </cell>
          <cell r="AJ338">
            <v>0</v>
          </cell>
          <cell r="AN338">
            <v>0</v>
          </cell>
          <cell r="AR338">
            <v>0</v>
          </cell>
          <cell r="AV338">
            <v>0</v>
          </cell>
          <cell r="AZ338">
            <v>0</v>
          </cell>
        </row>
        <row r="339">
          <cell r="Q339">
            <v>3162.15</v>
          </cell>
          <cell r="S339">
            <v>26575.79</v>
          </cell>
          <cell r="U339">
            <v>21885.95</v>
          </cell>
          <cell r="V339">
            <v>19541.03</v>
          </cell>
          <cell r="W339">
            <v>17196.11</v>
          </cell>
          <cell r="Y339">
            <v>12506.27</v>
          </cell>
          <cell r="AA339">
            <v>7816.43</v>
          </cell>
          <cell r="AJ339">
            <v>13735.482083333334</v>
          </cell>
          <cell r="AN339">
            <v>13775.753333333332</v>
          </cell>
          <cell r="AR339">
            <v>13710.58</v>
          </cell>
          <cell r="AV339">
            <v>13680.953333333333</v>
          </cell>
          <cell r="AZ339">
            <v>14154.240833333335</v>
          </cell>
        </row>
        <row r="340">
          <cell r="Q340">
            <v>512596.01</v>
          </cell>
          <cell r="S340">
            <v>0</v>
          </cell>
          <cell r="U340">
            <v>0</v>
          </cell>
          <cell r="V340">
            <v>0</v>
          </cell>
          <cell r="W340">
            <v>0</v>
          </cell>
          <cell r="Y340">
            <v>0</v>
          </cell>
          <cell r="AA340">
            <v>0</v>
          </cell>
          <cell r="AJ340">
            <v>885150.92999999982</v>
          </cell>
          <cell r="AN340">
            <v>784149.86708333343</v>
          </cell>
          <cell r="AR340">
            <v>320372.51041666663</v>
          </cell>
          <cell r="AV340">
            <v>51869.833749999998</v>
          </cell>
          <cell r="AZ340">
            <v>0</v>
          </cell>
        </row>
        <row r="341">
          <cell r="Q341">
            <v>24649.96</v>
          </cell>
          <cell r="S341">
            <v>16433.28</v>
          </cell>
          <cell r="U341">
            <v>8216.6</v>
          </cell>
          <cell r="V341">
            <v>4108.26</v>
          </cell>
          <cell r="W341">
            <v>0</v>
          </cell>
          <cell r="Y341">
            <v>46495</v>
          </cell>
          <cell r="AA341">
            <v>37196</v>
          </cell>
          <cell r="AJ341">
            <v>26458.847916666666</v>
          </cell>
          <cell r="AN341">
            <v>26536.891250000004</v>
          </cell>
          <cell r="AR341">
            <v>23317.353333333333</v>
          </cell>
          <cell r="AV341">
            <v>24760.473333333332</v>
          </cell>
          <cell r="AZ341">
            <v>25482.046666666665</v>
          </cell>
        </row>
        <row r="342">
          <cell r="Q342">
            <v>168662.03</v>
          </cell>
          <cell r="S342">
            <v>137996.21</v>
          </cell>
          <cell r="U342">
            <v>107330.39</v>
          </cell>
          <cell r="V342">
            <v>91997.48</v>
          </cell>
          <cell r="W342">
            <v>76664.570000000007</v>
          </cell>
          <cell r="Y342">
            <v>45998.75</v>
          </cell>
          <cell r="AA342">
            <v>15332.93</v>
          </cell>
          <cell r="AJ342">
            <v>84078.519166666665</v>
          </cell>
          <cell r="AN342">
            <v>84228.765833333324</v>
          </cell>
          <cell r="AR342">
            <v>84312.239166666681</v>
          </cell>
          <cell r="AV342">
            <v>82995.671250000014</v>
          </cell>
          <cell r="AZ342">
            <v>74255.181250000009</v>
          </cell>
        </row>
        <row r="343">
          <cell r="Q343">
            <v>11837.53</v>
          </cell>
          <cell r="S343">
            <v>9321.11</v>
          </cell>
          <cell r="U343">
            <v>5025.03</v>
          </cell>
          <cell r="V343">
            <v>5876.99</v>
          </cell>
          <cell r="W343">
            <v>45518.95</v>
          </cell>
          <cell r="Y343">
            <v>37762.370000000003</v>
          </cell>
          <cell r="AA343">
            <v>30005.79</v>
          </cell>
          <cell r="AJ343">
            <v>23143.764999999999</v>
          </cell>
          <cell r="AN343">
            <v>17076.016249999997</v>
          </cell>
          <cell r="AR343">
            <v>17966.72625</v>
          </cell>
          <cell r="AV343">
            <v>22658.287916666664</v>
          </cell>
          <cell r="AZ343">
            <v>25041.136666666669</v>
          </cell>
        </row>
        <row r="344">
          <cell r="Q344">
            <v>664311.64</v>
          </cell>
          <cell r="S344">
            <v>221437.18</v>
          </cell>
          <cell r="U344">
            <v>2932474.49</v>
          </cell>
          <cell r="V344">
            <v>2665885.9</v>
          </cell>
          <cell r="W344">
            <v>2399297.31</v>
          </cell>
          <cell r="Y344">
            <v>1866120.13</v>
          </cell>
          <cell r="AA344">
            <v>1332328.3500000001</v>
          </cell>
          <cell r="AJ344">
            <v>1164809.8774999997</v>
          </cell>
          <cell r="AN344">
            <v>1213060.5216666667</v>
          </cell>
          <cell r="AR344">
            <v>1374053.1912500001</v>
          </cell>
          <cell r="AV344">
            <v>1449197.9195833334</v>
          </cell>
          <cell r="AZ344">
            <v>1455234.9570833331</v>
          </cell>
        </row>
        <row r="345">
          <cell r="Q345">
            <v>16486.25</v>
          </cell>
          <cell r="S345">
            <v>13488.75</v>
          </cell>
          <cell r="U345">
            <v>10491.25</v>
          </cell>
          <cell r="V345">
            <v>8992.5</v>
          </cell>
          <cell r="W345">
            <v>7493.75</v>
          </cell>
          <cell r="Y345">
            <v>4496.25</v>
          </cell>
          <cell r="AA345">
            <v>1498.75</v>
          </cell>
          <cell r="AJ345">
            <v>8243.125</v>
          </cell>
          <cell r="AN345">
            <v>8243.125</v>
          </cell>
          <cell r="AR345">
            <v>8243.125</v>
          </cell>
          <cell r="AV345">
            <v>8166.736249999999</v>
          </cell>
          <cell r="AZ345">
            <v>7666.7395833333321</v>
          </cell>
        </row>
        <row r="346">
          <cell r="Q346">
            <v>0</v>
          </cell>
          <cell r="S346">
            <v>18333.330000000002</v>
          </cell>
          <cell r="U346">
            <v>36666.67</v>
          </cell>
          <cell r="V346">
            <v>18333.34</v>
          </cell>
          <cell r="W346">
            <v>55000</v>
          </cell>
          <cell r="Y346">
            <v>18333.330000000002</v>
          </cell>
          <cell r="AA346">
            <v>36666.67</v>
          </cell>
          <cell r="AJ346">
            <v>32083.33666666667</v>
          </cell>
          <cell r="AN346">
            <v>32083.334999999995</v>
          </cell>
          <cell r="AR346">
            <v>32083.333750000005</v>
          </cell>
          <cell r="AV346">
            <v>32083.333333333332</v>
          </cell>
          <cell r="AZ346">
            <v>32569.447083333333</v>
          </cell>
        </row>
        <row r="347">
          <cell r="Q347">
            <v>60697.5</v>
          </cell>
          <cell r="S347">
            <v>0</v>
          </cell>
          <cell r="U347">
            <v>303487.5</v>
          </cell>
          <cell r="V347">
            <v>273138.75</v>
          </cell>
          <cell r="W347">
            <v>242790</v>
          </cell>
          <cell r="Y347">
            <v>182092.5</v>
          </cell>
          <cell r="AA347">
            <v>121395</v>
          </cell>
          <cell r="AJ347">
            <v>166918.125</v>
          </cell>
          <cell r="AN347">
            <v>166918.125</v>
          </cell>
          <cell r="AR347">
            <v>166918.125</v>
          </cell>
          <cell r="AV347">
            <v>166918.125</v>
          </cell>
          <cell r="AZ347">
            <v>153429.79166666666</v>
          </cell>
        </row>
        <row r="348">
          <cell r="Q348">
            <v>0</v>
          </cell>
          <cell r="S348">
            <v>1052105.8999999999</v>
          </cell>
          <cell r="U348">
            <v>841684.72</v>
          </cell>
          <cell r="V348">
            <v>736474.13</v>
          </cell>
          <cell r="W348">
            <v>631263.54</v>
          </cell>
          <cell r="Y348">
            <v>420842.36</v>
          </cell>
          <cell r="AA348">
            <v>210421.18</v>
          </cell>
          <cell r="AJ348">
            <v>353278.14583333331</v>
          </cell>
          <cell r="AN348">
            <v>503640.31875000003</v>
          </cell>
          <cell r="AR348">
            <v>559903.76208333333</v>
          </cell>
          <cell r="AV348">
            <v>578658.245</v>
          </cell>
          <cell r="AZ348">
            <v>579989.18666666665</v>
          </cell>
        </row>
        <row r="349">
          <cell r="U349">
            <v>800354</v>
          </cell>
          <cell r="V349">
            <v>713359</v>
          </cell>
          <cell r="W349">
            <v>626364</v>
          </cell>
          <cell r="Y349">
            <v>452374</v>
          </cell>
          <cell r="AA349">
            <v>278384</v>
          </cell>
          <cell r="AJ349">
            <v>0</v>
          </cell>
          <cell r="AN349">
            <v>107293.83333333333</v>
          </cell>
          <cell r="AR349">
            <v>316081.83333333331</v>
          </cell>
          <cell r="AV349">
            <v>408876.5</v>
          </cell>
          <cell r="AZ349">
            <v>336061.43</v>
          </cell>
        </row>
        <row r="350">
          <cell r="Q350">
            <v>0</v>
          </cell>
          <cell r="S350">
            <v>0</v>
          </cell>
          <cell r="U350">
            <v>0</v>
          </cell>
          <cell r="V350">
            <v>0</v>
          </cell>
          <cell r="W350">
            <v>0</v>
          </cell>
          <cell r="Y350">
            <v>0</v>
          </cell>
          <cell r="AA350">
            <v>0</v>
          </cell>
          <cell r="AJ350">
            <v>0</v>
          </cell>
          <cell r="AN350">
            <v>0</v>
          </cell>
          <cell r="AR350">
            <v>0</v>
          </cell>
          <cell r="AV350">
            <v>0</v>
          </cell>
          <cell r="AZ350">
            <v>0</v>
          </cell>
        </row>
        <row r="351">
          <cell r="Q351">
            <v>6173.42</v>
          </cell>
          <cell r="S351">
            <v>5336.72</v>
          </cell>
          <cell r="U351">
            <v>4120.1000000000004</v>
          </cell>
          <cell r="V351">
            <v>4678.3900000000003</v>
          </cell>
          <cell r="W351">
            <v>8611.68</v>
          </cell>
          <cell r="Y351">
            <v>6790.18</v>
          </cell>
          <cell r="AA351">
            <v>6254.5</v>
          </cell>
          <cell r="AJ351">
            <v>5485.3458333333338</v>
          </cell>
          <cell r="AN351">
            <v>5521.9179166666663</v>
          </cell>
          <cell r="AR351">
            <v>6038.3</v>
          </cell>
          <cell r="AV351">
            <v>6152.8408333333327</v>
          </cell>
          <cell r="AZ351">
            <v>6288.1704166666668</v>
          </cell>
        </row>
        <row r="352">
          <cell r="Q352">
            <v>0</v>
          </cell>
          <cell r="S352">
            <v>0</v>
          </cell>
          <cell r="U352">
            <v>0</v>
          </cell>
          <cell r="V352">
            <v>0</v>
          </cell>
          <cell r="W352">
            <v>0</v>
          </cell>
          <cell r="Y352">
            <v>0</v>
          </cell>
          <cell r="AA352">
            <v>0</v>
          </cell>
          <cell r="AJ352">
            <v>0</v>
          </cell>
          <cell r="AN352">
            <v>0</v>
          </cell>
          <cell r="AR352">
            <v>0</v>
          </cell>
          <cell r="AV352">
            <v>0</v>
          </cell>
          <cell r="AZ352">
            <v>0</v>
          </cell>
        </row>
        <row r="353">
          <cell r="Q353">
            <v>0</v>
          </cell>
          <cell r="S353">
            <v>0</v>
          </cell>
          <cell r="U353">
            <v>0</v>
          </cell>
          <cell r="V353">
            <v>0</v>
          </cell>
          <cell r="W353">
            <v>0</v>
          </cell>
          <cell r="Y353">
            <v>0</v>
          </cell>
          <cell r="AA353">
            <v>0</v>
          </cell>
          <cell r="AJ353">
            <v>0</v>
          </cell>
          <cell r="AN353">
            <v>0</v>
          </cell>
          <cell r="AR353">
            <v>0</v>
          </cell>
          <cell r="AV353">
            <v>0</v>
          </cell>
          <cell r="AZ353">
            <v>0</v>
          </cell>
        </row>
        <row r="354">
          <cell r="Q354">
            <v>0</v>
          </cell>
          <cell r="S354">
            <v>1095353.95</v>
          </cell>
          <cell r="U354">
            <v>876283.17</v>
          </cell>
          <cell r="V354">
            <v>766747.78</v>
          </cell>
          <cell r="W354">
            <v>657212.39</v>
          </cell>
          <cell r="Y354">
            <v>438141.61</v>
          </cell>
          <cell r="AA354">
            <v>219070.83</v>
          </cell>
          <cell r="AJ354">
            <v>527771.81750000012</v>
          </cell>
          <cell r="AN354">
            <v>531726.55041666667</v>
          </cell>
          <cell r="AR354">
            <v>574873.40708333335</v>
          </cell>
          <cell r="AV354">
            <v>589255.6908333333</v>
          </cell>
          <cell r="AZ354">
            <v>603868.3158333333</v>
          </cell>
        </row>
        <row r="355">
          <cell r="Q355">
            <v>0</v>
          </cell>
          <cell r="S355">
            <v>0</v>
          </cell>
          <cell r="U355">
            <v>2604883.7799999998</v>
          </cell>
          <cell r="V355">
            <v>994833</v>
          </cell>
          <cell r="W355">
            <v>0</v>
          </cell>
          <cell r="Y355">
            <v>1175111.57</v>
          </cell>
          <cell r="AA355">
            <v>2993380.23</v>
          </cell>
          <cell r="AJ355">
            <v>1904481.4229166666</v>
          </cell>
          <cell r="AN355">
            <v>1845055.1866666665</v>
          </cell>
          <cell r="AR355">
            <v>1745510.4341666664</v>
          </cell>
          <cell r="AV355">
            <v>1708376.9341666668</v>
          </cell>
          <cell r="AZ355">
            <v>1823174.4654166668</v>
          </cell>
        </row>
        <row r="356">
          <cell r="Q356">
            <v>2118.65</v>
          </cell>
          <cell r="S356">
            <v>1513.31</v>
          </cell>
          <cell r="U356">
            <v>907.97</v>
          </cell>
          <cell r="V356">
            <v>605.29999999999995</v>
          </cell>
          <cell r="W356">
            <v>302.63</v>
          </cell>
          <cell r="Y356">
            <v>3329.29</v>
          </cell>
          <cell r="AA356">
            <v>2723.95</v>
          </cell>
          <cell r="AJ356">
            <v>1623.4895833333333</v>
          </cell>
          <cell r="AN356">
            <v>1657.0929166666665</v>
          </cell>
          <cell r="AR356">
            <v>1664.6433333333332</v>
          </cell>
          <cell r="AV356">
            <v>1664.63</v>
          </cell>
          <cell r="AZ356">
            <v>1664.6166666666668</v>
          </cell>
        </row>
        <row r="357">
          <cell r="Q357">
            <v>0</v>
          </cell>
          <cell r="S357">
            <v>0</v>
          </cell>
          <cell r="U357">
            <v>0</v>
          </cell>
          <cell r="V357">
            <v>0</v>
          </cell>
          <cell r="W357">
            <v>0</v>
          </cell>
          <cell r="Y357">
            <v>0</v>
          </cell>
          <cell r="AA357">
            <v>0</v>
          </cell>
          <cell r="AJ357">
            <v>951.0383333333333</v>
          </cell>
          <cell r="AN357">
            <v>0</v>
          </cell>
          <cell r="AR357">
            <v>0</v>
          </cell>
          <cell r="AV357">
            <v>964.02250000000004</v>
          </cell>
          <cell r="AZ357">
            <v>3856.09</v>
          </cell>
        </row>
        <row r="358">
          <cell r="Q358">
            <v>24200</v>
          </cell>
          <cell r="S358">
            <v>21175</v>
          </cell>
          <cell r="U358">
            <v>18150</v>
          </cell>
          <cell r="V358">
            <v>16637.5</v>
          </cell>
          <cell r="W358">
            <v>15125</v>
          </cell>
          <cell r="Y358">
            <v>12100</v>
          </cell>
          <cell r="AA358">
            <v>9075</v>
          </cell>
          <cell r="AJ358">
            <v>33275</v>
          </cell>
          <cell r="AN358">
            <v>27225</v>
          </cell>
          <cell r="AR358">
            <v>21175</v>
          </cell>
          <cell r="AV358">
            <v>15125</v>
          </cell>
          <cell r="AZ358">
            <v>9075</v>
          </cell>
        </row>
        <row r="359">
          <cell r="Q359">
            <v>0</v>
          </cell>
          <cell r="S359">
            <v>0</v>
          </cell>
          <cell r="U359">
            <v>0</v>
          </cell>
          <cell r="V359">
            <v>0</v>
          </cell>
          <cell r="W359">
            <v>0</v>
          </cell>
          <cell r="Y359">
            <v>0</v>
          </cell>
          <cell r="AA359">
            <v>0</v>
          </cell>
          <cell r="AJ359">
            <v>0</v>
          </cell>
          <cell r="AN359">
            <v>0</v>
          </cell>
          <cell r="AR359">
            <v>0</v>
          </cell>
          <cell r="AV359">
            <v>0</v>
          </cell>
          <cell r="AZ359">
            <v>0</v>
          </cell>
        </row>
        <row r="360">
          <cell r="Q360">
            <v>0</v>
          </cell>
          <cell r="S360">
            <v>0</v>
          </cell>
          <cell r="U360">
            <v>0</v>
          </cell>
          <cell r="V360">
            <v>0</v>
          </cell>
          <cell r="W360">
            <v>0</v>
          </cell>
          <cell r="Y360">
            <v>4430.55</v>
          </cell>
          <cell r="AA360">
            <v>0</v>
          </cell>
          <cell r="AJ360">
            <v>119679.40999999999</v>
          </cell>
          <cell r="AN360">
            <v>90215.075416666674</v>
          </cell>
          <cell r="AR360">
            <v>19678.86</v>
          </cell>
          <cell r="AV360">
            <v>981.48083333333341</v>
          </cell>
          <cell r="AZ360">
            <v>981.48083333333341</v>
          </cell>
        </row>
        <row r="361">
          <cell r="Q361">
            <v>434858.41</v>
          </cell>
          <cell r="S361">
            <v>289905.61</v>
          </cell>
          <cell r="U361">
            <v>144952.81</v>
          </cell>
          <cell r="V361">
            <v>72476.41</v>
          </cell>
          <cell r="W361">
            <v>0</v>
          </cell>
          <cell r="Y361">
            <v>728088.6</v>
          </cell>
          <cell r="AA361">
            <v>582470.88</v>
          </cell>
          <cell r="AJ361">
            <v>398520.46499999991</v>
          </cell>
          <cell r="AN361">
            <v>398609.125</v>
          </cell>
          <cell r="AR361">
            <v>399063.48791666661</v>
          </cell>
          <cell r="AV361">
            <v>399950.04458333337</v>
          </cell>
          <cell r="AZ361">
            <v>400393.32124999998</v>
          </cell>
        </row>
        <row r="362">
          <cell r="Q362">
            <v>0</v>
          </cell>
          <cell r="S362">
            <v>0</v>
          </cell>
          <cell r="U362">
            <v>0</v>
          </cell>
          <cell r="V362">
            <v>0</v>
          </cell>
          <cell r="W362">
            <v>0</v>
          </cell>
          <cell r="Y362">
            <v>0</v>
          </cell>
          <cell r="AA362">
            <v>0</v>
          </cell>
          <cell r="AJ362">
            <v>0</v>
          </cell>
          <cell r="AN362">
            <v>0</v>
          </cell>
          <cell r="AR362">
            <v>0</v>
          </cell>
          <cell r="AV362">
            <v>0</v>
          </cell>
          <cell r="AZ362">
            <v>0</v>
          </cell>
        </row>
        <row r="363">
          <cell r="Q363">
            <v>9635.49</v>
          </cell>
          <cell r="S363">
            <v>0</v>
          </cell>
          <cell r="U363">
            <v>-28906.58</v>
          </cell>
          <cell r="V363">
            <v>77084.210000000006</v>
          </cell>
          <cell r="W363">
            <v>67448.679999999993</v>
          </cell>
          <cell r="Y363">
            <v>48177.62</v>
          </cell>
          <cell r="AA363">
            <v>28906.560000000001</v>
          </cell>
          <cell r="AJ363">
            <v>52983.24458333334</v>
          </cell>
          <cell r="AN363">
            <v>31315.444583333334</v>
          </cell>
          <cell r="AR363">
            <v>26497.684583333335</v>
          </cell>
          <cell r="AV363">
            <v>26497.687916666666</v>
          </cell>
          <cell r="AZ363">
            <v>46185.955833333333</v>
          </cell>
        </row>
        <row r="364">
          <cell r="Q364">
            <v>63768.98</v>
          </cell>
          <cell r="S364">
            <v>54659.14</v>
          </cell>
          <cell r="U364">
            <v>45549.3</v>
          </cell>
          <cell r="V364">
            <v>40994.379999999997</v>
          </cell>
          <cell r="W364">
            <v>36439.46</v>
          </cell>
          <cell r="Y364">
            <v>27329.62</v>
          </cell>
          <cell r="AA364">
            <v>18219.78</v>
          </cell>
          <cell r="AJ364">
            <v>50483.759166666663</v>
          </cell>
          <cell r="AN364">
            <v>68703.472499999989</v>
          </cell>
          <cell r="AR364">
            <v>54659.139999999992</v>
          </cell>
          <cell r="AV364">
            <v>36439.46</v>
          </cell>
          <cell r="AZ364">
            <v>18978.912500000002</v>
          </cell>
        </row>
        <row r="365">
          <cell r="Q365">
            <v>9635.59</v>
          </cell>
          <cell r="S365">
            <v>0</v>
          </cell>
          <cell r="U365">
            <v>-28906.57</v>
          </cell>
          <cell r="V365">
            <v>77084.22</v>
          </cell>
          <cell r="W365">
            <v>67448.7</v>
          </cell>
          <cell r="Y365">
            <v>48177.66</v>
          </cell>
          <cell r="AA365">
            <v>28906.62</v>
          </cell>
          <cell r="AJ365">
            <v>52983.285833333335</v>
          </cell>
          <cell r="AN365">
            <v>31315.48916666667</v>
          </cell>
          <cell r="AR365">
            <v>26497.722916666666</v>
          </cell>
          <cell r="AV365">
            <v>26497.719583333335</v>
          </cell>
          <cell r="AZ365">
            <v>46185.986666666664</v>
          </cell>
        </row>
        <row r="366">
          <cell r="U366">
            <v>160070.85</v>
          </cell>
          <cell r="V366">
            <v>140061.99</v>
          </cell>
          <cell r="W366">
            <v>120053.13</v>
          </cell>
          <cell r="Y366">
            <v>80035.41</v>
          </cell>
          <cell r="AA366">
            <v>40017.69</v>
          </cell>
          <cell r="AJ366">
            <v>0</v>
          </cell>
          <cell r="AN366">
            <v>21676.26125</v>
          </cell>
          <cell r="AR366">
            <v>61693.971249999995</v>
          </cell>
          <cell r="AV366">
            <v>75033.202499999999</v>
          </cell>
          <cell r="AZ366">
            <v>119116.75166666666</v>
          </cell>
        </row>
        <row r="367">
          <cell r="Q367">
            <v>0</v>
          </cell>
          <cell r="S367">
            <v>0</v>
          </cell>
          <cell r="U367">
            <v>0</v>
          </cell>
          <cell r="V367">
            <v>0</v>
          </cell>
          <cell r="W367">
            <v>0</v>
          </cell>
          <cell r="Y367">
            <v>0</v>
          </cell>
          <cell r="AA367">
            <v>0</v>
          </cell>
          <cell r="AJ367">
            <v>0</v>
          </cell>
          <cell r="AN367">
            <v>0</v>
          </cell>
          <cell r="AR367">
            <v>0</v>
          </cell>
          <cell r="AV367">
            <v>0</v>
          </cell>
          <cell r="AZ367">
            <v>0</v>
          </cell>
        </row>
        <row r="368">
          <cell r="Q368">
            <v>0</v>
          </cell>
          <cell r="S368">
            <v>0</v>
          </cell>
          <cell r="U368">
            <v>0</v>
          </cell>
          <cell r="V368">
            <v>0</v>
          </cell>
          <cell r="W368">
            <v>0</v>
          </cell>
          <cell r="Y368">
            <v>0</v>
          </cell>
          <cell r="AA368">
            <v>0</v>
          </cell>
          <cell r="AJ368">
            <v>1608098.9270833333</v>
          </cell>
          <cell r="AN368">
            <v>994097.51041666663</v>
          </cell>
          <cell r="AR368">
            <v>438572.42708333331</v>
          </cell>
          <cell r="AV368">
            <v>0</v>
          </cell>
          <cell r="AZ368">
            <v>0</v>
          </cell>
        </row>
        <row r="369">
          <cell r="AV369">
            <v>0</v>
          </cell>
          <cell r="AZ369">
            <v>0</v>
          </cell>
        </row>
        <row r="370">
          <cell r="Q370">
            <v>0</v>
          </cell>
          <cell r="S370">
            <v>0</v>
          </cell>
          <cell r="U370">
            <v>0</v>
          </cell>
          <cell r="V370">
            <v>0</v>
          </cell>
          <cell r="W370">
            <v>0</v>
          </cell>
          <cell r="Y370">
            <v>0</v>
          </cell>
          <cell r="AA370">
            <v>0</v>
          </cell>
          <cell r="AJ370">
            <v>0</v>
          </cell>
          <cell r="AN370">
            <v>0</v>
          </cell>
          <cell r="AR370">
            <v>0</v>
          </cell>
          <cell r="AV370">
            <v>0</v>
          </cell>
          <cell r="AZ370">
            <v>0</v>
          </cell>
        </row>
        <row r="371">
          <cell r="Q371">
            <v>0</v>
          </cell>
          <cell r="S371">
            <v>0</v>
          </cell>
          <cell r="U371">
            <v>0</v>
          </cell>
          <cell r="V371">
            <v>0</v>
          </cell>
          <cell r="W371">
            <v>0</v>
          </cell>
          <cell r="Y371">
            <v>0</v>
          </cell>
          <cell r="AA371">
            <v>0</v>
          </cell>
          <cell r="AJ371">
            <v>0</v>
          </cell>
          <cell r="AN371">
            <v>0</v>
          </cell>
          <cell r="AR371">
            <v>0</v>
          </cell>
          <cell r="AV371">
            <v>0</v>
          </cell>
          <cell r="AZ371">
            <v>0</v>
          </cell>
        </row>
        <row r="372">
          <cell r="Q372">
            <v>116471.42</v>
          </cell>
          <cell r="S372">
            <v>915704.14</v>
          </cell>
          <cell r="U372">
            <v>-494530.81</v>
          </cell>
          <cell r="V372">
            <v>28577.25</v>
          </cell>
          <cell r="W372">
            <v>21960.18</v>
          </cell>
          <cell r="Y372">
            <v>256074.36</v>
          </cell>
          <cell r="AA372">
            <v>111408.01</v>
          </cell>
          <cell r="AJ372">
            <v>-57130.494583333326</v>
          </cell>
          <cell r="AN372">
            <v>3094.1874999999977</v>
          </cell>
          <cell r="AR372">
            <v>102326.71999999999</v>
          </cell>
          <cell r="AV372">
            <v>113282.93583333331</v>
          </cell>
          <cell r="AZ372">
            <v>69166.212916666671</v>
          </cell>
        </row>
        <row r="373">
          <cell r="Q373">
            <v>171460.75</v>
          </cell>
          <cell r="S373">
            <v>152363.79999999999</v>
          </cell>
          <cell r="U373">
            <v>122238.96</v>
          </cell>
          <cell r="V373">
            <v>105520.8</v>
          </cell>
          <cell r="W373">
            <v>90446.399999999994</v>
          </cell>
          <cell r="Y373">
            <v>60297.599999999999</v>
          </cell>
          <cell r="AA373">
            <v>30148.799999999999</v>
          </cell>
          <cell r="AJ373">
            <v>112656.42749999999</v>
          </cell>
          <cell r="AN373">
            <v>111529.27083333331</v>
          </cell>
          <cell r="AR373">
            <v>111263.02083333331</v>
          </cell>
          <cell r="AV373">
            <v>96934.584583333344</v>
          </cell>
          <cell r="AZ373">
            <v>97874.909999999989</v>
          </cell>
        </row>
        <row r="374">
          <cell r="Q374">
            <v>17049.98</v>
          </cell>
          <cell r="S374">
            <v>11366.64</v>
          </cell>
          <cell r="U374">
            <v>5683.3</v>
          </cell>
          <cell r="V374">
            <v>2841.63</v>
          </cell>
          <cell r="W374">
            <v>0</v>
          </cell>
          <cell r="Y374">
            <v>36695</v>
          </cell>
          <cell r="AA374">
            <v>29356</v>
          </cell>
          <cell r="AJ374">
            <v>20208.328333333331</v>
          </cell>
          <cell r="AN374">
            <v>18663.875</v>
          </cell>
          <cell r="AR374">
            <v>16732.926666666666</v>
          </cell>
          <cell r="AV374">
            <v>18940.486666666668</v>
          </cell>
          <cell r="AZ374">
            <v>18056.273333333334</v>
          </cell>
        </row>
        <row r="375">
          <cell r="Q375">
            <v>31881.65</v>
          </cell>
          <cell r="S375">
            <v>21254.43</v>
          </cell>
          <cell r="U375">
            <v>10627.21</v>
          </cell>
          <cell r="V375">
            <v>5313.6</v>
          </cell>
          <cell r="W375">
            <v>42387.83</v>
          </cell>
          <cell r="Y375">
            <v>0</v>
          </cell>
          <cell r="AA375">
            <v>0</v>
          </cell>
          <cell r="AJ375">
            <v>28867.612916666669</v>
          </cell>
          <cell r="AN375">
            <v>29185.149583333332</v>
          </cell>
          <cell r="AR375">
            <v>29153.057916666668</v>
          </cell>
          <cell r="AV375">
            <v>14983.434583333335</v>
          </cell>
          <cell r="AZ375">
            <v>9704.6354166666661</v>
          </cell>
        </row>
        <row r="376">
          <cell r="Q376">
            <v>29604.73</v>
          </cell>
          <cell r="S376">
            <v>19736.47</v>
          </cell>
          <cell r="U376">
            <v>9868.2099999999991</v>
          </cell>
          <cell r="V376">
            <v>4934.08</v>
          </cell>
          <cell r="W376">
            <v>0</v>
          </cell>
          <cell r="Y376">
            <v>52343.37</v>
          </cell>
          <cell r="AA376">
            <v>41874.69</v>
          </cell>
          <cell r="AJ376">
            <v>27118.649583333332</v>
          </cell>
          <cell r="AN376">
            <v>27100.817500000005</v>
          </cell>
          <cell r="AR376">
            <v>22303.614166666666</v>
          </cell>
          <cell r="AV376">
            <v>23104.180833333336</v>
          </cell>
          <cell r="AZ376">
            <v>23504.467500000002</v>
          </cell>
        </row>
        <row r="377">
          <cell r="Q377">
            <v>99854.720000000001</v>
          </cell>
          <cell r="S377">
            <v>81699.320000000007</v>
          </cell>
          <cell r="U377">
            <v>63543.92</v>
          </cell>
          <cell r="V377">
            <v>54466.22</v>
          </cell>
          <cell r="W377">
            <v>45388.52</v>
          </cell>
          <cell r="Y377">
            <v>27233.119999999999</v>
          </cell>
          <cell r="AA377">
            <v>9077.7199999999993</v>
          </cell>
          <cell r="AJ377">
            <v>48769.9375</v>
          </cell>
          <cell r="AN377">
            <v>49458.664166666676</v>
          </cell>
          <cell r="AR377">
            <v>49841.284166666672</v>
          </cell>
          <cell r="AV377">
            <v>50050.927083333336</v>
          </cell>
          <cell r="AZ377">
            <v>50859.670416666653</v>
          </cell>
        </row>
        <row r="378">
          <cell r="Q378">
            <v>188933.52</v>
          </cell>
          <cell r="S378">
            <v>195997.29</v>
          </cell>
          <cell r="U378">
            <v>195997.3</v>
          </cell>
          <cell r="V378">
            <v>195997.3</v>
          </cell>
          <cell r="W378">
            <v>240581.26</v>
          </cell>
          <cell r="Y378">
            <v>240581.26</v>
          </cell>
          <cell r="AA378">
            <v>309059.53999999998</v>
          </cell>
          <cell r="AJ378">
            <v>114088.72666666668</v>
          </cell>
          <cell r="AN378">
            <v>178538.18666666668</v>
          </cell>
          <cell r="AR378">
            <v>175957.76041666666</v>
          </cell>
          <cell r="AV378">
            <v>246167.37083333332</v>
          </cell>
          <cell r="AZ378">
            <v>313887.9208333334</v>
          </cell>
        </row>
        <row r="379">
          <cell r="Q379">
            <v>226710</v>
          </cell>
          <cell r="S379">
            <v>188925</v>
          </cell>
          <cell r="U379">
            <v>151140</v>
          </cell>
          <cell r="V379">
            <v>132247.5</v>
          </cell>
          <cell r="W379">
            <v>113355</v>
          </cell>
          <cell r="Y379">
            <v>75570</v>
          </cell>
          <cell r="AA379">
            <v>72700</v>
          </cell>
          <cell r="AJ379">
            <v>88704.75</v>
          </cell>
          <cell r="AN379">
            <v>107647.25</v>
          </cell>
          <cell r="AR379">
            <v>119012.75</v>
          </cell>
          <cell r="AV379">
            <v>120628.95833333333</v>
          </cell>
          <cell r="AZ379">
            <v>69817.333333333328</v>
          </cell>
        </row>
        <row r="380">
          <cell r="Q380">
            <v>796665.13</v>
          </cell>
          <cell r="S380">
            <v>830218.07</v>
          </cell>
          <cell r="U380">
            <v>830218.07</v>
          </cell>
          <cell r="V380">
            <v>830218.07</v>
          </cell>
          <cell r="W380">
            <v>1017161.26</v>
          </cell>
          <cell r="Y380">
            <v>1017161.26</v>
          </cell>
          <cell r="AA380">
            <v>303549.93</v>
          </cell>
          <cell r="AJ380">
            <v>174892.17708333334</v>
          </cell>
          <cell r="AN380">
            <v>447437.41625000001</v>
          </cell>
          <cell r="AR380">
            <v>745411.04625000001</v>
          </cell>
          <cell r="AV380">
            <v>750034.98375000001</v>
          </cell>
          <cell r="AZ380">
            <v>707667.84625000006</v>
          </cell>
        </row>
        <row r="381">
          <cell r="Q381">
            <v>0</v>
          </cell>
          <cell r="S381">
            <v>442534.2</v>
          </cell>
          <cell r="U381">
            <v>354027.36</v>
          </cell>
          <cell r="V381">
            <v>309773.94</v>
          </cell>
          <cell r="W381">
            <v>265520.52</v>
          </cell>
          <cell r="Y381">
            <v>177013.68</v>
          </cell>
          <cell r="AA381">
            <v>88506.84</v>
          </cell>
          <cell r="AJ381">
            <v>238236.1575</v>
          </cell>
          <cell r="AN381">
            <v>240893.12458333335</v>
          </cell>
          <cell r="AR381">
            <v>242768.63458333336</v>
          </cell>
          <cell r="AV381">
            <v>266941.22666666663</v>
          </cell>
          <cell r="AZ381">
            <v>298539.31</v>
          </cell>
        </row>
        <row r="382">
          <cell r="Q382">
            <v>0</v>
          </cell>
          <cell r="S382">
            <v>319515</v>
          </cell>
          <cell r="U382">
            <v>255612</v>
          </cell>
          <cell r="V382">
            <v>223660.5</v>
          </cell>
          <cell r="W382">
            <v>191709</v>
          </cell>
          <cell r="Y382">
            <v>127806</v>
          </cell>
          <cell r="AA382">
            <v>63903</v>
          </cell>
          <cell r="AJ382">
            <v>175506.71000000005</v>
          </cell>
          <cell r="AN382">
            <v>168565.00166666668</v>
          </cell>
          <cell r="AR382">
            <v>173867.48166666666</v>
          </cell>
          <cell r="AV382">
            <v>191778.91666666666</v>
          </cell>
          <cell r="AZ382">
            <v>214819.14333333334</v>
          </cell>
        </row>
        <row r="383">
          <cell r="S383">
            <v>6600000</v>
          </cell>
          <cell r="U383">
            <v>0</v>
          </cell>
          <cell r="V383">
            <v>0</v>
          </cell>
          <cell r="W383">
            <v>1750000</v>
          </cell>
          <cell r="Y383">
            <v>12250000</v>
          </cell>
          <cell r="AA383">
            <v>0</v>
          </cell>
          <cell r="AJ383">
            <v>0</v>
          </cell>
          <cell r="AN383">
            <v>1100000</v>
          </cell>
          <cell r="AR383">
            <v>1902083.3333333333</v>
          </cell>
          <cell r="AV383">
            <v>2412500</v>
          </cell>
          <cell r="AZ383">
            <v>1312500</v>
          </cell>
        </row>
        <row r="384">
          <cell r="Q384">
            <v>0</v>
          </cell>
          <cell r="S384">
            <v>26436.66</v>
          </cell>
          <cell r="U384">
            <v>13218.32</v>
          </cell>
          <cell r="V384">
            <v>6609.15</v>
          </cell>
          <cell r="W384">
            <v>0</v>
          </cell>
          <cell r="Y384">
            <v>26436.74</v>
          </cell>
          <cell r="AA384">
            <v>13218.36</v>
          </cell>
          <cell r="AJ384">
            <v>15594.591666666667</v>
          </cell>
          <cell r="AN384">
            <v>15996.864999999998</v>
          </cell>
          <cell r="AR384">
            <v>16275.371666666666</v>
          </cell>
          <cell r="AV384">
            <v>16522.933333333331</v>
          </cell>
          <cell r="AZ384">
            <v>16372.713333333335</v>
          </cell>
        </row>
        <row r="385">
          <cell r="Q385">
            <v>5545.8</v>
          </cell>
          <cell r="S385">
            <v>0</v>
          </cell>
          <cell r="U385">
            <v>30500</v>
          </cell>
          <cell r="V385">
            <v>27450</v>
          </cell>
          <cell r="W385">
            <v>24400</v>
          </cell>
          <cell r="Y385">
            <v>18300</v>
          </cell>
          <cell r="AA385">
            <v>12200</v>
          </cell>
          <cell r="AJ385">
            <v>12667.165000000001</v>
          </cell>
          <cell r="AN385">
            <v>15620.468333333332</v>
          </cell>
          <cell r="AR385">
            <v>16359.361666666666</v>
          </cell>
          <cell r="AV385">
            <v>16728.814999999999</v>
          </cell>
          <cell r="AZ385">
            <v>16856.333333333332</v>
          </cell>
        </row>
        <row r="386">
          <cell r="Q386">
            <v>0</v>
          </cell>
          <cell r="S386">
            <v>332832.09999999998</v>
          </cell>
          <cell r="U386">
            <v>283972.64</v>
          </cell>
          <cell r="V386">
            <v>248476.06</v>
          </cell>
          <cell r="W386">
            <v>212979.48</v>
          </cell>
          <cell r="Y386">
            <v>141986.32</v>
          </cell>
          <cell r="AA386">
            <v>70993.16</v>
          </cell>
          <cell r="AJ386">
            <v>148078.32916666669</v>
          </cell>
          <cell r="AN386">
            <v>150685.28041666668</v>
          </cell>
          <cell r="AR386">
            <v>157062.44375000001</v>
          </cell>
          <cell r="AV386">
            <v>159188.15583333332</v>
          </cell>
          <cell r="AZ386">
            <v>94657.546666666676</v>
          </cell>
        </row>
        <row r="387">
          <cell r="Q387">
            <v>0</v>
          </cell>
          <cell r="S387">
            <v>0</v>
          </cell>
          <cell r="U387">
            <v>0</v>
          </cell>
          <cell r="V387">
            <v>0</v>
          </cell>
          <cell r="W387">
            <v>0</v>
          </cell>
          <cell r="Y387">
            <v>0</v>
          </cell>
          <cell r="AA387">
            <v>0</v>
          </cell>
          <cell r="AJ387">
            <v>0</v>
          </cell>
          <cell r="AN387">
            <v>0</v>
          </cell>
          <cell r="AR387">
            <v>0</v>
          </cell>
          <cell r="AV387">
            <v>0</v>
          </cell>
          <cell r="AZ387">
            <v>0</v>
          </cell>
        </row>
        <row r="388">
          <cell r="S388">
            <v>221443.22</v>
          </cell>
          <cell r="U388">
            <v>208417.14</v>
          </cell>
          <cell r="V388">
            <v>201904.1</v>
          </cell>
          <cell r="W388">
            <v>195391.06</v>
          </cell>
          <cell r="Y388">
            <v>182364.98</v>
          </cell>
          <cell r="AA388">
            <v>169338.9</v>
          </cell>
          <cell r="AJ388">
            <v>0</v>
          </cell>
          <cell r="AN388">
            <v>64044.852500000001</v>
          </cell>
          <cell r="AR388">
            <v>129175.20583333333</v>
          </cell>
          <cell r="AV388">
            <v>185621.50583333333</v>
          </cell>
          <cell r="AZ388">
            <v>169338.9</v>
          </cell>
        </row>
        <row r="389">
          <cell r="Q389">
            <v>113293.62</v>
          </cell>
          <cell r="S389">
            <v>130582.71</v>
          </cell>
          <cell r="U389">
            <v>168832.31</v>
          </cell>
          <cell r="V389">
            <v>168848.53</v>
          </cell>
          <cell r="W389">
            <v>1313.82</v>
          </cell>
          <cell r="Y389">
            <v>30797.759999999998</v>
          </cell>
          <cell r="AA389">
            <v>108449.96</v>
          </cell>
          <cell r="AJ389">
            <v>23669.454999999998</v>
          </cell>
          <cell r="AN389">
            <v>70470.728750000009</v>
          </cell>
          <cell r="AR389">
            <v>93291.893333333355</v>
          </cell>
          <cell r="AV389">
            <v>104809.7375</v>
          </cell>
          <cell r="AZ389">
            <v>117630.96208333335</v>
          </cell>
        </row>
        <row r="390">
          <cell r="W390">
            <v>0</v>
          </cell>
          <cell r="Y390">
            <v>0</v>
          </cell>
          <cell r="AA390">
            <v>0</v>
          </cell>
          <cell r="AJ390">
            <v>0</v>
          </cell>
          <cell r="AN390">
            <v>0</v>
          </cell>
          <cell r="AR390">
            <v>0</v>
          </cell>
          <cell r="AV390">
            <v>0</v>
          </cell>
          <cell r="AZ390">
            <v>0</v>
          </cell>
        </row>
        <row r="391">
          <cell r="Q391">
            <v>245103.43</v>
          </cell>
          <cell r="S391">
            <v>282507.26</v>
          </cell>
          <cell r="U391">
            <v>365257.8</v>
          </cell>
          <cell r="V391">
            <v>365292.89</v>
          </cell>
          <cell r="W391">
            <v>2842.37</v>
          </cell>
          <cell r="Y391">
            <v>66628.95</v>
          </cell>
          <cell r="AA391">
            <v>234624.48</v>
          </cell>
          <cell r="AJ391">
            <v>51207.341249999998</v>
          </cell>
          <cell r="AN391">
            <v>152458.87583333332</v>
          </cell>
          <cell r="AR391">
            <v>201830.99125000005</v>
          </cell>
          <cell r="AV391">
            <v>226749.09791666674</v>
          </cell>
          <cell r="AZ391">
            <v>254486.98875000002</v>
          </cell>
        </row>
        <row r="392">
          <cell r="AR392">
            <v>0</v>
          </cell>
          <cell r="AV392">
            <v>11679.164583333333</v>
          </cell>
          <cell r="AZ392">
            <v>40096.54</v>
          </cell>
        </row>
        <row r="393">
          <cell r="Q393">
            <v>5342466.25</v>
          </cell>
          <cell r="S393">
            <v>5359256.57</v>
          </cell>
          <cell r="U393">
            <v>5396402.71</v>
          </cell>
          <cell r="V393">
            <v>5396418.46</v>
          </cell>
          <cell r="W393">
            <v>1275.92</v>
          </cell>
          <cell r="Y393">
            <v>29909.27</v>
          </cell>
          <cell r="AA393">
            <v>105321.29</v>
          </cell>
          <cell r="AJ393">
            <v>1549115.2529166667</v>
          </cell>
          <cell r="AN393">
            <v>3338713.3712499999</v>
          </cell>
          <cell r="AR393">
            <v>4014931.2979166671</v>
          </cell>
          <cell r="AV393">
            <v>2499988.226666667</v>
          </cell>
          <cell r="AZ393">
            <v>768292.56083333341</v>
          </cell>
        </row>
        <row r="394">
          <cell r="AV394">
            <v>0</v>
          </cell>
          <cell r="AZ394">
            <v>4976.7170833333339</v>
          </cell>
        </row>
        <row r="395">
          <cell r="Q395">
            <v>43022.06</v>
          </cell>
          <cell r="S395">
            <v>44788</v>
          </cell>
          <cell r="U395">
            <v>44788.01</v>
          </cell>
          <cell r="V395">
            <v>44788.01</v>
          </cell>
          <cell r="W395">
            <v>54656.99</v>
          </cell>
          <cell r="Y395">
            <v>54656.99</v>
          </cell>
          <cell r="AA395">
            <v>71776.56</v>
          </cell>
          <cell r="AJ395">
            <v>9252.3158333333322</v>
          </cell>
          <cell r="AN395">
            <v>23960.907916666667</v>
          </cell>
          <cell r="AR395">
            <v>40013.815833333334</v>
          </cell>
          <cell r="AV395">
            <v>56796.325833333336</v>
          </cell>
          <cell r="AZ395">
            <v>73963.29833333334</v>
          </cell>
        </row>
        <row r="396">
          <cell r="AV396">
            <v>0</v>
          </cell>
          <cell r="AZ396">
            <v>0</v>
          </cell>
        </row>
        <row r="397">
          <cell r="Q397">
            <v>40612.83</v>
          </cell>
          <cell r="S397">
            <v>44888.18</v>
          </cell>
          <cell r="U397">
            <v>0</v>
          </cell>
          <cell r="V397">
            <v>0</v>
          </cell>
          <cell r="W397">
            <v>0</v>
          </cell>
          <cell r="Y397">
            <v>0</v>
          </cell>
          <cell r="AA397">
            <v>29578.9</v>
          </cell>
          <cell r="AJ397">
            <v>1692.2012500000001</v>
          </cell>
          <cell r="AN397">
            <v>10865.765833333333</v>
          </cell>
          <cell r="AR397">
            <v>10865.765833333333</v>
          </cell>
          <cell r="AV397">
            <v>18458.881666666668</v>
          </cell>
          <cell r="AZ397">
            <v>24990.971250000002</v>
          </cell>
        </row>
        <row r="398">
          <cell r="Q398">
            <v>356732.58</v>
          </cell>
          <cell r="S398">
            <v>375845.91</v>
          </cell>
          <cell r="U398">
            <v>0</v>
          </cell>
          <cell r="V398">
            <v>0</v>
          </cell>
          <cell r="W398">
            <v>0</v>
          </cell>
          <cell r="Y398">
            <v>0</v>
          </cell>
          <cell r="AA398">
            <v>132595.10999999999</v>
          </cell>
          <cell r="AJ398">
            <v>14863.8575</v>
          </cell>
          <cell r="AN398">
            <v>92368.7</v>
          </cell>
          <cell r="AR398">
            <v>92368.7</v>
          </cell>
          <cell r="AV398">
            <v>119064.09749999999</v>
          </cell>
          <cell r="AZ398">
            <v>111602.43249999998</v>
          </cell>
        </row>
        <row r="399">
          <cell r="Q399">
            <v>0</v>
          </cell>
          <cell r="S399">
            <v>0</v>
          </cell>
          <cell r="U399">
            <v>0</v>
          </cell>
          <cell r="V399">
            <v>0</v>
          </cell>
          <cell r="W399">
            <v>0</v>
          </cell>
          <cell r="Y399">
            <v>0</v>
          </cell>
          <cell r="AA399">
            <v>0</v>
          </cell>
          <cell r="AJ399">
            <v>0</v>
          </cell>
          <cell r="AN399">
            <v>0</v>
          </cell>
          <cell r="AR399">
            <v>0</v>
          </cell>
          <cell r="AV399">
            <v>0</v>
          </cell>
          <cell r="AZ399">
            <v>0</v>
          </cell>
        </row>
        <row r="400">
          <cell r="Q400">
            <v>499584.48</v>
          </cell>
          <cell r="S400">
            <v>501344.92</v>
          </cell>
          <cell r="U400">
            <v>509285.32</v>
          </cell>
          <cell r="V400">
            <v>509285.32</v>
          </cell>
          <cell r="W400">
            <v>508576.64</v>
          </cell>
          <cell r="Y400">
            <v>508576.64</v>
          </cell>
          <cell r="AA400">
            <v>520816.19</v>
          </cell>
          <cell r="AJ400">
            <v>20816.02</v>
          </cell>
          <cell r="AN400">
            <v>188850.19166666665</v>
          </cell>
          <cell r="AR400">
            <v>358464.3233333333</v>
          </cell>
          <cell r="AV400">
            <v>510996.84875000006</v>
          </cell>
          <cell r="AZ400">
            <v>518883.57250000007</v>
          </cell>
        </row>
        <row r="401">
          <cell r="Q401">
            <v>426683.81</v>
          </cell>
          <cell r="S401">
            <v>450391.61</v>
          </cell>
          <cell r="U401">
            <v>572999.71</v>
          </cell>
          <cell r="V401">
            <v>572999.71</v>
          </cell>
          <cell r="W401">
            <v>610805.06999999995</v>
          </cell>
          <cell r="Y401">
            <v>610252.66</v>
          </cell>
          <cell r="AA401">
            <v>859822.73</v>
          </cell>
          <cell r="AJ401">
            <v>17778.492083333334</v>
          </cell>
          <cell r="AN401">
            <v>182247.21624999997</v>
          </cell>
          <cell r="AR401">
            <v>381054.185</v>
          </cell>
          <cell r="AV401">
            <v>648125.07208333339</v>
          </cell>
          <cell r="AZ401">
            <v>897279.97541666648</v>
          </cell>
        </row>
        <row r="402">
          <cell r="Q402">
            <v>511455.46</v>
          </cell>
          <cell r="S402">
            <v>504984.54</v>
          </cell>
          <cell r="U402">
            <v>642454.23</v>
          </cell>
          <cell r="V402">
            <v>642454.23</v>
          </cell>
          <cell r="W402">
            <v>642454.23</v>
          </cell>
          <cell r="Y402">
            <v>684222.69</v>
          </cell>
          <cell r="AA402">
            <v>964043.68</v>
          </cell>
          <cell r="AJ402">
            <v>21310.644166666669</v>
          </cell>
          <cell r="AN402">
            <v>207092.15708333332</v>
          </cell>
          <cell r="AR402">
            <v>422983.91958333325</v>
          </cell>
          <cell r="AV402">
            <v>721049.85624999984</v>
          </cell>
          <cell r="AZ402">
            <v>955499.45083333331</v>
          </cell>
        </row>
        <row r="403">
          <cell r="Q403">
            <v>426683.8</v>
          </cell>
          <cell r="S403">
            <v>0</v>
          </cell>
          <cell r="U403">
            <v>0</v>
          </cell>
          <cell r="V403">
            <v>0</v>
          </cell>
          <cell r="W403">
            <v>0</v>
          </cell>
          <cell r="Y403">
            <v>0</v>
          </cell>
          <cell r="AA403">
            <v>0</v>
          </cell>
          <cell r="AJ403">
            <v>17778.491666666665</v>
          </cell>
          <cell r="AN403">
            <v>35556.98333333333</v>
          </cell>
          <cell r="AR403">
            <v>35556.98333333333</v>
          </cell>
          <cell r="AV403">
            <v>17778.491666666665</v>
          </cell>
          <cell r="AZ403">
            <v>0</v>
          </cell>
        </row>
        <row r="404">
          <cell r="Q404">
            <v>0</v>
          </cell>
          <cell r="S404">
            <v>0</v>
          </cell>
          <cell r="U404">
            <v>0</v>
          </cell>
          <cell r="V404">
            <v>0</v>
          </cell>
          <cell r="W404">
            <v>0</v>
          </cell>
          <cell r="Y404">
            <v>0</v>
          </cell>
          <cell r="AA404">
            <v>0</v>
          </cell>
          <cell r="AJ404">
            <v>0</v>
          </cell>
          <cell r="AN404">
            <v>0</v>
          </cell>
          <cell r="AR404">
            <v>0</v>
          </cell>
          <cell r="AV404">
            <v>0</v>
          </cell>
          <cell r="AZ404">
            <v>0</v>
          </cell>
        </row>
        <row r="405">
          <cell r="Q405">
            <v>0</v>
          </cell>
          <cell r="S405">
            <v>0</v>
          </cell>
          <cell r="U405">
            <v>0</v>
          </cell>
          <cell r="V405">
            <v>0</v>
          </cell>
          <cell r="W405">
            <v>0</v>
          </cell>
          <cell r="Y405">
            <v>0</v>
          </cell>
          <cell r="AA405">
            <v>0</v>
          </cell>
          <cell r="AJ405">
            <v>0</v>
          </cell>
          <cell r="AN405">
            <v>0</v>
          </cell>
          <cell r="AR405">
            <v>0</v>
          </cell>
          <cell r="AV405">
            <v>0</v>
          </cell>
          <cell r="AZ405">
            <v>0</v>
          </cell>
        </row>
        <row r="406">
          <cell r="Q406">
            <v>0</v>
          </cell>
          <cell r="S406">
            <v>0</v>
          </cell>
          <cell r="U406">
            <v>0</v>
          </cell>
          <cell r="V406">
            <v>0</v>
          </cell>
          <cell r="W406">
            <v>0</v>
          </cell>
          <cell r="Y406">
            <v>0</v>
          </cell>
          <cell r="AA406">
            <v>0</v>
          </cell>
          <cell r="AJ406">
            <v>0</v>
          </cell>
          <cell r="AN406">
            <v>0</v>
          </cell>
          <cell r="AR406">
            <v>0</v>
          </cell>
          <cell r="AV406">
            <v>0</v>
          </cell>
          <cell r="AZ406">
            <v>0</v>
          </cell>
        </row>
        <row r="407">
          <cell r="Q407">
            <v>442116</v>
          </cell>
          <cell r="S407">
            <v>0</v>
          </cell>
          <cell r="U407">
            <v>0</v>
          </cell>
          <cell r="V407">
            <v>0</v>
          </cell>
          <cell r="W407">
            <v>0</v>
          </cell>
          <cell r="Y407">
            <v>0</v>
          </cell>
          <cell r="AA407">
            <v>0</v>
          </cell>
          <cell r="AJ407">
            <v>18421.5</v>
          </cell>
          <cell r="AN407">
            <v>36843</v>
          </cell>
          <cell r="AR407">
            <v>36843</v>
          </cell>
          <cell r="AV407">
            <v>18421.5</v>
          </cell>
          <cell r="AZ407">
            <v>0</v>
          </cell>
        </row>
        <row r="408">
          <cell r="Q408">
            <v>932549.76</v>
          </cell>
          <cell r="S408">
            <v>208089.45</v>
          </cell>
          <cell r="U408">
            <v>0</v>
          </cell>
          <cell r="V408">
            <v>0</v>
          </cell>
          <cell r="W408">
            <v>0</v>
          </cell>
          <cell r="Y408">
            <v>0</v>
          </cell>
          <cell r="AA408">
            <v>0</v>
          </cell>
          <cell r="AJ408">
            <v>38856.239999999998</v>
          </cell>
          <cell r="AN408">
            <v>112394.05499999999</v>
          </cell>
          <cell r="AR408">
            <v>112394.05499999999</v>
          </cell>
          <cell r="AV408">
            <v>73537.815000000002</v>
          </cell>
          <cell r="AZ408">
            <v>0</v>
          </cell>
        </row>
        <row r="409">
          <cell r="S409">
            <v>61279.44</v>
          </cell>
          <cell r="U409">
            <v>339331.63</v>
          </cell>
          <cell r="V409">
            <v>308483.3</v>
          </cell>
          <cell r="W409">
            <v>277634.96999999997</v>
          </cell>
          <cell r="Y409">
            <v>215938.31</v>
          </cell>
          <cell r="AA409">
            <v>154241.65</v>
          </cell>
          <cell r="AJ409">
            <v>0</v>
          </cell>
          <cell r="AN409">
            <v>29458.677083333332</v>
          </cell>
          <cell r="AR409">
            <v>122003.66708333335</v>
          </cell>
          <cell r="AV409">
            <v>173417.55041666669</v>
          </cell>
          <cell r="AZ409">
            <v>167330.26458333331</v>
          </cell>
        </row>
        <row r="410">
          <cell r="S410">
            <v>0</v>
          </cell>
          <cell r="U410">
            <v>0</v>
          </cell>
          <cell r="V410">
            <v>0</v>
          </cell>
          <cell r="W410">
            <v>0</v>
          </cell>
          <cell r="Y410">
            <v>0</v>
          </cell>
          <cell r="AA410">
            <v>0</v>
          </cell>
          <cell r="AJ410">
            <v>0</v>
          </cell>
          <cell r="AN410">
            <v>35031.666666666664</v>
          </cell>
          <cell r="AR410">
            <v>35031.666666666664</v>
          </cell>
          <cell r="AV410">
            <v>35031.666666666664</v>
          </cell>
          <cell r="AZ410">
            <v>0</v>
          </cell>
        </row>
        <row r="411">
          <cell r="U411">
            <v>0</v>
          </cell>
          <cell r="V411">
            <v>0</v>
          </cell>
          <cell r="W411">
            <v>0</v>
          </cell>
          <cell r="Y411">
            <v>0</v>
          </cell>
          <cell r="AA411">
            <v>0</v>
          </cell>
          <cell r="AJ411">
            <v>0</v>
          </cell>
          <cell r="AN411">
            <v>0</v>
          </cell>
          <cell r="AR411">
            <v>0</v>
          </cell>
          <cell r="AV411">
            <v>0</v>
          </cell>
          <cell r="AZ411">
            <v>0</v>
          </cell>
        </row>
        <row r="412">
          <cell r="U412">
            <v>62092.4</v>
          </cell>
          <cell r="V412">
            <v>62092.4</v>
          </cell>
          <cell r="W412">
            <v>60371.34</v>
          </cell>
          <cell r="Y412">
            <v>60371.34</v>
          </cell>
          <cell r="AA412">
            <v>60371.34</v>
          </cell>
          <cell r="AJ412">
            <v>0</v>
          </cell>
          <cell r="AN412">
            <v>7761.55</v>
          </cell>
          <cell r="AR412">
            <v>28100.462499999998</v>
          </cell>
          <cell r="AV412">
            <v>48224.242499999993</v>
          </cell>
          <cell r="AZ412">
            <v>60586.472499999982</v>
          </cell>
        </row>
        <row r="413">
          <cell r="U413">
            <v>453926.54</v>
          </cell>
          <cell r="V413">
            <v>453926.54</v>
          </cell>
          <cell r="W413">
            <v>446232.38</v>
          </cell>
          <cell r="Y413">
            <v>446232.38</v>
          </cell>
          <cell r="AA413">
            <v>446232.38</v>
          </cell>
          <cell r="AJ413">
            <v>0</v>
          </cell>
          <cell r="AN413">
            <v>56740.817499999997</v>
          </cell>
          <cell r="AR413">
            <v>206446.71416666664</v>
          </cell>
          <cell r="AV413">
            <v>355190.84083333332</v>
          </cell>
          <cell r="AZ413">
            <v>447194.14999999991</v>
          </cell>
        </row>
        <row r="414">
          <cell r="U414">
            <v>6600000</v>
          </cell>
          <cell r="V414">
            <v>6600000</v>
          </cell>
          <cell r="W414">
            <v>6600000</v>
          </cell>
          <cell r="Y414">
            <v>6600000</v>
          </cell>
          <cell r="AA414">
            <v>37700000</v>
          </cell>
          <cell r="AJ414">
            <v>0</v>
          </cell>
          <cell r="AN414">
            <v>275000</v>
          </cell>
          <cell r="AR414">
            <v>2475000</v>
          </cell>
          <cell r="AV414">
            <v>13766666.666666666</v>
          </cell>
          <cell r="AZ414">
            <v>26225000</v>
          </cell>
        </row>
        <row r="415">
          <cell r="Y415">
            <v>0</v>
          </cell>
          <cell r="AA415">
            <v>47432.38</v>
          </cell>
          <cell r="AR415">
            <v>0</v>
          </cell>
          <cell r="AV415">
            <v>14048.4125</v>
          </cell>
          <cell r="AZ415">
            <v>27485.8325</v>
          </cell>
        </row>
        <row r="416">
          <cell r="AV416">
            <v>0</v>
          </cell>
          <cell r="AZ416">
            <v>7812.5</v>
          </cell>
        </row>
        <row r="417">
          <cell r="AR417">
            <v>0</v>
          </cell>
          <cell r="AV417">
            <v>1723.5929166666667</v>
          </cell>
          <cell r="AZ417">
            <v>10341.557500000001</v>
          </cell>
        </row>
        <row r="418">
          <cell r="Q418">
            <v>5850</v>
          </cell>
          <cell r="S418">
            <v>-828140.4</v>
          </cell>
          <cell r="U418">
            <v>4675</v>
          </cell>
          <cell r="V418">
            <v>8314.0400000000009</v>
          </cell>
          <cell r="W418">
            <v>6442</v>
          </cell>
          <cell r="Y418">
            <v>2707.56</v>
          </cell>
          <cell r="AA418">
            <v>3766.01</v>
          </cell>
          <cell r="AJ418">
            <v>199627.72166666668</v>
          </cell>
          <cell r="AN418">
            <v>131541.36916666667</v>
          </cell>
          <cell r="AR418">
            <v>-63593.492499999993</v>
          </cell>
          <cell r="AV418">
            <v>-64617.43499999999</v>
          </cell>
          <cell r="AZ418">
            <v>4439.3658333333333</v>
          </cell>
        </row>
        <row r="419">
          <cell r="Q419">
            <v>730125.58</v>
          </cell>
          <cell r="S419">
            <v>1216875.96</v>
          </cell>
          <cell r="U419">
            <v>243375.18</v>
          </cell>
          <cell r="V419">
            <v>1216875.95</v>
          </cell>
          <cell r="W419">
            <v>730125.57</v>
          </cell>
          <cell r="Y419">
            <v>1216875.97</v>
          </cell>
          <cell r="AA419">
            <v>243375.19</v>
          </cell>
          <cell r="AJ419">
            <v>835646.06583333341</v>
          </cell>
          <cell r="AN419">
            <v>838832.09916666674</v>
          </cell>
          <cell r="AR419">
            <v>852936.44625000004</v>
          </cell>
          <cell r="AV419">
            <v>857272.3041666667</v>
          </cell>
          <cell r="AZ419">
            <v>858744.72375</v>
          </cell>
        </row>
        <row r="420">
          <cell r="Q420">
            <v>0</v>
          </cell>
          <cell r="S420">
            <v>0</v>
          </cell>
          <cell r="U420">
            <v>0</v>
          </cell>
          <cell r="V420">
            <v>0</v>
          </cell>
          <cell r="W420">
            <v>0</v>
          </cell>
          <cell r="Y420">
            <v>0</v>
          </cell>
          <cell r="AA420">
            <v>0</v>
          </cell>
          <cell r="AJ420">
            <v>1062.875</v>
          </cell>
          <cell r="AN420">
            <v>0</v>
          </cell>
          <cell r="AR420">
            <v>0</v>
          </cell>
          <cell r="AV420">
            <v>0</v>
          </cell>
          <cell r="AZ420">
            <v>0</v>
          </cell>
        </row>
        <row r="421">
          <cell r="S421">
            <v>0</v>
          </cell>
          <cell r="AV421">
            <v>0</v>
          </cell>
          <cell r="AZ421">
            <v>0</v>
          </cell>
        </row>
        <row r="422">
          <cell r="AV422">
            <v>0</v>
          </cell>
          <cell r="AZ422">
            <v>0</v>
          </cell>
        </row>
        <row r="423">
          <cell r="Q423">
            <v>5000000</v>
          </cell>
          <cell r="S423">
            <v>5000000</v>
          </cell>
          <cell r="U423">
            <v>5000000</v>
          </cell>
          <cell r="V423">
            <v>5000000</v>
          </cell>
          <cell r="W423">
            <v>5000000</v>
          </cell>
          <cell r="Y423">
            <v>5000000</v>
          </cell>
          <cell r="AA423">
            <v>5000000</v>
          </cell>
          <cell r="AJ423">
            <v>5000000</v>
          </cell>
          <cell r="AN423">
            <v>5000000</v>
          </cell>
          <cell r="AR423">
            <v>5000000</v>
          </cell>
          <cell r="AV423">
            <v>5000000</v>
          </cell>
          <cell r="AZ423">
            <v>5000000</v>
          </cell>
        </row>
        <row r="424">
          <cell r="Q424">
            <v>0</v>
          </cell>
          <cell r="S424">
            <v>0</v>
          </cell>
          <cell r="U424">
            <v>0</v>
          </cell>
          <cell r="V424">
            <v>0</v>
          </cell>
          <cell r="W424">
            <v>0</v>
          </cell>
          <cell r="Y424">
            <v>0</v>
          </cell>
          <cell r="AA424">
            <v>0</v>
          </cell>
          <cell r="AJ424">
            <v>0</v>
          </cell>
          <cell r="AN424">
            <v>0</v>
          </cell>
          <cell r="AR424">
            <v>0</v>
          </cell>
          <cell r="AV424">
            <v>0</v>
          </cell>
          <cell r="AZ424">
            <v>0</v>
          </cell>
        </row>
        <row r="425">
          <cell r="Q425">
            <v>0</v>
          </cell>
          <cell r="S425">
            <v>0</v>
          </cell>
          <cell r="U425">
            <v>0</v>
          </cell>
          <cell r="V425">
            <v>0</v>
          </cell>
          <cell r="W425">
            <v>0</v>
          </cell>
          <cell r="Y425">
            <v>0</v>
          </cell>
          <cell r="AA425">
            <v>0</v>
          </cell>
          <cell r="AJ425">
            <v>0</v>
          </cell>
          <cell r="AN425">
            <v>0</v>
          </cell>
          <cell r="AR425">
            <v>0</v>
          </cell>
          <cell r="AV425">
            <v>0</v>
          </cell>
          <cell r="AZ425">
            <v>0</v>
          </cell>
        </row>
        <row r="426">
          <cell r="Q426">
            <v>0</v>
          </cell>
          <cell r="S426">
            <v>0</v>
          </cell>
          <cell r="U426">
            <v>0</v>
          </cell>
          <cell r="V426">
            <v>0</v>
          </cell>
          <cell r="W426">
            <v>0</v>
          </cell>
          <cell r="Y426">
            <v>0</v>
          </cell>
          <cell r="AA426">
            <v>0</v>
          </cell>
          <cell r="AJ426">
            <v>0</v>
          </cell>
          <cell r="AN426">
            <v>0</v>
          </cell>
          <cell r="AR426">
            <v>0</v>
          </cell>
          <cell r="AV426">
            <v>0</v>
          </cell>
          <cell r="AZ426">
            <v>0</v>
          </cell>
        </row>
        <row r="427">
          <cell r="Q427">
            <v>100.76</v>
          </cell>
          <cell r="S427">
            <v>201.52</v>
          </cell>
          <cell r="U427">
            <v>302.27999999999997</v>
          </cell>
          <cell r="V427">
            <v>352.66</v>
          </cell>
          <cell r="W427">
            <v>403.04</v>
          </cell>
          <cell r="Y427">
            <v>503.8</v>
          </cell>
          <cell r="AA427">
            <v>0</v>
          </cell>
          <cell r="AJ427">
            <v>458.63666666666671</v>
          </cell>
          <cell r="AN427">
            <v>413.25</v>
          </cell>
          <cell r="AR427">
            <v>322.47666666666669</v>
          </cell>
          <cell r="AV427">
            <v>270.96166666666664</v>
          </cell>
          <cell r="AZ427">
            <v>221.93499999999997</v>
          </cell>
        </row>
        <row r="428">
          <cell r="Q428">
            <v>0</v>
          </cell>
          <cell r="S428">
            <v>0</v>
          </cell>
          <cell r="U428">
            <v>0</v>
          </cell>
          <cell r="V428">
            <v>0</v>
          </cell>
          <cell r="W428">
            <v>0</v>
          </cell>
          <cell r="Y428">
            <v>0</v>
          </cell>
          <cell r="AA428">
            <v>0</v>
          </cell>
          <cell r="AJ428">
            <v>0</v>
          </cell>
          <cell r="AN428">
            <v>0</v>
          </cell>
          <cell r="AR428">
            <v>0</v>
          </cell>
          <cell r="AV428">
            <v>0</v>
          </cell>
          <cell r="AZ428">
            <v>0</v>
          </cell>
        </row>
        <row r="429">
          <cell r="Q429">
            <v>132661445</v>
          </cell>
          <cell r="S429">
            <v>101646581</v>
          </cell>
          <cell r="U429">
            <v>81894878</v>
          </cell>
          <cell r="V429">
            <v>73801102</v>
          </cell>
          <cell r="W429">
            <v>68264911</v>
          </cell>
          <cell r="Y429">
            <v>78237663</v>
          </cell>
          <cell r="AA429">
            <v>95467499</v>
          </cell>
          <cell r="AJ429">
            <v>97081877.041666672</v>
          </cell>
          <cell r="AN429">
            <v>95528163.208333328</v>
          </cell>
          <cell r="AR429">
            <v>93345075</v>
          </cell>
          <cell r="AV429">
            <v>93084806.875</v>
          </cell>
          <cell r="AZ429">
            <v>92366100.041666672</v>
          </cell>
        </row>
        <row r="430">
          <cell r="Q430">
            <v>115220570.33</v>
          </cell>
          <cell r="S430">
            <v>75836841.5</v>
          </cell>
          <cell r="U430">
            <v>45281502.93</v>
          </cell>
          <cell r="V430">
            <v>26359909.510000002</v>
          </cell>
          <cell r="W430">
            <v>15056369.640000001</v>
          </cell>
          <cell r="Y430">
            <v>20421400.59</v>
          </cell>
          <cell r="AA430">
            <v>39897035.509999998</v>
          </cell>
          <cell r="AJ430">
            <v>53980857.262083344</v>
          </cell>
          <cell r="AN430">
            <v>55344473.532916658</v>
          </cell>
          <cell r="AR430">
            <v>53027721.373750001</v>
          </cell>
          <cell r="AV430">
            <v>48716687.593749993</v>
          </cell>
          <cell r="AZ430">
            <v>37003742.396250002</v>
          </cell>
        </row>
        <row r="431">
          <cell r="Q431">
            <v>766584.41</v>
          </cell>
          <cell r="S431">
            <v>787997.85</v>
          </cell>
          <cell r="U431">
            <v>831453.45</v>
          </cell>
          <cell r="V431">
            <v>723764.64</v>
          </cell>
          <cell r="W431">
            <v>762802</v>
          </cell>
          <cell r="Y431">
            <v>838740.78</v>
          </cell>
          <cell r="AA431">
            <v>893908.45</v>
          </cell>
          <cell r="AJ431">
            <v>614630.83791666653</v>
          </cell>
          <cell r="AN431">
            <v>677769.84500000009</v>
          </cell>
          <cell r="AR431">
            <v>771086.58166666655</v>
          </cell>
          <cell r="AV431">
            <v>805870.18958333333</v>
          </cell>
          <cell r="AZ431">
            <v>839264.91624999989</v>
          </cell>
        </row>
        <row r="432">
          <cell r="Q432">
            <v>-133428029.41</v>
          </cell>
          <cell r="S432">
            <v>0</v>
          </cell>
          <cell r="U432">
            <v>0</v>
          </cell>
          <cell r="V432">
            <v>0</v>
          </cell>
          <cell r="W432">
            <v>0</v>
          </cell>
          <cell r="Y432">
            <v>0</v>
          </cell>
          <cell r="AA432">
            <v>0</v>
          </cell>
          <cell r="AJ432">
            <v>-97696507.880416676</v>
          </cell>
          <cell r="AN432">
            <v>-75947528.892916664</v>
          </cell>
          <cell r="AR432">
            <v>-48575241.372499995</v>
          </cell>
          <cell r="AV432">
            <v>-15831249.435416667</v>
          </cell>
          <cell r="AZ432">
            <v>0</v>
          </cell>
        </row>
        <row r="433">
          <cell r="Q433">
            <v>-115220570.33</v>
          </cell>
          <cell r="S433">
            <v>0</v>
          </cell>
          <cell r="U433">
            <v>0</v>
          </cell>
          <cell r="V433">
            <v>0</v>
          </cell>
          <cell r="W433">
            <v>0</v>
          </cell>
          <cell r="Y433">
            <v>0</v>
          </cell>
          <cell r="AA433">
            <v>0</v>
          </cell>
          <cell r="AJ433">
            <v>-53980857.262916677</v>
          </cell>
          <cell r="AN433">
            <v>-41112917.934583329</v>
          </cell>
          <cell r="AR433">
            <v>-31678300.016666666</v>
          </cell>
          <cell r="AV433">
            <v>-13399256.140416667</v>
          </cell>
          <cell r="AZ433">
            <v>0</v>
          </cell>
        </row>
        <row r="434">
          <cell r="Q434">
            <v>0</v>
          </cell>
          <cell r="S434">
            <v>0</v>
          </cell>
          <cell r="U434">
            <v>0</v>
          </cell>
          <cell r="V434">
            <v>0</v>
          </cell>
          <cell r="W434">
            <v>0</v>
          </cell>
          <cell r="Y434">
            <v>12622431.779999999</v>
          </cell>
          <cell r="AA434">
            <v>19968796.039999999</v>
          </cell>
          <cell r="AJ434">
            <v>3747043.574583333</v>
          </cell>
          <cell r="AN434">
            <v>3746303.39</v>
          </cell>
          <cell r="AR434">
            <v>4301828.1062500002</v>
          </cell>
          <cell r="AV434">
            <v>5711016.2616666667</v>
          </cell>
          <cell r="AZ434">
            <v>5711016.2616666667</v>
          </cell>
        </row>
        <row r="435">
          <cell r="Q435">
            <v>362363</v>
          </cell>
          <cell r="S435">
            <v>525276.41</v>
          </cell>
          <cell r="U435">
            <v>1575412.62</v>
          </cell>
          <cell r="V435">
            <v>1414871.28</v>
          </cell>
          <cell r="W435">
            <v>1022570.04</v>
          </cell>
          <cell r="Y435">
            <v>1361970.13</v>
          </cell>
          <cell r="AA435">
            <v>2126896.8199999998</v>
          </cell>
          <cell r="AJ435">
            <v>1366701.1666666667</v>
          </cell>
          <cell r="AN435">
            <v>1485253.0225</v>
          </cell>
          <cell r="AR435">
            <v>1226780.6912500001</v>
          </cell>
          <cell r="AV435">
            <v>1575379.45</v>
          </cell>
          <cell r="AZ435">
            <v>2262848.1133333333</v>
          </cell>
        </row>
        <row r="436">
          <cell r="Q436">
            <v>15232210</v>
          </cell>
          <cell r="S436">
            <v>20066360.510000002</v>
          </cell>
          <cell r="U436">
            <v>15334724.880000001</v>
          </cell>
          <cell r="V436">
            <v>14228220.380000001</v>
          </cell>
          <cell r="W436">
            <v>12742443.26</v>
          </cell>
          <cell r="Y436">
            <v>11097815.6</v>
          </cell>
          <cell r="AA436">
            <v>10309995.810000001</v>
          </cell>
          <cell r="AJ436">
            <v>44283470.583333336</v>
          </cell>
          <cell r="AN436">
            <v>48694433.054166675</v>
          </cell>
          <cell r="AR436">
            <v>19985297.645</v>
          </cell>
          <cell r="AV436">
            <v>14303490.204583332</v>
          </cell>
          <cell r="AZ436">
            <v>11566074.338333333</v>
          </cell>
        </row>
        <row r="437">
          <cell r="Q437">
            <v>119425</v>
          </cell>
          <cell r="S437">
            <v>587779.69999999995</v>
          </cell>
          <cell r="U437">
            <v>1060891.1200000001</v>
          </cell>
          <cell r="V437">
            <v>3021956.98</v>
          </cell>
          <cell r="W437">
            <v>2726493.55</v>
          </cell>
          <cell r="Y437">
            <v>1582289.27</v>
          </cell>
          <cell r="AA437">
            <v>3760301.3</v>
          </cell>
          <cell r="AJ437">
            <v>4976.041666666667</v>
          </cell>
          <cell r="AN437">
            <v>198476.01333333334</v>
          </cell>
          <cell r="AR437">
            <v>1010488.5845833332</v>
          </cell>
          <cell r="AV437">
            <v>2139101.0833333335</v>
          </cell>
          <cell r="AZ437">
            <v>2125249.9099999997</v>
          </cell>
        </row>
        <row r="438">
          <cell r="Q438">
            <v>6188358</v>
          </cell>
          <cell r="S438">
            <v>8631900.4399999995</v>
          </cell>
          <cell r="U438">
            <v>8219332.4699999997</v>
          </cell>
          <cell r="V438">
            <v>8768871.0299999993</v>
          </cell>
          <cell r="W438">
            <v>7230120.8499999996</v>
          </cell>
          <cell r="Y438">
            <v>3689061.72</v>
          </cell>
          <cell r="AA438">
            <v>5250944.76</v>
          </cell>
          <cell r="AJ438">
            <v>17595008.166666668</v>
          </cell>
          <cell r="AN438">
            <v>19709997.197083335</v>
          </cell>
          <cell r="AR438">
            <v>8585359.2383333333</v>
          </cell>
          <cell r="AV438">
            <v>7010318.9354166659</v>
          </cell>
          <cell r="AZ438">
            <v>4751452.0374999996</v>
          </cell>
        </row>
        <row r="439">
          <cell r="Q439">
            <v>0</v>
          </cell>
          <cell r="S439">
            <v>0</v>
          </cell>
          <cell r="U439">
            <v>0</v>
          </cell>
          <cell r="V439">
            <v>0</v>
          </cell>
          <cell r="W439">
            <v>0</v>
          </cell>
          <cell r="Y439">
            <v>0</v>
          </cell>
          <cell r="AA439">
            <v>0</v>
          </cell>
          <cell r="AJ439">
            <v>0</v>
          </cell>
          <cell r="AN439">
            <v>0</v>
          </cell>
          <cell r="AR439">
            <v>0</v>
          </cell>
          <cell r="AV439">
            <v>0</v>
          </cell>
          <cell r="AZ439">
            <v>0</v>
          </cell>
        </row>
        <row r="440">
          <cell r="Q440">
            <v>-28332</v>
          </cell>
          <cell r="S440">
            <v>-28332</v>
          </cell>
          <cell r="U440">
            <v>0</v>
          </cell>
          <cell r="V440">
            <v>0</v>
          </cell>
          <cell r="W440">
            <v>0</v>
          </cell>
          <cell r="Y440">
            <v>0</v>
          </cell>
          <cell r="AA440">
            <v>0</v>
          </cell>
          <cell r="AJ440">
            <v>-39308.25</v>
          </cell>
          <cell r="AN440">
            <v>-37713.875</v>
          </cell>
          <cell r="AR440">
            <v>-8448.875</v>
          </cell>
          <cell r="AV440">
            <v>-5902.5</v>
          </cell>
          <cell r="AZ440">
            <v>0</v>
          </cell>
        </row>
        <row r="441">
          <cell r="Q441">
            <v>-12159</v>
          </cell>
          <cell r="S441">
            <v>-12159</v>
          </cell>
          <cell r="U441">
            <v>0</v>
          </cell>
          <cell r="V441">
            <v>0</v>
          </cell>
          <cell r="W441">
            <v>0</v>
          </cell>
          <cell r="Y441">
            <v>0</v>
          </cell>
          <cell r="AA441">
            <v>0</v>
          </cell>
          <cell r="AJ441">
            <v>-23697.291666666668</v>
          </cell>
          <cell r="AN441">
            <v>-23887.875</v>
          </cell>
          <cell r="AR441">
            <v>-5345.875</v>
          </cell>
          <cell r="AV441">
            <v>-2533.125</v>
          </cell>
          <cell r="AZ441">
            <v>0</v>
          </cell>
        </row>
        <row r="442">
          <cell r="Q442">
            <v>-721</v>
          </cell>
          <cell r="S442">
            <v>-721</v>
          </cell>
          <cell r="U442">
            <v>0</v>
          </cell>
          <cell r="V442">
            <v>0</v>
          </cell>
          <cell r="W442">
            <v>0</v>
          </cell>
          <cell r="Y442">
            <v>0</v>
          </cell>
          <cell r="AA442">
            <v>0</v>
          </cell>
          <cell r="AJ442">
            <v>-2390.2083333333335</v>
          </cell>
          <cell r="AN442">
            <v>-1788.25</v>
          </cell>
          <cell r="AR442">
            <v>-197.45833333333334</v>
          </cell>
          <cell r="AV442">
            <v>-150.20833333333334</v>
          </cell>
          <cell r="AZ442">
            <v>0</v>
          </cell>
        </row>
        <row r="443">
          <cell r="Q443">
            <v>-222</v>
          </cell>
          <cell r="S443">
            <v>-222</v>
          </cell>
          <cell r="U443">
            <v>0</v>
          </cell>
          <cell r="V443">
            <v>0</v>
          </cell>
          <cell r="W443">
            <v>0</v>
          </cell>
          <cell r="Y443">
            <v>0</v>
          </cell>
          <cell r="AA443">
            <v>0</v>
          </cell>
          <cell r="AJ443">
            <v>-9.25</v>
          </cell>
          <cell r="AN443">
            <v>-55.5</v>
          </cell>
          <cell r="AR443">
            <v>-55.5</v>
          </cell>
          <cell r="AV443">
            <v>-46.25</v>
          </cell>
          <cell r="AZ443">
            <v>0</v>
          </cell>
        </row>
        <row r="444">
          <cell r="Q444">
            <v>0</v>
          </cell>
          <cell r="S444">
            <v>0</v>
          </cell>
          <cell r="U444">
            <v>0</v>
          </cell>
          <cell r="V444">
            <v>0</v>
          </cell>
          <cell r="W444">
            <v>0</v>
          </cell>
          <cell r="Y444">
            <v>0</v>
          </cell>
          <cell r="AA444">
            <v>0</v>
          </cell>
          <cell r="AJ444">
            <v>195299.75</v>
          </cell>
          <cell r="AN444">
            <v>129955</v>
          </cell>
          <cell r="AR444">
            <v>0</v>
          </cell>
          <cell r="AV444">
            <v>0</v>
          </cell>
          <cell r="AZ444">
            <v>0</v>
          </cell>
        </row>
        <row r="445">
          <cell r="Q445">
            <v>53005</v>
          </cell>
          <cell r="S445">
            <v>0</v>
          </cell>
          <cell r="U445">
            <v>0</v>
          </cell>
          <cell r="V445">
            <v>0</v>
          </cell>
          <cell r="W445">
            <v>0</v>
          </cell>
          <cell r="Y445">
            <v>0</v>
          </cell>
          <cell r="AA445">
            <v>0</v>
          </cell>
          <cell r="AJ445">
            <v>42132404.125</v>
          </cell>
          <cell r="AN445">
            <v>34148959.458333336</v>
          </cell>
          <cell r="AR445">
            <v>4643191.458333333</v>
          </cell>
          <cell r="AV445">
            <v>2208.5416666666665</v>
          </cell>
          <cell r="AZ445">
            <v>0</v>
          </cell>
        </row>
        <row r="446">
          <cell r="Q446">
            <v>0</v>
          </cell>
          <cell r="S446">
            <v>0</v>
          </cell>
          <cell r="U446">
            <v>0</v>
          </cell>
          <cell r="V446">
            <v>0</v>
          </cell>
          <cell r="W446">
            <v>0</v>
          </cell>
          <cell r="Y446">
            <v>0</v>
          </cell>
          <cell r="AA446">
            <v>0</v>
          </cell>
          <cell r="AJ446">
            <v>4938007.583333333</v>
          </cell>
          <cell r="AN446">
            <v>0</v>
          </cell>
          <cell r="AR446">
            <v>0</v>
          </cell>
          <cell r="AV446">
            <v>0</v>
          </cell>
          <cell r="AZ446">
            <v>0</v>
          </cell>
        </row>
        <row r="447">
          <cell r="Q447">
            <v>416947</v>
          </cell>
          <cell r="S447">
            <v>278960.48</v>
          </cell>
          <cell r="U447">
            <v>131539.88</v>
          </cell>
          <cell r="V447">
            <v>668206.64</v>
          </cell>
          <cell r="W447">
            <v>522293.57</v>
          </cell>
          <cell r="Y447">
            <v>0</v>
          </cell>
          <cell r="AA447">
            <v>0</v>
          </cell>
          <cell r="AJ447">
            <v>44512665.333333336</v>
          </cell>
          <cell r="AN447">
            <v>39316806.369166665</v>
          </cell>
          <cell r="AR447">
            <v>6626763.9233333329</v>
          </cell>
          <cell r="AV447">
            <v>191560.38166666668</v>
          </cell>
          <cell r="AZ447">
            <v>104689.17916666665</v>
          </cell>
        </row>
        <row r="448">
          <cell r="Q448">
            <v>0</v>
          </cell>
          <cell r="S448">
            <v>0</v>
          </cell>
          <cell r="U448">
            <v>0</v>
          </cell>
          <cell r="V448">
            <v>0</v>
          </cell>
          <cell r="W448">
            <v>0</v>
          </cell>
          <cell r="Y448">
            <v>0</v>
          </cell>
          <cell r="AA448">
            <v>0</v>
          </cell>
          <cell r="AJ448">
            <v>2249357.375</v>
          </cell>
          <cell r="AN448">
            <v>0</v>
          </cell>
          <cell r="AR448">
            <v>0</v>
          </cell>
          <cell r="AV448">
            <v>0</v>
          </cell>
          <cell r="AZ448">
            <v>0</v>
          </cell>
        </row>
        <row r="449">
          <cell r="Q449">
            <v>0</v>
          </cell>
          <cell r="S449">
            <v>0</v>
          </cell>
          <cell r="U449">
            <v>0</v>
          </cell>
          <cell r="V449">
            <v>0</v>
          </cell>
          <cell r="W449">
            <v>0</v>
          </cell>
          <cell r="Y449">
            <v>0</v>
          </cell>
          <cell r="AA449">
            <v>0</v>
          </cell>
          <cell r="AJ449">
            <v>393.5</v>
          </cell>
          <cell r="AN449">
            <v>196.75</v>
          </cell>
          <cell r="AR449">
            <v>0</v>
          </cell>
          <cell r="AV449">
            <v>0</v>
          </cell>
          <cell r="AZ449">
            <v>0</v>
          </cell>
        </row>
        <row r="450">
          <cell r="Q450">
            <v>0</v>
          </cell>
          <cell r="S450">
            <v>0</v>
          </cell>
          <cell r="U450">
            <v>0</v>
          </cell>
          <cell r="V450">
            <v>0</v>
          </cell>
          <cell r="W450">
            <v>0</v>
          </cell>
          <cell r="Y450">
            <v>0</v>
          </cell>
          <cell r="AA450">
            <v>0</v>
          </cell>
          <cell r="AJ450">
            <v>0</v>
          </cell>
          <cell r="AN450">
            <v>0</v>
          </cell>
          <cell r="AR450">
            <v>0</v>
          </cell>
          <cell r="AV450">
            <v>0</v>
          </cell>
          <cell r="AZ450">
            <v>0</v>
          </cell>
        </row>
        <row r="451">
          <cell r="Q451">
            <v>0</v>
          </cell>
          <cell r="S451">
            <v>0</v>
          </cell>
          <cell r="U451">
            <v>0</v>
          </cell>
          <cell r="V451">
            <v>0</v>
          </cell>
          <cell r="W451">
            <v>0</v>
          </cell>
          <cell r="Y451">
            <v>0</v>
          </cell>
          <cell r="AA451">
            <v>0</v>
          </cell>
          <cell r="AJ451">
            <v>1330780.25</v>
          </cell>
          <cell r="AN451">
            <v>1307022</v>
          </cell>
          <cell r="AR451">
            <v>213877.29166666666</v>
          </cell>
          <cell r="AV451">
            <v>0</v>
          </cell>
          <cell r="AZ451">
            <v>0</v>
          </cell>
        </row>
        <row r="452">
          <cell r="Q452">
            <v>0</v>
          </cell>
          <cell r="S452">
            <v>0</v>
          </cell>
          <cell r="U452">
            <v>0</v>
          </cell>
          <cell r="V452">
            <v>0</v>
          </cell>
          <cell r="W452">
            <v>0</v>
          </cell>
          <cell r="Y452">
            <v>0</v>
          </cell>
          <cell r="AA452">
            <v>0</v>
          </cell>
          <cell r="AJ452">
            <v>-14993.75</v>
          </cell>
          <cell r="AN452">
            <v>0</v>
          </cell>
          <cell r="AR452">
            <v>0</v>
          </cell>
          <cell r="AV452">
            <v>0</v>
          </cell>
          <cell r="AZ452">
            <v>0</v>
          </cell>
        </row>
        <row r="453">
          <cell r="Q453">
            <v>0</v>
          </cell>
          <cell r="S453">
            <v>0</v>
          </cell>
          <cell r="U453">
            <v>0</v>
          </cell>
          <cell r="V453">
            <v>0</v>
          </cell>
          <cell r="W453">
            <v>0</v>
          </cell>
          <cell r="Y453">
            <v>0</v>
          </cell>
          <cell r="AA453">
            <v>0</v>
          </cell>
          <cell r="AJ453">
            <v>0</v>
          </cell>
          <cell r="AN453">
            <v>0</v>
          </cell>
          <cell r="AR453">
            <v>0</v>
          </cell>
          <cell r="AV453">
            <v>0</v>
          </cell>
          <cell r="AZ453">
            <v>0</v>
          </cell>
        </row>
        <row r="454">
          <cell r="Q454">
            <v>0</v>
          </cell>
          <cell r="S454">
            <v>0</v>
          </cell>
          <cell r="U454">
            <v>0</v>
          </cell>
          <cell r="V454">
            <v>0</v>
          </cell>
          <cell r="W454">
            <v>0</v>
          </cell>
          <cell r="Y454">
            <v>0</v>
          </cell>
          <cell r="AA454">
            <v>0</v>
          </cell>
          <cell r="AJ454">
            <v>-4685.083333333333</v>
          </cell>
          <cell r="AN454">
            <v>0</v>
          </cell>
          <cell r="AR454">
            <v>0</v>
          </cell>
          <cell r="AV454">
            <v>0</v>
          </cell>
          <cell r="AZ454">
            <v>0</v>
          </cell>
        </row>
        <row r="455">
          <cell r="Q455">
            <v>0</v>
          </cell>
          <cell r="S455">
            <v>0</v>
          </cell>
          <cell r="U455">
            <v>0</v>
          </cell>
          <cell r="V455">
            <v>0</v>
          </cell>
          <cell r="W455">
            <v>0</v>
          </cell>
          <cell r="Y455">
            <v>0</v>
          </cell>
          <cell r="AA455">
            <v>0</v>
          </cell>
          <cell r="AJ455">
            <v>626364.625</v>
          </cell>
          <cell r="AN455">
            <v>0</v>
          </cell>
          <cell r="AR455">
            <v>0</v>
          </cell>
          <cell r="AV455">
            <v>0</v>
          </cell>
          <cell r="AZ455">
            <v>0</v>
          </cell>
        </row>
        <row r="456">
          <cell r="Q456">
            <v>0</v>
          </cell>
          <cell r="S456">
            <v>0</v>
          </cell>
          <cell r="U456">
            <v>0</v>
          </cell>
          <cell r="V456">
            <v>0</v>
          </cell>
          <cell r="W456">
            <v>0</v>
          </cell>
          <cell r="Y456">
            <v>0</v>
          </cell>
          <cell r="AA456">
            <v>0</v>
          </cell>
          <cell r="AJ456">
            <v>0</v>
          </cell>
          <cell r="AN456">
            <v>0</v>
          </cell>
          <cell r="AR456">
            <v>0</v>
          </cell>
          <cell r="AV456">
            <v>0</v>
          </cell>
          <cell r="AZ456">
            <v>0</v>
          </cell>
        </row>
        <row r="457">
          <cell r="Q457">
            <v>0</v>
          </cell>
          <cell r="S457">
            <v>0</v>
          </cell>
          <cell r="U457">
            <v>0</v>
          </cell>
          <cell r="V457">
            <v>0</v>
          </cell>
          <cell r="W457">
            <v>0</v>
          </cell>
          <cell r="Y457">
            <v>0</v>
          </cell>
          <cell r="AA457">
            <v>0</v>
          </cell>
          <cell r="AJ457">
            <v>0</v>
          </cell>
          <cell r="AN457">
            <v>0</v>
          </cell>
          <cell r="AR457">
            <v>0</v>
          </cell>
          <cell r="AV457">
            <v>0</v>
          </cell>
          <cell r="AZ457">
            <v>0</v>
          </cell>
        </row>
        <row r="458">
          <cell r="Q458">
            <v>-122</v>
          </cell>
          <cell r="S458">
            <v>-122</v>
          </cell>
          <cell r="U458">
            <v>0</v>
          </cell>
          <cell r="V458">
            <v>0</v>
          </cell>
          <cell r="W458">
            <v>0</v>
          </cell>
          <cell r="Y458">
            <v>0</v>
          </cell>
          <cell r="AA458">
            <v>0</v>
          </cell>
          <cell r="AJ458">
            <v>-60152.166666666664</v>
          </cell>
          <cell r="AN458">
            <v>-33702.125</v>
          </cell>
          <cell r="AR458">
            <v>-1357.375</v>
          </cell>
          <cell r="AV458">
            <v>-25.416666666666668</v>
          </cell>
          <cell r="AZ458">
            <v>0</v>
          </cell>
        </row>
        <row r="459">
          <cell r="Q459">
            <v>-776</v>
          </cell>
          <cell r="S459">
            <v>-776</v>
          </cell>
          <cell r="U459">
            <v>0</v>
          </cell>
          <cell r="V459">
            <v>0</v>
          </cell>
          <cell r="W459">
            <v>0</v>
          </cell>
          <cell r="Y459">
            <v>0</v>
          </cell>
          <cell r="AA459">
            <v>0</v>
          </cell>
          <cell r="AJ459">
            <v>-196655.33333333334</v>
          </cell>
          <cell r="AN459">
            <v>-180777</v>
          </cell>
          <cell r="AR459">
            <v>-27619.708333333332</v>
          </cell>
          <cell r="AV459">
            <v>-161.66666666666666</v>
          </cell>
          <cell r="AZ459">
            <v>0</v>
          </cell>
        </row>
        <row r="460">
          <cell r="Q460">
            <v>954620.76</v>
          </cell>
          <cell r="S460">
            <v>937799.24</v>
          </cell>
          <cell r="U460">
            <v>920977.72</v>
          </cell>
          <cell r="V460">
            <v>912566.96</v>
          </cell>
          <cell r="W460">
            <v>904156.2</v>
          </cell>
          <cell r="Y460">
            <v>887334.68</v>
          </cell>
          <cell r="AA460">
            <v>870513.16</v>
          </cell>
          <cell r="AJ460">
            <v>1005085.32</v>
          </cell>
          <cell r="AN460">
            <v>971442.27999999991</v>
          </cell>
          <cell r="AR460">
            <v>937799.23999999987</v>
          </cell>
          <cell r="AV460">
            <v>904156.19999999984</v>
          </cell>
          <cell r="AZ460">
            <v>870513.16124999989</v>
          </cell>
        </row>
        <row r="461">
          <cell r="Q461">
            <v>58520</v>
          </cell>
          <cell r="S461">
            <v>57684</v>
          </cell>
          <cell r="U461">
            <v>56848</v>
          </cell>
          <cell r="V461">
            <v>56430</v>
          </cell>
          <cell r="W461">
            <v>56012</v>
          </cell>
          <cell r="Y461">
            <v>55176</v>
          </cell>
          <cell r="AA461">
            <v>54340</v>
          </cell>
          <cell r="AJ461">
            <v>61028</v>
          </cell>
          <cell r="AN461">
            <v>59356</v>
          </cell>
          <cell r="AR461">
            <v>57684</v>
          </cell>
          <cell r="AV461">
            <v>56012</v>
          </cell>
          <cell r="AZ461">
            <v>54340</v>
          </cell>
        </row>
        <row r="462">
          <cell r="Q462">
            <v>36102.379999999997</v>
          </cell>
          <cell r="S462">
            <v>34822.019999999997</v>
          </cell>
          <cell r="U462">
            <v>33541.660000000003</v>
          </cell>
          <cell r="V462">
            <v>32901.480000000003</v>
          </cell>
          <cell r="W462">
            <v>32261.3</v>
          </cell>
          <cell r="Y462">
            <v>30980.94</v>
          </cell>
          <cell r="AA462">
            <v>29700.58</v>
          </cell>
          <cell r="AJ462">
            <v>40532.498333333329</v>
          </cell>
          <cell r="AN462">
            <v>37501.478333333333</v>
          </cell>
          <cell r="AR462">
            <v>34822.488749999997</v>
          </cell>
          <cell r="AV462">
            <v>32261.300000000003</v>
          </cell>
          <cell r="AZ462">
            <v>29700.579999999998</v>
          </cell>
        </row>
        <row r="463">
          <cell r="Q463">
            <v>133715.78</v>
          </cell>
          <cell r="S463">
            <v>130336.54</v>
          </cell>
          <cell r="U463">
            <v>126957.3</v>
          </cell>
          <cell r="V463">
            <v>125267.68</v>
          </cell>
          <cell r="W463">
            <v>123578.06</v>
          </cell>
          <cell r="Y463">
            <v>120198.82</v>
          </cell>
          <cell r="AA463">
            <v>116819.58</v>
          </cell>
          <cell r="AJ463">
            <v>143853.63458333333</v>
          </cell>
          <cell r="AN463">
            <v>137095.09791666665</v>
          </cell>
          <cell r="AR463">
            <v>130336.56125000001</v>
          </cell>
          <cell r="AV463">
            <v>123591.33749999998</v>
          </cell>
          <cell r="AZ463">
            <v>117151.5175</v>
          </cell>
        </row>
        <row r="464">
          <cell r="Q464">
            <v>0</v>
          </cell>
          <cell r="S464">
            <v>0</v>
          </cell>
          <cell r="U464">
            <v>0</v>
          </cell>
          <cell r="V464">
            <v>0</v>
          </cell>
          <cell r="W464">
            <v>0</v>
          </cell>
          <cell r="Y464">
            <v>0</v>
          </cell>
          <cell r="AA464">
            <v>0</v>
          </cell>
          <cell r="AJ464">
            <v>0</v>
          </cell>
          <cell r="AN464">
            <v>0</v>
          </cell>
          <cell r="AR464">
            <v>0</v>
          </cell>
          <cell r="AV464">
            <v>0</v>
          </cell>
          <cell r="AZ464">
            <v>0</v>
          </cell>
        </row>
        <row r="465">
          <cell r="Q465">
            <v>0</v>
          </cell>
          <cell r="S465">
            <v>0</v>
          </cell>
          <cell r="U465">
            <v>0</v>
          </cell>
          <cell r="V465">
            <v>0</v>
          </cell>
          <cell r="W465">
            <v>0</v>
          </cell>
          <cell r="Y465">
            <v>0</v>
          </cell>
          <cell r="AA465">
            <v>0</v>
          </cell>
          <cell r="AJ465">
            <v>0</v>
          </cell>
          <cell r="AN465">
            <v>0</v>
          </cell>
          <cell r="AR465">
            <v>0</v>
          </cell>
          <cell r="AV465">
            <v>0</v>
          </cell>
          <cell r="AZ465">
            <v>0</v>
          </cell>
        </row>
        <row r="466">
          <cell r="Q466">
            <v>0</v>
          </cell>
          <cell r="S466">
            <v>0</v>
          </cell>
          <cell r="U466">
            <v>0</v>
          </cell>
          <cell r="V466">
            <v>0</v>
          </cell>
          <cell r="W466">
            <v>0</v>
          </cell>
          <cell r="Y466">
            <v>0</v>
          </cell>
          <cell r="AA466">
            <v>0</v>
          </cell>
          <cell r="AJ466">
            <v>0</v>
          </cell>
          <cell r="AN466">
            <v>0</v>
          </cell>
          <cell r="AR466">
            <v>0</v>
          </cell>
          <cell r="AV466">
            <v>0</v>
          </cell>
          <cell r="AZ466">
            <v>0</v>
          </cell>
        </row>
        <row r="467">
          <cell r="Q467">
            <v>2166614.2999999998</v>
          </cell>
          <cell r="S467">
            <v>2152944.7999999998</v>
          </cell>
          <cell r="U467">
            <v>2139275.2999999998</v>
          </cell>
          <cell r="V467">
            <v>2132440.5499999998</v>
          </cell>
          <cell r="W467">
            <v>2125605.7999999998</v>
          </cell>
          <cell r="Y467">
            <v>2111936.2999999998</v>
          </cell>
          <cell r="AA467">
            <v>2098266.7999999998</v>
          </cell>
          <cell r="AJ467">
            <v>2207622.8000000003</v>
          </cell>
          <cell r="AN467">
            <v>2180283.8000000003</v>
          </cell>
          <cell r="AR467">
            <v>2152944.8000000003</v>
          </cell>
          <cell r="AV467">
            <v>2125605.8000000003</v>
          </cell>
          <cell r="AZ467">
            <v>2098266.8000000003</v>
          </cell>
        </row>
        <row r="468">
          <cell r="Q468">
            <v>0</v>
          </cell>
          <cell r="S468">
            <v>0</v>
          </cell>
          <cell r="U468">
            <v>0</v>
          </cell>
          <cell r="V468">
            <v>0</v>
          </cell>
          <cell r="W468">
            <v>0</v>
          </cell>
          <cell r="Y468">
            <v>0</v>
          </cell>
          <cell r="AA468">
            <v>0</v>
          </cell>
          <cell r="AJ468">
            <v>0</v>
          </cell>
          <cell r="AN468">
            <v>0</v>
          </cell>
          <cell r="AR468">
            <v>0</v>
          </cell>
          <cell r="AV468">
            <v>0</v>
          </cell>
          <cell r="AZ468">
            <v>0</v>
          </cell>
        </row>
        <row r="469">
          <cell r="Q469">
            <v>0</v>
          </cell>
          <cell r="S469">
            <v>0</v>
          </cell>
          <cell r="U469">
            <v>0</v>
          </cell>
          <cell r="V469">
            <v>0</v>
          </cell>
          <cell r="W469">
            <v>0</v>
          </cell>
          <cell r="Y469">
            <v>0</v>
          </cell>
          <cell r="AA469">
            <v>0</v>
          </cell>
          <cell r="AJ469">
            <v>0</v>
          </cell>
          <cell r="AN469">
            <v>0</v>
          </cell>
          <cell r="AR469">
            <v>0</v>
          </cell>
          <cell r="AV469">
            <v>0</v>
          </cell>
          <cell r="AZ469">
            <v>0</v>
          </cell>
        </row>
        <row r="470">
          <cell r="Q470">
            <v>0</v>
          </cell>
          <cell r="S470">
            <v>0</v>
          </cell>
          <cell r="U470">
            <v>0</v>
          </cell>
          <cell r="V470">
            <v>0</v>
          </cell>
          <cell r="W470">
            <v>0</v>
          </cell>
          <cell r="Y470">
            <v>0</v>
          </cell>
          <cell r="AA470">
            <v>0</v>
          </cell>
          <cell r="AJ470">
            <v>0</v>
          </cell>
          <cell r="AN470">
            <v>0</v>
          </cell>
          <cell r="AR470">
            <v>0</v>
          </cell>
          <cell r="AV470">
            <v>0</v>
          </cell>
          <cell r="AZ470">
            <v>0</v>
          </cell>
        </row>
        <row r="471">
          <cell r="Q471">
            <v>138086.82999999999</v>
          </cell>
          <cell r="S471">
            <v>0</v>
          </cell>
          <cell r="U471">
            <v>0</v>
          </cell>
          <cell r="V471">
            <v>0</v>
          </cell>
          <cell r="W471">
            <v>0</v>
          </cell>
          <cell r="Y471">
            <v>0</v>
          </cell>
          <cell r="AA471">
            <v>0</v>
          </cell>
          <cell r="AJ471">
            <v>171852.97</v>
          </cell>
          <cell r="AN471">
            <v>123856.93958333334</v>
          </cell>
          <cell r="AR471">
            <v>66572.616250000006</v>
          </cell>
          <cell r="AV471">
            <v>16791.879583333332</v>
          </cell>
          <cell r="AZ471">
            <v>0</v>
          </cell>
        </row>
        <row r="472">
          <cell r="Q472">
            <v>0</v>
          </cell>
          <cell r="S472">
            <v>0</v>
          </cell>
          <cell r="U472">
            <v>0</v>
          </cell>
          <cell r="V472">
            <v>0</v>
          </cell>
          <cell r="W472">
            <v>0</v>
          </cell>
          <cell r="Y472">
            <v>0</v>
          </cell>
          <cell r="AA472">
            <v>0</v>
          </cell>
          <cell r="AJ472">
            <v>0</v>
          </cell>
          <cell r="AN472">
            <v>0</v>
          </cell>
          <cell r="AR472">
            <v>0</v>
          </cell>
          <cell r="AV472">
            <v>0</v>
          </cell>
          <cell r="AZ472">
            <v>0</v>
          </cell>
        </row>
        <row r="473">
          <cell r="Q473">
            <v>0</v>
          </cell>
          <cell r="S473">
            <v>0</v>
          </cell>
          <cell r="U473">
            <v>0</v>
          </cell>
          <cell r="V473">
            <v>0</v>
          </cell>
          <cell r="W473">
            <v>0</v>
          </cell>
          <cell r="Y473">
            <v>0</v>
          </cell>
          <cell r="AA473">
            <v>0</v>
          </cell>
          <cell r="AJ473">
            <v>0</v>
          </cell>
          <cell r="AN473">
            <v>0</v>
          </cell>
          <cell r="AR473">
            <v>0</v>
          </cell>
          <cell r="AV473">
            <v>0</v>
          </cell>
          <cell r="AZ473">
            <v>0</v>
          </cell>
        </row>
        <row r="474">
          <cell r="Q474">
            <v>0</v>
          </cell>
          <cell r="S474">
            <v>0</v>
          </cell>
          <cell r="U474">
            <v>0</v>
          </cell>
          <cell r="V474">
            <v>0</v>
          </cell>
          <cell r="W474">
            <v>0</v>
          </cell>
          <cell r="Y474">
            <v>0</v>
          </cell>
          <cell r="AA474">
            <v>0</v>
          </cell>
          <cell r="AJ474">
            <v>0</v>
          </cell>
          <cell r="AN474">
            <v>0</v>
          </cell>
          <cell r="AR474">
            <v>0</v>
          </cell>
          <cell r="AV474">
            <v>0</v>
          </cell>
          <cell r="AZ474">
            <v>0</v>
          </cell>
        </row>
        <row r="475">
          <cell r="Q475">
            <v>1913908.68</v>
          </cell>
          <cell r="S475">
            <v>1897046.04</v>
          </cell>
          <cell r="U475">
            <v>1880183.4</v>
          </cell>
          <cell r="V475">
            <v>1871752.08</v>
          </cell>
          <cell r="W475">
            <v>1863320.76</v>
          </cell>
          <cell r="Y475">
            <v>1846458.12</v>
          </cell>
          <cell r="AA475">
            <v>1829595.48</v>
          </cell>
          <cell r="AJ475">
            <v>1964496.6000000003</v>
          </cell>
          <cell r="AN475">
            <v>1930771.32</v>
          </cell>
          <cell r="AR475">
            <v>1897046.0400000003</v>
          </cell>
          <cell r="AV475">
            <v>1863320.76</v>
          </cell>
          <cell r="AZ475">
            <v>1829595.4799999997</v>
          </cell>
        </row>
        <row r="476">
          <cell r="Q476">
            <v>21017</v>
          </cell>
          <cell r="S476">
            <v>2741.35</v>
          </cell>
          <cell r="U476">
            <v>0</v>
          </cell>
          <cell r="V476">
            <v>0</v>
          </cell>
          <cell r="W476">
            <v>0</v>
          </cell>
          <cell r="Y476">
            <v>0</v>
          </cell>
          <cell r="AA476">
            <v>0</v>
          </cell>
          <cell r="AJ476">
            <v>75843.947499999995</v>
          </cell>
          <cell r="AN476">
            <v>40472.949999999997</v>
          </cell>
          <cell r="AR476">
            <v>15191.634166666669</v>
          </cell>
          <cell r="AV476">
            <v>2094.085</v>
          </cell>
          <cell r="AZ476">
            <v>0</v>
          </cell>
        </row>
        <row r="477">
          <cell r="Q477">
            <v>642790.85</v>
          </cell>
          <cell r="S477">
            <v>637485.11</v>
          </cell>
          <cell r="U477">
            <v>632179.37</v>
          </cell>
          <cell r="V477">
            <v>629526.5</v>
          </cell>
          <cell r="W477">
            <v>626873.63</v>
          </cell>
          <cell r="Y477">
            <v>621567.89</v>
          </cell>
          <cell r="AA477">
            <v>616262.15</v>
          </cell>
          <cell r="AJ477">
            <v>658708.06999999995</v>
          </cell>
          <cell r="AN477">
            <v>648096.59</v>
          </cell>
          <cell r="AR477">
            <v>637485.11</v>
          </cell>
          <cell r="AV477">
            <v>626873.63</v>
          </cell>
          <cell r="AZ477">
            <v>616262.15</v>
          </cell>
        </row>
        <row r="478">
          <cell r="Q478">
            <v>196027.36</v>
          </cell>
          <cell r="S478">
            <v>167514.29</v>
          </cell>
          <cell r="U478">
            <v>139001.22</v>
          </cell>
          <cell r="V478">
            <v>124744.68</v>
          </cell>
          <cell r="W478">
            <v>110488.15</v>
          </cell>
          <cell r="Y478">
            <v>81975.08</v>
          </cell>
          <cell r="AA478">
            <v>53462.01</v>
          </cell>
          <cell r="AJ478">
            <v>281566.59041666676</v>
          </cell>
          <cell r="AN478">
            <v>224540.43624999994</v>
          </cell>
          <cell r="AR478">
            <v>167514.28874999998</v>
          </cell>
          <cell r="AV478">
            <v>110488.14750000001</v>
          </cell>
          <cell r="AZ478">
            <v>56580.624166666654</v>
          </cell>
        </row>
        <row r="479">
          <cell r="Q479">
            <v>0</v>
          </cell>
          <cell r="S479">
            <v>0</v>
          </cell>
          <cell r="U479">
            <v>0</v>
          </cell>
          <cell r="V479">
            <v>0</v>
          </cell>
          <cell r="W479">
            <v>0</v>
          </cell>
          <cell r="Y479">
            <v>0</v>
          </cell>
          <cell r="AA479">
            <v>0</v>
          </cell>
          <cell r="AJ479">
            <v>5842.037916666668</v>
          </cell>
          <cell r="AN479">
            <v>1580.9837500000001</v>
          </cell>
          <cell r="AR479">
            <v>25.362916666666667</v>
          </cell>
          <cell r="AV479">
            <v>0</v>
          </cell>
          <cell r="AZ479">
            <v>0</v>
          </cell>
        </row>
        <row r="480">
          <cell r="Q480">
            <v>380774.87</v>
          </cell>
          <cell r="S480">
            <v>350312.88</v>
          </cell>
          <cell r="U480">
            <v>319850.89</v>
          </cell>
          <cell r="V480">
            <v>304619.90000000002</v>
          </cell>
          <cell r="W480">
            <v>289388.90000000002</v>
          </cell>
          <cell r="Y480">
            <v>258926.91</v>
          </cell>
          <cell r="AA480">
            <v>228464.92</v>
          </cell>
          <cell r="AJ480">
            <v>472160.84125000006</v>
          </cell>
          <cell r="AN480">
            <v>411236.86249999999</v>
          </cell>
          <cell r="AR480">
            <v>350312.88250000001</v>
          </cell>
          <cell r="AV480">
            <v>289388.90250000003</v>
          </cell>
          <cell r="AZ480">
            <v>228464.92249999999</v>
          </cell>
        </row>
        <row r="481">
          <cell r="Q481">
            <v>0</v>
          </cell>
          <cell r="S481">
            <v>0</v>
          </cell>
          <cell r="U481">
            <v>0</v>
          </cell>
          <cell r="V481">
            <v>0</v>
          </cell>
          <cell r="W481">
            <v>0</v>
          </cell>
          <cell r="Y481">
            <v>0</v>
          </cell>
          <cell r="AA481">
            <v>0</v>
          </cell>
          <cell r="AJ481">
            <v>0</v>
          </cell>
          <cell r="AN481">
            <v>0</v>
          </cell>
          <cell r="AR481">
            <v>0</v>
          </cell>
          <cell r="AV481">
            <v>0</v>
          </cell>
          <cell r="AZ481">
            <v>0</v>
          </cell>
        </row>
        <row r="482">
          <cell r="Q482">
            <v>4895324.22</v>
          </cell>
          <cell r="S482">
            <v>4858517.28</v>
          </cell>
          <cell r="U482">
            <v>4821710.34</v>
          </cell>
          <cell r="V482">
            <v>4803306.87</v>
          </cell>
          <cell r="W482">
            <v>4784903.4000000004</v>
          </cell>
          <cell r="Y482">
            <v>4748096.46</v>
          </cell>
          <cell r="AA482">
            <v>4711289.5199999996</v>
          </cell>
          <cell r="AJ482">
            <v>5005745.0762500009</v>
          </cell>
          <cell r="AN482">
            <v>4932131.1729166675</v>
          </cell>
          <cell r="AR482">
            <v>4858517.282916666</v>
          </cell>
          <cell r="AV482">
            <v>4784903.4000000004</v>
          </cell>
          <cell r="AZ482">
            <v>4711289.5199999996</v>
          </cell>
        </row>
        <row r="483">
          <cell r="Q483">
            <v>827318.91</v>
          </cell>
          <cell r="S483">
            <v>821098.47</v>
          </cell>
          <cell r="U483">
            <v>814878.03</v>
          </cell>
          <cell r="V483">
            <v>811767.81</v>
          </cell>
          <cell r="W483">
            <v>808657.59</v>
          </cell>
          <cell r="Y483">
            <v>802437.15</v>
          </cell>
          <cell r="AA483">
            <v>796216.71</v>
          </cell>
          <cell r="AJ483">
            <v>845980.23958333337</v>
          </cell>
          <cell r="AN483">
            <v>833539.35624999984</v>
          </cell>
          <cell r="AR483">
            <v>821098.47291666653</v>
          </cell>
          <cell r="AV483">
            <v>808657.59</v>
          </cell>
          <cell r="AZ483">
            <v>796216.71</v>
          </cell>
        </row>
        <row r="484">
          <cell r="Q484">
            <v>815866.29</v>
          </cell>
          <cell r="S484">
            <v>0</v>
          </cell>
          <cell r="U484">
            <v>0</v>
          </cell>
          <cell r="V484">
            <v>0</v>
          </cell>
          <cell r="W484">
            <v>0</v>
          </cell>
          <cell r="Y484">
            <v>0</v>
          </cell>
          <cell r="AA484">
            <v>0</v>
          </cell>
          <cell r="AJ484">
            <v>929801.72166666656</v>
          </cell>
          <cell r="AN484">
            <v>694574.22125000006</v>
          </cell>
          <cell r="AR484">
            <v>384930.99125000002</v>
          </cell>
          <cell r="AV484">
            <v>100412.96125000001</v>
          </cell>
          <cell r="AZ484">
            <v>0</v>
          </cell>
        </row>
        <row r="485">
          <cell r="Q485">
            <v>0</v>
          </cell>
          <cell r="S485">
            <v>0</v>
          </cell>
          <cell r="U485">
            <v>0</v>
          </cell>
          <cell r="V485">
            <v>0</v>
          </cell>
          <cell r="W485">
            <v>0</v>
          </cell>
          <cell r="Y485">
            <v>0</v>
          </cell>
          <cell r="AA485">
            <v>0</v>
          </cell>
          <cell r="AJ485">
            <v>0</v>
          </cell>
          <cell r="AN485">
            <v>0</v>
          </cell>
          <cell r="AR485">
            <v>0</v>
          </cell>
          <cell r="AV485">
            <v>0</v>
          </cell>
          <cell r="AZ485">
            <v>0</v>
          </cell>
        </row>
        <row r="486">
          <cell r="Q486">
            <v>0</v>
          </cell>
          <cell r="S486">
            <v>0</v>
          </cell>
          <cell r="U486">
            <v>0</v>
          </cell>
          <cell r="V486">
            <v>0</v>
          </cell>
          <cell r="W486">
            <v>0</v>
          </cell>
          <cell r="Y486">
            <v>0</v>
          </cell>
          <cell r="AA486">
            <v>0</v>
          </cell>
          <cell r="AJ486">
            <v>0</v>
          </cell>
          <cell r="AN486">
            <v>0</v>
          </cell>
          <cell r="AR486">
            <v>0</v>
          </cell>
          <cell r="AV486">
            <v>0</v>
          </cell>
          <cell r="AZ486">
            <v>0</v>
          </cell>
        </row>
        <row r="487">
          <cell r="Q487">
            <v>0</v>
          </cell>
          <cell r="S487">
            <v>0</v>
          </cell>
          <cell r="U487">
            <v>0</v>
          </cell>
          <cell r="V487">
            <v>0</v>
          </cell>
          <cell r="W487">
            <v>0</v>
          </cell>
          <cell r="Y487">
            <v>0</v>
          </cell>
          <cell r="AA487">
            <v>0</v>
          </cell>
          <cell r="AJ487">
            <v>0</v>
          </cell>
          <cell r="AN487">
            <v>0</v>
          </cell>
          <cell r="AR487">
            <v>0</v>
          </cell>
          <cell r="AV487">
            <v>0</v>
          </cell>
          <cell r="AZ487">
            <v>0</v>
          </cell>
        </row>
        <row r="488">
          <cell r="Q488">
            <v>0</v>
          </cell>
          <cell r="S488">
            <v>0</v>
          </cell>
          <cell r="U488">
            <v>0</v>
          </cell>
          <cell r="V488">
            <v>0</v>
          </cell>
          <cell r="W488">
            <v>0</v>
          </cell>
          <cell r="Y488">
            <v>0</v>
          </cell>
          <cell r="AA488">
            <v>0</v>
          </cell>
          <cell r="AJ488">
            <v>0</v>
          </cell>
          <cell r="AN488">
            <v>0</v>
          </cell>
          <cell r="AR488">
            <v>0</v>
          </cell>
          <cell r="AV488">
            <v>0</v>
          </cell>
          <cell r="AZ488">
            <v>0</v>
          </cell>
        </row>
        <row r="489">
          <cell r="Q489">
            <v>0</v>
          </cell>
          <cell r="S489">
            <v>0</v>
          </cell>
          <cell r="U489">
            <v>0</v>
          </cell>
          <cell r="V489">
            <v>0</v>
          </cell>
          <cell r="W489">
            <v>0</v>
          </cell>
          <cell r="Y489">
            <v>0</v>
          </cell>
          <cell r="AA489">
            <v>0</v>
          </cell>
          <cell r="AJ489">
            <v>0</v>
          </cell>
          <cell r="AN489">
            <v>0</v>
          </cell>
          <cell r="AR489">
            <v>0</v>
          </cell>
          <cell r="AV489">
            <v>0</v>
          </cell>
          <cell r="AZ489">
            <v>0</v>
          </cell>
        </row>
        <row r="490">
          <cell r="Q490">
            <v>0</v>
          </cell>
          <cell r="S490">
            <v>0</v>
          </cell>
          <cell r="U490">
            <v>0</v>
          </cell>
          <cell r="V490">
            <v>0</v>
          </cell>
          <cell r="W490">
            <v>0</v>
          </cell>
          <cell r="Y490">
            <v>0</v>
          </cell>
          <cell r="AA490">
            <v>0</v>
          </cell>
          <cell r="AJ490">
            <v>0</v>
          </cell>
          <cell r="AN490">
            <v>0</v>
          </cell>
          <cell r="AR490">
            <v>0</v>
          </cell>
          <cell r="AV490">
            <v>0</v>
          </cell>
          <cell r="AZ490">
            <v>0</v>
          </cell>
        </row>
        <row r="491">
          <cell r="Q491">
            <v>0</v>
          </cell>
          <cell r="S491">
            <v>0</v>
          </cell>
          <cell r="U491">
            <v>0</v>
          </cell>
          <cell r="V491">
            <v>0</v>
          </cell>
          <cell r="W491">
            <v>0</v>
          </cell>
          <cell r="Y491">
            <v>0</v>
          </cell>
          <cell r="AA491">
            <v>0</v>
          </cell>
          <cell r="AJ491">
            <v>20425.910416666666</v>
          </cell>
          <cell r="AN491">
            <v>817.04041666666672</v>
          </cell>
          <cell r="AR491">
            <v>0</v>
          </cell>
          <cell r="AV491">
            <v>0</v>
          </cell>
          <cell r="AZ491">
            <v>0</v>
          </cell>
        </row>
        <row r="492">
          <cell r="Q492">
            <v>0</v>
          </cell>
          <cell r="S492">
            <v>0</v>
          </cell>
          <cell r="U492">
            <v>0</v>
          </cell>
          <cell r="V492">
            <v>0</v>
          </cell>
          <cell r="W492">
            <v>0</v>
          </cell>
          <cell r="Y492">
            <v>0</v>
          </cell>
          <cell r="AA492">
            <v>0</v>
          </cell>
          <cell r="AJ492">
            <v>0</v>
          </cell>
          <cell r="AN492">
            <v>0</v>
          </cell>
          <cell r="AR492">
            <v>0</v>
          </cell>
          <cell r="AV492">
            <v>0</v>
          </cell>
          <cell r="AZ492">
            <v>0</v>
          </cell>
        </row>
        <row r="493">
          <cell r="Q493">
            <v>0</v>
          </cell>
          <cell r="S493">
            <v>1702292.08</v>
          </cell>
          <cell r="U493">
            <v>1827178.37</v>
          </cell>
          <cell r="V493">
            <v>1804978.34</v>
          </cell>
          <cell r="W493">
            <v>1782120.24</v>
          </cell>
          <cell r="Y493">
            <v>1736563.16</v>
          </cell>
          <cell r="AA493">
            <v>1690681.07</v>
          </cell>
          <cell r="AJ493">
            <v>0</v>
          </cell>
          <cell r="AN493">
            <v>505690.91791666672</v>
          </cell>
          <cell r="AR493">
            <v>1099711.075</v>
          </cell>
          <cell r="AV493">
            <v>1663279.7004166667</v>
          </cell>
          <cell r="AZ493">
            <v>1690689.9924999999</v>
          </cell>
        </row>
        <row r="494">
          <cell r="Q494">
            <v>817114.51</v>
          </cell>
          <cell r="S494">
            <v>796938.85</v>
          </cell>
          <cell r="U494">
            <v>776763.19</v>
          </cell>
          <cell r="V494">
            <v>766675.36</v>
          </cell>
          <cell r="W494">
            <v>756587.53</v>
          </cell>
          <cell r="Y494">
            <v>736411.87</v>
          </cell>
          <cell r="AA494">
            <v>716236.21</v>
          </cell>
          <cell r="AJ494">
            <v>877641.49000000011</v>
          </cell>
          <cell r="AN494">
            <v>837290.16999999993</v>
          </cell>
          <cell r="AR494">
            <v>796938.85</v>
          </cell>
          <cell r="AV494">
            <v>756587.52999999991</v>
          </cell>
          <cell r="AZ494">
            <v>716236.21</v>
          </cell>
        </row>
        <row r="495">
          <cell r="Q495">
            <v>2324574.52</v>
          </cell>
          <cell r="S495">
            <v>2310472.7599999998</v>
          </cell>
          <cell r="U495">
            <v>2296371</v>
          </cell>
          <cell r="V495">
            <v>2289320.12</v>
          </cell>
          <cell r="W495">
            <v>2282269.2400000002</v>
          </cell>
          <cell r="Y495">
            <v>2268167.48</v>
          </cell>
          <cell r="AA495">
            <v>2254065.7200000002</v>
          </cell>
          <cell r="AJ495">
            <v>2366702.8733333335</v>
          </cell>
          <cell r="AN495">
            <v>2338580.2733333334</v>
          </cell>
          <cell r="AR495">
            <v>2310461.86</v>
          </cell>
          <cell r="AV495">
            <v>2282269.2400000002</v>
          </cell>
          <cell r="AZ495">
            <v>2254065.7199999997</v>
          </cell>
        </row>
        <row r="496">
          <cell r="Q496">
            <v>2702337.43</v>
          </cell>
          <cell r="S496">
            <v>2686347.27</v>
          </cell>
          <cell r="U496">
            <v>2670357.11</v>
          </cell>
          <cell r="V496">
            <v>2662362.0299999998</v>
          </cell>
          <cell r="W496">
            <v>2654366.9500000002</v>
          </cell>
          <cell r="Y496">
            <v>2638376.79</v>
          </cell>
          <cell r="AA496">
            <v>2622386.63</v>
          </cell>
          <cell r="AJ496">
            <v>2750089.4808333335</v>
          </cell>
          <cell r="AN496">
            <v>2718201.8608333333</v>
          </cell>
          <cell r="AR496">
            <v>2686313.1741666668</v>
          </cell>
          <cell r="AV496">
            <v>2654366.9499999997</v>
          </cell>
          <cell r="AZ496">
            <v>2622386.63</v>
          </cell>
        </row>
        <row r="497">
          <cell r="Q497">
            <v>150692.75</v>
          </cell>
          <cell r="S497">
            <v>0</v>
          </cell>
          <cell r="U497">
            <v>0</v>
          </cell>
          <cell r="V497">
            <v>0</v>
          </cell>
          <cell r="W497">
            <v>0</v>
          </cell>
          <cell r="Y497">
            <v>0</v>
          </cell>
          <cell r="AA497">
            <v>0</v>
          </cell>
          <cell r="AJ497">
            <v>173865.46958333332</v>
          </cell>
          <cell r="AN497">
            <v>129275.57041666664</v>
          </cell>
          <cell r="AR497">
            <v>71320.413749999992</v>
          </cell>
          <cell r="AV497">
            <v>18514.750416666666</v>
          </cell>
          <cell r="AZ497">
            <v>0</v>
          </cell>
        </row>
        <row r="498">
          <cell r="Q498">
            <v>3737732.75</v>
          </cell>
          <cell r="S498">
            <v>3663718.24</v>
          </cell>
          <cell r="U498">
            <v>3589703.73</v>
          </cell>
          <cell r="V498">
            <v>3552696.48</v>
          </cell>
          <cell r="W498">
            <v>3515689.22</v>
          </cell>
          <cell r="Y498">
            <v>3441674.71</v>
          </cell>
          <cell r="AA498">
            <v>3367660.2</v>
          </cell>
          <cell r="AJ498">
            <v>3959622.1333333328</v>
          </cell>
          <cell r="AN498">
            <v>3811747.2741666674</v>
          </cell>
          <cell r="AR498">
            <v>3663718.2449999996</v>
          </cell>
          <cell r="AV498">
            <v>3515689.2225000001</v>
          </cell>
          <cell r="AZ498">
            <v>3367660.2025000006</v>
          </cell>
        </row>
        <row r="499">
          <cell r="S499">
            <v>9676184.8499999996</v>
          </cell>
          <cell r="U499">
            <v>7639311.9900000002</v>
          </cell>
          <cell r="V499">
            <v>206828.62</v>
          </cell>
          <cell r="W499">
            <v>7575862.1600000001</v>
          </cell>
          <cell r="Y499">
            <v>7300376.2599999998</v>
          </cell>
          <cell r="AA499">
            <v>7024890.3600000003</v>
          </cell>
          <cell r="AJ499">
            <v>0</v>
          </cell>
          <cell r="AN499">
            <v>1776584.0912500003</v>
          </cell>
          <cell r="AR499">
            <v>3667471.9341666675</v>
          </cell>
          <cell r="AV499">
            <v>6009477.614583333</v>
          </cell>
          <cell r="AZ499">
            <v>6394012.6420833329</v>
          </cell>
        </row>
        <row r="500">
          <cell r="S500">
            <v>9429188.75</v>
          </cell>
          <cell r="U500">
            <v>7639311.9900000002</v>
          </cell>
          <cell r="V500">
            <v>206828.63</v>
          </cell>
          <cell r="W500">
            <v>7575862.1699999999</v>
          </cell>
          <cell r="Y500">
            <v>7300376.2699999996</v>
          </cell>
          <cell r="AA500">
            <v>7024890.3700000001</v>
          </cell>
          <cell r="AJ500">
            <v>0</v>
          </cell>
          <cell r="AN500">
            <v>1756001.0845833335</v>
          </cell>
          <cell r="AR500">
            <v>3646888.930416666</v>
          </cell>
          <cell r="AV500">
            <v>5988894.6133333333</v>
          </cell>
          <cell r="AZ500">
            <v>6394012.6408333331</v>
          </cell>
        </row>
        <row r="501">
          <cell r="S501">
            <v>8188487.4199999999</v>
          </cell>
          <cell r="U501">
            <v>6684660.3099999996</v>
          </cell>
          <cell r="V501">
            <v>177234.84</v>
          </cell>
          <cell r="W501">
            <v>6623307.2400000002</v>
          </cell>
          <cell r="Y501">
            <v>6382459.7000000002</v>
          </cell>
          <cell r="AA501">
            <v>6141612.1600000001</v>
          </cell>
          <cell r="AJ501">
            <v>0</v>
          </cell>
          <cell r="AN501">
            <v>1519775.3854166667</v>
          </cell>
          <cell r="AR501">
            <v>3172857.5150000001</v>
          </cell>
          <cell r="AV501">
            <v>5220383.4766666675</v>
          </cell>
          <cell r="AZ501">
            <v>5589842.9308333332</v>
          </cell>
        </row>
        <row r="502">
          <cell r="Q502">
            <v>536016.68000000005</v>
          </cell>
          <cell r="S502">
            <v>0</v>
          </cell>
          <cell r="U502">
            <v>0</v>
          </cell>
          <cell r="V502">
            <v>0</v>
          </cell>
          <cell r="W502">
            <v>0</v>
          </cell>
          <cell r="Y502">
            <v>0</v>
          </cell>
          <cell r="AA502">
            <v>0</v>
          </cell>
          <cell r="AJ502">
            <v>289600.26166666666</v>
          </cell>
          <cell r="AN502">
            <v>347668.73500000004</v>
          </cell>
          <cell r="AR502">
            <v>307824.44458333333</v>
          </cell>
          <cell r="AV502">
            <v>58068.473333333335</v>
          </cell>
          <cell r="AZ502">
            <v>0</v>
          </cell>
        </row>
        <row r="503">
          <cell r="Y503">
            <v>0</v>
          </cell>
          <cell r="AA503">
            <v>3506488.37</v>
          </cell>
          <cell r="AR503">
            <v>0</v>
          </cell>
          <cell r="AV503">
            <v>989753.05666666664</v>
          </cell>
          <cell r="AZ503">
            <v>2157093.27</v>
          </cell>
        </row>
        <row r="504">
          <cell r="AV504">
            <v>0</v>
          </cell>
          <cell r="AZ504">
            <v>399995.0091666666</v>
          </cell>
        </row>
        <row r="505">
          <cell r="AV505">
            <v>0</v>
          </cell>
          <cell r="AZ505">
            <v>0</v>
          </cell>
        </row>
        <row r="506">
          <cell r="Q506">
            <v>0</v>
          </cell>
          <cell r="S506">
            <v>0</v>
          </cell>
          <cell r="U506">
            <v>0</v>
          </cell>
          <cell r="V506">
            <v>0</v>
          </cell>
          <cell r="W506">
            <v>0</v>
          </cell>
          <cell r="Y506">
            <v>0</v>
          </cell>
          <cell r="AA506">
            <v>0</v>
          </cell>
          <cell r="AJ506">
            <v>0</v>
          </cell>
          <cell r="AN506">
            <v>0</v>
          </cell>
          <cell r="AR506">
            <v>0</v>
          </cell>
          <cell r="AV506">
            <v>0</v>
          </cell>
          <cell r="AZ506">
            <v>0</v>
          </cell>
        </row>
        <row r="507">
          <cell r="Q507">
            <v>0</v>
          </cell>
          <cell r="S507">
            <v>0</v>
          </cell>
          <cell r="U507">
            <v>0</v>
          </cell>
          <cell r="V507">
            <v>0</v>
          </cell>
          <cell r="W507">
            <v>0</v>
          </cell>
          <cell r="Y507">
            <v>0</v>
          </cell>
          <cell r="AA507">
            <v>0</v>
          </cell>
          <cell r="AJ507">
            <v>0</v>
          </cell>
          <cell r="AN507">
            <v>0</v>
          </cell>
          <cell r="AR507">
            <v>0</v>
          </cell>
          <cell r="AV507">
            <v>0</v>
          </cell>
          <cell r="AZ507">
            <v>0</v>
          </cell>
        </row>
        <row r="508">
          <cell r="Q508">
            <v>0</v>
          </cell>
          <cell r="S508">
            <v>0</v>
          </cell>
          <cell r="U508">
            <v>0</v>
          </cell>
          <cell r="V508">
            <v>0</v>
          </cell>
          <cell r="W508">
            <v>0</v>
          </cell>
          <cell r="Y508">
            <v>0</v>
          </cell>
          <cell r="AA508">
            <v>0</v>
          </cell>
          <cell r="AJ508">
            <v>0</v>
          </cell>
          <cell r="AN508">
            <v>0</v>
          </cell>
          <cell r="AR508">
            <v>0</v>
          </cell>
          <cell r="AV508">
            <v>0</v>
          </cell>
          <cell r="AZ508">
            <v>0</v>
          </cell>
        </row>
        <row r="509">
          <cell r="Q509">
            <v>2125913.37</v>
          </cell>
          <cell r="S509">
            <v>937910.71</v>
          </cell>
          <cell r="U509">
            <v>0</v>
          </cell>
          <cell r="V509">
            <v>0</v>
          </cell>
          <cell r="W509">
            <v>0</v>
          </cell>
          <cell r="Y509">
            <v>0</v>
          </cell>
          <cell r="AA509">
            <v>0</v>
          </cell>
          <cell r="AJ509">
            <v>4232258.2279166682</v>
          </cell>
          <cell r="AN509">
            <v>2799577.7291666665</v>
          </cell>
          <cell r="AR509">
            <v>1369389.4958333336</v>
          </cell>
          <cell r="AV509">
            <v>323057.40125</v>
          </cell>
          <cell r="AZ509">
            <v>0</v>
          </cell>
        </row>
        <row r="510">
          <cell r="Q510">
            <v>74068.94</v>
          </cell>
          <cell r="S510">
            <v>74068.94</v>
          </cell>
          <cell r="U510">
            <v>74068.94</v>
          </cell>
          <cell r="V510">
            <v>74068.94</v>
          </cell>
          <cell r="W510">
            <v>74068.94</v>
          </cell>
          <cell r="Y510">
            <v>74068.94</v>
          </cell>
          <cell r="AA510">
            <v>74068.94</v>
          </cell>
          <cell r="AJ510">
            <v>91843964.097916678</v>
          </cell>
          <cell r="AN510">
            <v>56385451.270416684</v>
          </cell>
          <cell r="AR510">
            <v>21739831.768749997</v>
          </cell>
          <cell r="AV510">
            <v>74068.939999999988</v>
          </cell>
          <cell r="AZ510">
            <v>70982.734166666647</v>
          </cell>
        </row>
        <row r="511">
          <cell r="Q511">
            <v>13013034.1</v>
          </cell>
          <cell r="S511">
            <v>13013034.1</v>
          </cell>
          <cell r="U511">
            <v>13013034.1</v>
          </cell>
          <cell r="V511">
            <v>13013034.1</v>
          </cell>
          <cell r="W511">
            <v>13013034.1</v>
          </cell>
          <cell r="Y511">
            <v>13013034.1</v>
          </cell>
          <cell r="AA511">
            <v>13013034.1</v>
          </cell>
          <cell r="AJ511">
            <v>13697414.455</v>
          </cell>
          <cell r="AN511">
            <v>13444452.344999997</v>
          </cell>
          <cell r="AR511">
            <v>13180437.598333331</v>
          </cell>
          <cell r="AV511">
            <v>13013034.099999996</v>
          </cell>
          <cell r="AZ511">
            <v>12470824.345833331</v>
          </cell>
        </row>
        <row r="512">
          <cell r="Q512">
            <v>1426221.06</v>
          </cell>
          <cell r="S512">
            <v>1998778.99</v>
          </cell>
          <cell r="U512">
            <v>2073656.75</v>
          </cell>
          <cell r="V512">
            <v>2073230.86</v>
          </cell>
          <cell r="W512">
            <v>2072992.11</v>
          </cell>
          <cell r="Y512">
            <v>2068082.64</v>
          </cell>
          <cell r="AA512">
            <v>2084963.67</v>
          </cell>
          <cell r="AJ512">
            <v>59425.877500000002</v>
          </cell>
          <cell r="AN512">
            <v>689209.41041666665</v>
          </cell>
          <cell r="AR512">
            <v>1379640.6858333333</v>
          </cell>
          <cell r="AV512">
            <v>2013092.5695833331</v>
          </cell>
          <cell r="AZ512">
            <v>1995014.4687500002</v>
          </cell>
        </row>
        <row r="513">
          <cell r="Q513">
            <v>78266845</v>
          </cell>
          <cell r="S513">
            <v>76940289</v>
          </cell>
          <cell r="U513">
            <v>75613733</v>
          </cell>
          <cell r="V513">
            <v>74950455</v>
          </cell>
          <cell r="W513">
            <v>74287177</v>
          </cell>
          <cell r="Y513">
            <v>72960621</v>
          </cell>
          <cell r="AA513">
            <v>71634065</v>
          </cell>
          <cell r="AJ513">
            <v>9838628.791666666</v>
          </cell>
          <cell r="AN513">
            <v>35485391.791666664</v>
          </cell>
          <cell r="AR513">
            <v>60247784.125</v>
          </cell>
          <cell r="AV513">
            <v>74287177</v>
          </cell>
          <cell r="AZ513">
            <v>71634065</v>
          </cell>
        </row>
        <row r="514">
          <cell r="Q514">
            <v>24416828</v>
          </cell>
          <cell r="S514">
            <v>24416828</v>
          </cell>
          <cell r="U514">
            <v>24166736.050000001</v>
          </cell>
          <cell r="V514">
            <v>23572734.719999999</v>
          </cell>
          <cell r="W514">
            <v>22978733.390000001</v>
          </cell>
          <cell r="Y514">
            <v>21790730.73</v>
          </cell>
          <cell r="AA514">
            <v>20602728.07</v>
          </cell>
          <cell r="AJ514">
            <v>3052103.5</v>
          </cell>
          <cell r="AN514">
            <v>11180625.668750001</v>
          </cell>
          <cell r="AR514">
            <v>18840203.46541667</v>
          </cell>
          <cell r="AV514">
            <v>22655675.98875</v>
          </cell>
          <cell r="AZ514">
            <v>20602494.789583337</v>
          </cell>
        </row>
        <row r="515">
          <cell r="Q515">
            <v>781320</v>
          </cell>
          <cell r="S515">
            <v>781320</v>
          </cell>
          <cell r="U515">
            <v>781320</v>
          </cell>
          <cell r="V515">
            <v>781320</v>
          </cell>
          <cell r="W515">
            <v>781320</v>
          </cell>
          <cell r="Y515">
            <v>781320</v>
          </cell>
          <cell r="AA515">
            <v>781320</v>
          </cell>
          <cell r="AJ515">
            <v>97665</v>
          </cell>
          <cell r="AN515">
            <v>358105</v>
          </cell>
          <cell r="AR515">
            <v>618545</v>
          </cell>
          <cell r="AV515">
            <v>781320</v>
          </cell>
          <cell r="AZ515">
            <v>1323529.7541666667</v>
          </cell>
        </row>
        <row r="516">
          <cell r="AV516">
            <v>0</v>
          </cell>
          <cell r="AZ516">
            <v>83282.457916666666</v>
          </cell>
        </row>
        <row r="517">
          <cell r="Q517">
            <v>0</v>
          </cell>
          <cell r="S517">
            <v>0</v>
          </cell>
          <cell r="U517">
            <v>0</v>
          </cell>
          <cell r="V517">
            <v>0</v>
          </cell>
          <cell r="W517">
            <v>0</v>
          </cell>
          <cell r="Y517">
            <v>0</v>
          </cell>
          <cell r="AA517">
            <v>0</v>
          </cell>
          <cell r="AJ517">
            <v>21263.028750000001</v>
          </cell>
          <cell r="AN517">
            <v>9450.1454166666663</v>
          </cell>
          <cell r="AR517">
            <v>2362.4754166666667</v>
          </cell>
          <cell r="AV517">
            <v>0</v>
          </cell>
          <cell r="AZ517">
            <v>0</v>
          </cell>
        </row>
        <row r="518">
          <cell r="Q518">
            <v>65824332.039999999</v>
          </cell>
          <cell r="S518">
            <v>65824332.039999999</v>
          </cell>
          <cell r="U518">
            <v>65824332.039999999</v>
          </cell>
          <cell r="V518">
            <v>65824332.039999999</v>
          </cell>
          <cell r="W518">
            <v>65824332.039999999</v>
          </cell>
          <cell r="Y518">
            <v>65824332.039999999</v>
          </cell>
          <cell r="AA518">
            <v>65824332.039999999</v>
          </cell>
          <cell r="AJ518">
            <v>65824332.039999992</v>
          </cell>
          <cell r="AN518">
            <v>65824332.039999992</v>
          </cell>
          <cell r="AR518">
            <v>65824332.039999992</v>
          </cell>
          <cell r="AV518">
            <v>65658522.97208333</v>
          </cell>
          <cell r="AZ518">
            <v>65121585.846666671</v>
          </cell>
        </row>
        <row r="519">
          <cell r="Q519">
            <v>744794.53</v>
          </cell>
          <cell r="S519">
            <v>744794.53</v>
          </cell>
          <cell r="U519">
            <v>744794.53</v>
          </cell>
          <cell r="V519">
            <v>744794.53</v>
          </cell>
          <cell r="W519">
            <v>744794.53</v>
          </cell>
          <cell r="Y519">
            <v>744794.53</v>
          </cell>
          <cell r="AA519">
            <v>744794.53</v>
          </cell>
          <cell r="AJ519">
            <v>744794.53000000014</v>
          </cell>
          <cell r="AN519">
            <v>744794.53000000014</v>
          </cell>
          <cell r="AR519">
            <v>744794.53000000014</v>
          </cell>
          <cell r="AV519">
            <v>744794.53000000014</v>
          </cell>
          <cell r="AZ519">
            <v>744794.53000000014</v>
          </cell>
        </row>
        <row r="520">
          <cell r="Q520">
            <v>-18840989.280000001</v>
          </cell>
          <cell r="S520">
            <v>-18840989.280000001</v>
          </cell>
          <cell r="U520">
            <v>-18840989.280000001</v>
          </cell>
          <cell r="V520">
            <v>-18840989.280000001</v>
          </cell>
          <cell r="W520">
            <v>-18840989.280000001</v>
          </cell>
          <cell r="Y520">
            <v>-18840989.280000001</v>
          </cell>
          <cell r="AA520">
            <v>-18840989.280000001</v>
          </cell>
          <cell r="AJ520">
            <v>-18840989.280000001</v>
          </cell>
          <cell r="AN520">
            <v>-18840989.280000001</v>
          </cell>
          <cell r="AR520">
            <v>-18840989.280000001</v>
          </cell>
          <cell r="AV520">
            <v>-18828002.696666669</v>
          </cell>
          <cell r="AZ520">
            <v>-18784324.891666666</v>
          </cell>
        </row>
        <row r="521">
          <cell r="Q521">
            <v>-7411230.7400000002</v>
          </cell>
          <cell r="S521">
            <v>-7660347.7400000002</v>
          </cell>
          <cell r="U521">
            <v>-7909464.7400000002</v>
          </cell>
          <cell r="V521">
            <v>-8034023.2400000002</v>
          </cell>
          <cell r="W521">
            <v>-8158581.7400000002</v>
          </cell>
          <cell r="Y521">
            <v>-8407698.7400000002</v>
          </cell>
          <cell r="AA521">
            <v>-8656815.7400000002</v>
          </cell>
          <cell r="AJ521">
            <v>-6663879.7400000012</v>
          </cell>
          <cell r="AN521">
            <v>-7162113.7399999993</v>
          </cell>
          <cell r="AR521">
            <v>-7660347.7399999993</v>
          </cell>
          <cell r="AV521">
            <v>-8158581.7399999993</v>
          </cell>
          <cell r="AZ521">
            <v>-8656815.7399999984</v>
          </cell>
        </row>
        <row r="522">
          <cell r="AR522">
            <v>0</v>
          </cell>
          <cell r="AV522">
            <v>-1036312.2666666666</v>
          </cell>
          <cell r="AZ522">
            <v>-9338545.8591666669</v>
          </cell>
        </row>
        <row r="523">
          <cell r="Q523">
            <v>110837754</v>
          </cell>
          <cell r="S523">
            <v>105391754</v>
          </cell>
          <cell r="U523">
            <v>99945754</v>
          </cell>
          <cell r="V523">
            <v>97222754</v>
          </cell>
          <cell r="W523">
            <v>94499754</v>
          </cell>
          <cell r="Y523">
            <v>89053754</v>
          </cell>
          <cell r="AA523">
            <v>83607754</v>
          </cell>
          <cell r="AJ523">
            <v>124973754</v>
          </cell>
          <cell r="AN523">
            <v>115305087.33333333</v>
          </cell>
          <cell r="AR523">
            <v>105147087.33333333</v>
          </cell>
          <cell r="AV523">
            <v>94499754</v>
          </cell>
          <cell r="AZ523">
            <v>83337920.666666672</v>
          </cell>
        </row>
        <row r="524">
          <cell r="Q524">
            <v>6363954</v>
          </cell>
          <cell r="S524">
            <v>6363954</v>
          </cell>
          <cell r="U524">
            <v>6123954</v>
          </cell>
          <cell r="V524">
            <v>6123954</v>
          </cell>
          <cell r="W524">
            <v>5883954</v>
          </cell>
          <cell r="Y524">
            <v>5883954</v>
          </cell>
          <cell r="AA524">
            <v>5643954</v>
          </cell>
          <cell r="AJ524">
            <v>7009378.583333333</v>
          </cell>
          <cell r="AN524">
            <v>6716785.25</v>
          </cell>
          <cell r="AR524">
            <v>6391691.916666667</v>
          </cell>
          <cell r="AV524">
            <v>5952579</v>
          </cell>
          <cell r="AZ524">
            <v>5550329</v>
          </cell>
        </row>
        <row r="525">
          <cell r="Q525">
            <v>0</v>
          </cell>
          <cell r="S525">
            <v>0</v>
          </cell>
          <cell r="U525">
            <v>0</v>
          </cell>
          <cell r="V525">
            <v>0</v>
          </cell>
          <cell r="W525">
            <v>0</v>
          </cell>
          <cell r="Y525">
            <v>0</v>
          </cell>
          <cell r="AA525">
            <v>0</v>
          </cell>
          <cell r="AJ525">
            <v>0</v>
          </cell>
          <cell r="AN525">
            <v>0</v>
          </cell>
          <cell r="AR525">
            <v>0</v>
          </cell>
          <cell r="AV525">
            <v>0</v>
          </cell>
          <cell r="AZ525">
            <v>0</v>
          </cell>
        </row>
        <row r="526">
          <cell r="Q526">
            <v>53170870.630000003</v>
          </cell>
          <cell r="S526">
            <v>61621677.539999999</v>
          </cell>
          <cell r="U526">
            <v>19049796.07</v>
          </cell>
          <cell r="V526">
            <v>23334576.969999999</v>
          </cell>
          <cell r="W526">
            <v>29719799.27</v>
          </cell>
          <cell r="Y526">
            <v>40609191.560000002</v>
          </cell>
          <cell r="AA526">
            <v>53254998.079999998</v>
          </cell>
          <cell r="AJ526">
            <v>32586896.236666668</v>
          </cell>
          <cell r="AN526">
            <v>38604587.902499996</v>
          </cell>
          <cell r="AR526">
            <v>41291676.090416662</v>
          </cell>
          <cell r="AV526">
            <v>46201182.589999996</v>
          </cell>
          <cell r="AZ526">
            <v>52146157.479166664</v>
          </cell>
        </row>
        <row r="527">
          <cell r="Q527">
            <v>42822914.490000002</v>
          </cell>
          <cell r="S527">
            <v>42526054.950000003</v>
          </cell>
          <cell r="U527">
            <v>42229195.409999996</v>
          </cell>
          <cell r="V527">
            <v>42080765.640000001</v>
          </cell>
          <cell r="W527">
            <v>41932335.869999997</v>
          </cell>
          <cell r="Y527">
            <v>41635476.329999998</v>
          </cell>
          <cell r="AA527">
            <v>41338616.789999999</v>
          </cell>
          <cell r="AJ527">
            <v>35758860.752916671</v>
          </cell>
          <cell r="AN527">
            <v>38020041.821666665</v>
          </cell>
          <cell r="AR527">
            <v>40156854.681666672</v>
          </cell>
          <cell r="AV527">
            <v>42377840.062083334</v>
          </cell>
          <cell r="AZ527">
            <v>45332074.272083335</v>
          </cell>
        </row>
        <row r="528">
          <cell r="Q528">
            <v>12951784.65</v>
          </cell>
          <cell r="S528">
            <v>15032585.83</v>
          </cell>
          <cell r="U528">
            <v>4580761.8499999996</v>
          </cell>
          <cell r="V528">
            <v>6001105.3799999999</v>
          </cell>
          <cell r="W528">
            <v>7826290.0300000003</v>
          </cell>
          <cell r="Y528">
            <v>10008219.49</v>
          </cell>
          <cell r="AA528">
            <v>13686403.060000001</v>
          </cell>
          <cell r="AJ528">
            <v>8870286.4641666654</v>
          </cell>
          <cell r="AN528">
            <v>10142032.934166668</v>
          </cell>
          <cell r="AR528">
            <v>10507698.114583334</v>
          </cell>
          <cell r="AV528">
            <v>11627039.317083335</v>
          </cell>
          <cell r="AZ528">
            <v>13545029.5725</v>
          </cell>
        </row>
        <row r="529">
          <cell r="Q529">
            <v>21589277</v>
          </cell>
          <cell r="S529">
            <v>21589277</v>
          </cell>
          <cell r="U529">
            <v>21589277</v>
          </cell>
          <cell r="V529">
            <v>21589277</v>
          </cell>
          <cell r="W529">
            <v>21589277</v>
          </cell>
          <cell r="Y529">
            <v>21589277</v>
          </cell>
          <cell r="AA529">
            <v>21589277</v>
          </cell>
          <cell r="AJ529">
            <v>21589277</v>
          </cell>
          <cell r="AN529">
            <v>21589277</v>
          </cell>
          <cell r="AR529">
            <v>21589277</v>
          </cell>
          <cell r="AV529">
            <v>21589277</v>
          </cell>
          <cell r="AZ529">
            <v>21589277</v>
          </cell>
        </row>
        <row r="530">
          <cell r="Q530">
            <v>3390437.78</v>
          </cell>
          <cell r="S530">
            <v>1238928.94</v>
          </cell>
          <cell r="U530">
            <v>12443702.68</v>
          </cell>
          <cell r="V530">
            <v>11772586.57</v>
          </cell>
          <cell r="W530">
            <v>11385464.85</v>
          </cell>
          <cell r="Y530">
            <v>10614439.1</v>
          </cell>
          <cell r="AA530">
            <v>9305047.4800000004</v>
          </cell>
          <cell r="AJ530">
            <v>4574459.9504166665</v>
          </cell>
          <cell r="AN530">
            <v>4943516.0395833328</v>
          </cell>
          <cell r="AR530">
            <v>6498143.6433333335</v>
          </cell>
          <cell r="AV530">
            <v>7758742.7058333345</v>
          </cell>
          <cell r="AZ530">
            <v>8615898.1174999997</v>
          </cell>
        </row>
        <row r="531">
          <cell r="Q531">
            <v>-12682680.27</v>
          </cell>
          <cell r="S531">
            <v>-12778760.050000001</v>
          </cell>
          <cell r="U531">
            <v>-12874839.83</v>
          </cell>
          <cell r="V531">
            <v>-12922879.720000001</v>
          </cell>
          <cell r="W531">
            <v>-12970919.609999999</v>
          </cell>
          <cell r="Y531">
            <v>-13066999.390000001</v>
          </cell>
          <cell r="AA531">
            <v>-13163079.17</v>
          </cell>
          <cell r="AJ531">
            <v>-12394440.93</v>
          </cell>
          <cell r="AN531">
            <v>-12586600.49</v>
          </cell>
          <cell r="AR531">
            <v>-12778760.049999999</v>
          </cell>
          <cell r="AV531">
            <v>-12970919.609999999</v>
          </cell>
          <cell r="AZ531">
            <v>-13163079.17</v>
          </cell>
        </row>
        <row r="532">
          <cell r="Q532">
            <v>2149273</v>
          </cell>
          <cell r="S532">
            <v>2126139</v>
          </cell>
          <cell r="U532">
            <v>2103005</v>
          </cell>
          <cell r="V532">
            <v>2091438</v>
          </cell>
          <cell r="W532">
            <v>2079871</v>
          </cell>
          <cell r="Y532">
            <v>2056737</v>
          </cell>
          <cell r="AA532">
            <v>2033603</v>
          </cell>
          <cell r="AJ532">
            <v>2218675</v>
          </cell>
          <cell r="AN532">
            <v>2172407</v>
          </cell>
          <cell r="AR532">
            <v>2126139</v>
          </cell>
          <cell r="AV532">
            <v>2079871</v>
          </cell>
          <cell r="AZ532">
            <v>2033603</v>
          </cell>
        </row>
        <row r="533">
          <cell r="Q533">
            <v>113632921</v>
          </cell>
          <cell r="S533">
            <v>113632921</v>
          </cell>
          <cell r="U533">
            <v>113632921</v>
          </cell>
          <cell r="V533">
            <v>113632921</v>
          </cell>
          <cell r="W533">
            <v>113632921</v>
          </cell>
          <cell r="Y533">
            <v>113632921</v>
          </cell>
          <cell r="AA533">
            <v>113632921</v>
          </cell>
          <cell r="AJ533">
            <v>113632921</v>
          </cell>
          <cell r="AN533">
            <v>113632921</v>
          </cell>
          <cell r="AR533">
            <v>113632921</v>
          </cell>
          <cell r="AV533">
            <v>113632921</v>
          </cell>
          <cell r="AZ533">
            <v>113632921</v>
          </cell>
        </row>
        <row r="534">
          <cell r="Q534">
            <v>-83656742.989999995</v>
          </cell>
          <cell r="S534">
            <v>-84244512.989999995</v>
          </cell>
          <cell r="U534">
            <v>-84832282.989999995</v>
          </cell>
          <cell r="V534">
            <v>-85126167.989999995</v>
          </cell>
          <cell r="W534">
            <v>-85420052.989999995</v>
          </cell>
          <cell r="Y534">
            <v>-86007822.989999995</v>
          </cell>
          <cell r="AA534">
            <v>-86595592.989999995</v>
          </cell>
          <cell r="AJ534">
            <v>-81893432.989999995</v>
          </cell>
          <cell r="AN534">
            <v>-83068972.989999995</v>
          </cell>
          <cell r="AR534">
            <v>-84244512.989999995</v>
          </cell>
          <cell r="AV534">
            <v>-85420052.989999995</v>
          </cell>
          <cell r="AZ534">
            <v>-86595592.989999995</v>
          </cell>
        </row>
        <row r="535">
          <cell r="Q535">
            <v>888056</v>
          </cell>
          <cell r="S535">
            <v>851056</v>
          </cell>
          <cell r="U535">
            <v>814056</v>
          </cell>
          <cell r="V535">
            <v>795556</v>
          </cell>
          <cell r="W535">
            <v>777056</v>
          </cell>
          <cell r="Y535">
            <v>740056</v>
          </cell>
          <cell r="AA535">
            <v>703056</v>
          </cell>
          <cell r="AJ535">
            <v>999056</v>
          </cell>
          <cell r="AN535">
            <v>925056</v>
          </cell>
          <cell r="AR535">
            <v>851056</v>
          </cell>
          <cell r="AV535">
            <v>777056</v>
          </cell>
          <cell r="AZ535">
            <v>703056</v>
          </cell>
        </row>
        <row r="536">
          <cell r="Q536">
            <v>0</v>
          </cell>
          <cell r="S536">
            <v>0</v>
          </cell>
          <cell r="U536">
            <v>0</v>
          </cell>
          <cell r="V536">
            <v>0</v>
          </cell>
          <cell r="W536">
            <v>0</v>
          </cell>
          <cell r="Y536">
            <v>0</v>
          </cell>
          <cell r="AA536">
            <v>0</v>
          </cell>
          <cell r="AJ536">
            <v>352508.24083333329</v>
          </cell>
          <cell r="AN536">
            <v>39167.580833333333</v>
          </cell>
          <cell r="AR536">
            <v>0</v>
          </cell>
          <cell r="AV536">
            <v>0</v>
          </cell>
          <cell r="AZ536">
            <v>0</v>
          </cell>
        </row>
        <row r="537">
          <cell r="Q537">
            <v>0</v>
          </cell>
          <cell r="S537">
            <v>0</v>
          </cell>
          <cell r="U537">
            <v>0</v>
          </cell>
          <cell r="V537">
            <v>0</v>
          </cell>
          <cell r="W537">
            <v>0</v>
          </cell>
          <cell r="Y537">
            <v>0</v>
          </cell>
          <cell r="AA537">
            <v>0</v>
          </cell>
          <cell r="AJ537">
            <v>0</v>
          </cell>
          <cell r="AN537">
            <v>0</v>
          </cell>
          <cell r="AR537">
            <v>0</v>
          </cell>
          <cell r="AV537">
            <v>0</v>
          </cell>
          <cell r="AZ537">
            <v>0</v>
          </cell>
        </row>
        <row r="538">
          <cell r="Q538">
            <v>65629.84</v>
          </cell>
          <cell r="S538">
            <v>0</v>
          </cell>
          <cell r="U538">
            <v>0</v>
          </cell>
          <cell r="V538">
            <v>0</v>
          </cell>
          <cell r="W538">
            <v>0</v>
          </cell>
          <cell r="Y538">
            <v>0</v>
          </cell>
          <cell r="AA538">
            <v>0</v>
          </cell>
          <cell r="AJ538">
            <v>1049289.5483333333</v>
          </cell>
          <cell r="AN538">
            <v>488571.84499999997</v>
          </cell>
          <cell r="AR538">
            <v>136347.19</v>
          </cell>
          <cell r="AV538">
            <v>2734.5766666666664</v>
          </cell>
          <cell r="AZ538">
            <v>0</v>
          </cell>
        </row>
        <row r="539">
          <cell r="Q539">
            <v>45123.16</v>
          </cell>
          <cell r="S539">
            <v>0</v>
          </cell>
          <cell r="U539">
            <v>0</v>
          </cell>
          <cell r="V539">
            <v>0</v>
          </cell>
          <cell r="W539">
            <v>0</v>
          </cell>
          <cell r="Y539">
            <v>0</v>
          </cell>
          <cell r="AA539">
            <v>0</v>
          </cell>
          <cell r="AJ539">
            <v>724511.23916666675</v>
          </cell>
          <cell r="AN539">
            <v>337298.30916666676</v>
          </cell>
          <cell r="AR539">
            <v>94094.289166666669</v>
          </cell>
          <cell r="AV539">
            <v>1880.1316666666669</v>
          </cell>
          <cell r="AZ539">
            <v>0</v>
          </cell>
        </row>
        <row r="540">
          <cell r="Q540">
            <v>0</v>
          </cell>
          <cell r="S540">
            <v>0</v>
          </cell>
          <cell r="U540">
            <v>0</v>
          </cell>
          <cell r="V540">
            <v>0</v>
          </cell>
          <cell r="W540">
            <v>0</v>
          </cell>
          <cell r="Y540">
            <v>0</v>
          </cell>
          <cell r="AA540">
            <v>0</v>
          </cell>
          <cell r="AJ540">
            <v>0</v>
          </cell>
          <cell r="AN540">
            <v>0</v>
          </cell>
          <cell r="AR540">
            <v>0</v>
          </cell>
          <cell r="AV540">
            <v>0</v>
          </cell>
          <cell r="AZ540">
            <v>0</v>
          </cell>
        </row>
        <row r="541">
          <cell r="Q541">
            <v>1997765.92</v>
          </cell>
          <cell r="S541">
            <v>1831088.45</v>
          </cell>
          <cell r="U541">
            <v>1654454.61</v>
          </cell>
          <cell r="V541">
            <v>1565807.26</v>
          </cell>
          <cell r="W541">
            <v>1444706.66</v>
          </cell>
          <cell r="Y541">
            <v>1265666.83</v>
          </cell>
          <cell r="AA541">
            <v>1085287.4099999999</v>
          </cell>
          <cell r="AJ541">
            <v>2755597.3983333334</v>
          </cell>
          <cell r="AN541">
            <v>2263988.665833333</v>
          </cell>
          <cell r="AR541">
            <v>1816107.1429166666</v>
          </cell>
          <cell r="AV541">
            <v>1456710.3608333331</v>
          </cell>
          <cell r="AZ541">
            <v>1101405.2858333334</v>
          </cell>
        </row>
        <row r="542">
          <cell r="Q542">
            <v>0</v>
          </cell>
          <cell r="S542">
            <v>0</v>
          </cell>
          <cell r="U542">
            <v>0</v>
          </cell>
          <cell r="V542">
            <v>0</v>
          </cell>
          <cell r="W542">
            <v>0</v>
          </cell>
          <cell r="Y542">
            <v>0</v>
          </cell>
          <cell r="AA542">
            <v>0</v>
          </cell>
          <cell r="AJ542">
            <v>0</v>
          </cell>
          <cell r="AN542">
            <v>0</v>
          </cell>
          <cell r="AR542">
            <v>0</v>
          </cell>
          <cell r="AV542">
            <v>0</v>
          </cell>
          <cell r="AZ542">
            <v>0</v>
          </cell>
        </row>
        <row r="543">
          <cell r="Q543">
            <v>2269066</v>
          </cell>
          <cell r="S543">
            <v>2269066</v>
          </cell>
          <cell r="U543">
            <v>2269066</v>
          </cell>
          <cell r="V543">
            <v>2269066</v>
          </cell>
          <cell r="W543">
            <v>2269066</v>
          </cell>
          <cell r="Y543">
            <v>2269066</v>
          </cell>
          <cell r="AA543">
            <v>2269066</v>
          </cell>
          <cell r="AJ543">
            <v>2269066</v>
          </cell>
          <cell r="AN543">
            <v>2269066</v>
          </cell>
          <cell r="AR543">
            <v>2269066</v>
          </cell>
          <cell r="AV543">
            <v>2269066</v>
          </cell>
          <cell r="AZ543">
            <v>2269066</v>
          </cell>
        </row>
        <row r="544">
          <cell r="Q544">
            <v>-2269066</v>
          </cell>
          <cell r="S544">
            <v>-2269066</v>
          </cell>
          <cell r="U544">
            <v>-2269066</v>
          </cell>
          <cell r="V544">
            <v>-2269066</v>
          </cell>
          <cell r="W544">
            <v>-2269066</v>
          </cell>
          <cell r="Y544">
            <v>-2269066</v>
          </cell>
          <cell r="AA544">
            <v>-2269066</v>
          </cell>
          <cell r="AJ544">
            <v>-2269066</v>
          </cell>
          <cell r="AN544">
            <v>-2269066</v>
          </cell>
          <cell r="AR544">
            <v>-2269066</v>
          </cell>
          <cell r="AV544">
            <v>-2269066</v>
          </cell>
          <cell r="AZ544">
            <v>-2269066</v>
          </cell>
        </row>
        <row r="545">
          <cell r="Q545">
            <v>1459972.92</v>
          </cell>
          <cell r="S545">
            <v>880564.57</v>
          </cell>
          <cell r="U545">
            <v>766385.85</v>
          </cell>
          <cell r="V545">
            <v>803523.29</v>
          </cell>
          <cell r="W545">
            <v>873358.39</v>
          </cell>
          <cell r="Y545">
            <v>985715.65</v>
          </cell>
          <cell r="AA545">
            <v>1037481.05</v>
          </cell>
          <cell r="AJ545">
            <v>552111.45125000004</v>
          </cell>
          <cell r="AN545">
            <v>857409.06041666644</v>
          </cell>
          <cell r="AR545">
            <v>980039.1445833334</v>
          </cell>
          <cell r="AV545">
            <v>937583.50708333321</v>
          </cell>
          <cell r="AZ545">
            <v>929204.2666666666</v>
          </cell>
        </row>
        <row r="546">
          <cell r="Q546">
            <v>15000</v>
          </cell>
          <cell r="S546">
            <v>15000</v>
          </cell>
          <cell r="U546">
            <v>15000</v>
          </cell>
          <cell r="V546">
            <v>15000</v>
          </cell>
          <cell r="W546">
            <v>15000</v>
          </cell>
          <cell r="Y546">
            <v>15000</v>
          </cell>
          <cell r="AA546">
            <v>15000</v>
          </cell>
          <cell r="AJ546">
            <v>15000</v>
          </cell>
          <cell r="AN546">
            <v>15000</v>
          </cell>
          <cell r="AR546">
            <v>15000</v>
          </cell>
          <cell r="AV546">
            <v>15000</v>
          </cell>
          <cell r="AZ546">
            <v>15000</v>
          </cell>
        </row>
        <row r="547">
          <cell r="Q547">
            <v>52471.63</v>
          </cell>
          <cell r="S547">
            <v>52471.63</v>
          </cell>
          <cell r="U547">
            <v>52471.63</v>
          </cell>
          <cell r="V547">
            <v>52471.63</v>
          </cell>
          <cell r="W547">
            <v>46622.18</v>
          </cell>
          <cell r="Y547">
            <v>46622.18</v>
          </cell>
          <cell r="AA547">
            <v>52454.07</v>
          </cell>
          <cell r="AJ547">
            <v>52471.63</v>
          </cell>
          <cell r="AN547">
            <v>52471.63</v>
          </cell>
          <cell r="AR547">
            <v>51252.99458333334</v>
          </cell>
          <cell r="AV547">
            <v>52745.91166666666</v>
          </cell>
          <cell r="AZ547">
            <v>65823.184999999998</v>
          </cell>
        </row>
        <row r="548">
          <cell r="Q548">
            <v>0</v>
          </cell>
          <cell r="S548">
            <v>0</v>
          </cell>
          <cell r="U548">
            <v>0</v>
          </cell>
          <cell r="V548">
            <v>0</v>
          </cell>
          <cell r="W548">
            <v>0</v>
          </cell>
          <cell r="Y548">
            <v>0</v>
          </cell>
          <cell r="AA548">
            <v>0</v>
          </cell>
          <cell r="AJ548">
            <v>0</v>
          </cell>
          <cell r="AN548">
            <v>0</v>
          </cell>
          <cell r="AR548">
            <v>0</v>
          </cell>
          <cell r="AV548">
            <v>0</v>
          </cell>
          <cell r="AZ548">
            <v>0</v>
          </cell>
        </row>
        <row r="549">
          <cell r="Q549">
            <v>114821696.98999999</v>
          </cell>
          <cell r="S549">
            <v>116419132.89</v>
          </cell>
          <cell r="U549">
            <v>118016568.79000001</v>
          </cell>
          <cell r="V549">
            <v>118815286.73999999</v>
          </cell>
          <cell r="W549">
            <v>119614004.69</v>
          </cell>
          <cell r="Y549">
            <v>121211440.59</v>
          </cell>
          <cell r="AA549">
            <v>122808876.48999999</v>
          </cell>
          <cell r="AJ549">
            <v>110001433.78375</v>
          </cell>
          <cell r="AN549">
            <v>113214562.19375001</v>
          </cell>
          <cell r="AR549">
            <v>116418562.37750001</v>
          </cell>
          <cell r="AV549">
            <v>119614004.69</v>
          </cell>
          <cell r="AZ549">
            <v>122808401.0625</v>
          </cell>
        </row>
        <row r="550">
          <cell r="Q550">
            <v>-1459972.92</v>
          </cell>
          <cell r="S550">
            <v>-880564.57</v>
          </cell>
          <cell r="U550">
            <v>-766385.85</v>
          </cell>
          <cell r="V550">
            <v>-803523.29</v>
          </cell>
          <cell r="W550">
            <v>-873358.39</v>
          </cell>
          <cell r="Y550">
            <v>-985715.65</v>
          </cell>
          <cell r="AA550">
            <v>-1037481.05</v>
          </cell>
          <cell r="AJ550">
            <v>-552111.45125000004</v>
          </cell>
          <cell r="AN550">
            <v>-857409.06041666644</v>
          </cell>
          <cell r="AR550">
            <v>-980039.1445833334</v>
          </cell>
          <cell r="AV550">
            <v>-937583.50708333321</v>
          </cell>
          <cell r="AZ550">
            <v>-929204.2666666666</v>
          </cell>
        </row>
        <row r="551">
          <cell r="Q551">
            <v>2729408.07</v>
          </cell>
          <cell r="S551">
            <v>2543073.8199999998</v>
          </cell>
          <cell r="U551">
            <v>2344067.56</v>
          </cell>
          <cell r="V551">
            <v>2242012.2799999998</v>
          </cell>
          <cell r="W551">
            <v>2102916.4500000002</v>
          </cell>
          <cell r="Y551">
            <v>1897131.03</v>
          </cell>
          <cell r="AA551">
            <v>1690019.3</v>
          </cell>
          <cell r="AJ551">
            <v>3261947.5229166667</v>
          </cell>
          <cell r="AN551">
            <v>2907537.9708333332</v>
          </cell>
          <cell r="AR551">
            <v>2523118.9099999997</v>
          </cell>
          <cell r="AV551">
            <v>2115430.1662500002</v>
          </cell>
          <cell r="AZ551">
            <v>1710160.6533333336</v>
          </cell>
        </row>
        <row r="552">
          <cell r="Q552">
            <v>10241081</v>
          </cell>
          <cell r="S552">
            <v>9638665</v>
          </cell>
          <cell r="U552">
            <v>9036249</v>
          </cell>
          <cell r="V552">
            <v>8735041</v>
          </cell>
          <cell r="W552">
            <v>8433833</v>
          </cell>
          <cell r="Y552">
            <v>7831417</v>
          </cell>
          <cell r="AA552">
            <v>7229001</v>
          </cell>
          <cell r="AJ552">
            <v>10793295.666666666</v>
          </cell>
          <cell r="AN552">
            <v>10391685</v>
          </cell>
          <cell r="AR552">
            <v>9588463.666666666</v>
          </cell>
          <cell r="AV552">
            <v>8433833</v>
          </cell>
          <cell r="AZ552">
            <v>7229001</v>
          </cell>
        </row>
        <row r="553">
          <cell r="Q553">
            <v>1551688.1</v>
          </cell>
          <cell r="S553">
            <v>1460412.1</v>
          </cell>
          <cell r="U553">
            <v>1369136.1</v>
          </cell>
          <cell r="V553">
            <v>1323498.1000000001</v>
          </cell>
          <cell r="W553">
            <v>1277860.1000000001</v>
          </cell>
          <cell r="Y553">
            <v>1186584.1000000001</v>
          </cell>
          <cell r="AA553">
            <v>1095308.1000000001</v>
          </cell>
          <cell r="AJ553">
            <v>1226467.5583333333</v>
          </cell>
          <cell r="AN553">
            <v>1427306.6249999998</v>
          </cell>
          <cell r="AR553">
            <v>1436450.1583333332</v>
          </cell>
          <cell r="AV553">
            <v>1277860.0999999999</v>
          </cell>
          <cell r="AZ553">
            <v>1095308.0999999999</v>
          </cell>
        </row>
        <row r="554">
          <cell r="Q554">
            <v>2318.31</v>
          </cell>
          <cell r="S554">
            <v>3097.58</v>
          </cell>
          <cell r="U554">
            <v>1277.08</v>
          </cell>
          <cell r="V554">
            <v>1379.8</v>
          </cell>
          <cell r="W554">
            <v>1501.03</v>
          </cell>
          <cell r="Y554">
            <v>1875.84</v>
          </cell>
          <cell r="AA554">
            <v>2342.1799999999998</v>
          </cell>
          <cell r="AJ554">
            <v>1546.7995833333332</v>
          </cell>
          <cell r="AN554">
            <v>1836.3570833333335</v>
          </cell>
          <cell r="AR554">
            <v>2013.1291666666664</v>
          </cell>
          <cell r="AV554">
            <v>2223.1708333333331</v>
          </cell>
          <cell r="AZ554">
            <v>2362.8733333333334</v>
          </cell>
        </row>
        <row r="555">
          <cell r="Q555">
            <v>0</v>
          </cell>
          <cell r="S555">
            <v>0</v>
          </cell>
          <cell r="U555">
            <v>0</v>
          </cell>
          <cell r="V555">
            <v>0</v>
          </cell>
          <cell r="W555">
            <v>0</v>
          </cell>
          <cell r="Y555">
            <v>0</v>
          </cell>
          <cell r="AA555">
            <v>0</v>
          </cell>
          <cell r="AJ555">
            <v>0</v>
          </cell>
          <cell r="AN555">
            <v>0</v>
          </cell>
          <cell r="AR555">
            <v>0</v>
          </cell>
          <cell r="AV555">
            <v>0</v>
          </cell>
          <cell r="AZ555">
            <v>0</v>
          </cell>
        </row>
        <row r="556">
          <cell r="Q556">
            <v>1518794.88</v>
          </cell>
          <cell r="S556">
            <v>1518794.88</v>
          </cell>
          <cell r="U556">
            <v>1518794.88</v>
          </cell>
          <cell r="V556">
            <v>1518794.88</v>
          </cell>
          <cell r="W556">
            <v>1518794.88</v>
          </cell>
          <cell r="Y556">
            <v>1518794.88</v>
          </cell>
          <cell r="AA556">
            <v>1518794.88</v>
          </cell>
          <cell r="AJ556">
            <v>1518794.8799999997</v>
          </cell>
          <cell r="AN556">
            <v>1518794.8799999997</v>
          </cell>
          <cell r="AR556">
            <v>1518794.8799999997</v>
          </cell>
          <cell r="AV556">
            <v>1518794.8799999997</v>
          </cell>
          <cell r="AZ556">
            <v>1518794.8799999997</v>
          </cell>
        </row>
        <row r="557">
          <cell r="Q557">
            <v>-1318122.6299999999</v>
          </cell>
          <cell r="S557">
            <v>-1323462.49</v>
          </cell>
          <cell r="U557">
            <v>-1328802.3500000001</v>
          </cell>
          <cell r="V557">
            <v>-1331472.28</v>
          </cell>
          <cell r="W557">
            <v>-1334142.21</v>
          </cell>
          <cell r="Y557">
            <v>-1339482.07</v>
          </cell>
          <cell r="AA557">
            <v>-1344821.93</v>
          </cell>
          <cell r="AJ557">
            <v>-1302103.0499999998</v>
          </cell>
          <cell r="AN557">
            <v>-1312782.77</v>
          </cell>
          <cell r="AR557">
            <v>-1323462.49</v>
          </cell>
          <cell r="AV557">
            <v>-1334142.20875</v>
          </cell>
          <cell r="AZ557">
            <v>-1344821.91875</v>
          </cell>
        </row>
        <row r="558">
          <cell r="Q558">
            <v>0</v>
          </cell>
          <cell r="S558">
            <v>0</v>
          </cell>
          <cell r="U558">
            <v>0</v>
          </cell>
          <cell r="V558">
            <v>0</v>
          </cell>
          <cell r="W558">
            <v>0</v>
          </cell>
          <cell r="Y558">
            <v>0</v>
          </cell>
          <cell r="AA558">
            <v>0</v>
          </cell>
          <cell r="AJ558">
            <v>9817551.265416665</v>
          </cell>
          <cell r="AN558">
            <v>0</v>
          </cell>
          <cell r="AR558">
            <v>0</v>
          </cell>
          <cell r="AV558">
            <v>0</v>
          </cell>
          <cell r="AZ558">
            <v>0</v>
          </cell>
        </row>
        <row r="559">
          <cell r="Q559">
            <v>2829103.93</v>
          </cell>
          <cell r="S559">
            <v>2581200.11</v>
          </cell>
          <cell r="U559">
            <v>2333296.29</v>
          </cell>
          <cell r="V559">
            <v>2209344.38</v>
          </cell>
          <cell r="W559">
            <v>2085392.47</v>
          </cell>
          <cell r="Y559">
            <v>1837488.65</v>
          </cell>
          <cell r="AA559">
            <v>1589584.83</v>
          </cell>
          <cell r="AJ559">
            <v>2912493.5500000003</v>
          </cell>
          <cell r="AN559">
            <v>2891079.8849999998</v>
          </cell>
          <cell r="AR559">
            <v>2560541.4583333326</v>
          </cell>
          <cell r="AV559">
            <v>2085392.47</v>
          </cell>
          <cell r="AZ559">
            <v>1592253.5495833333</v>
          </cell>
        </row>
        <row r="560">
          <cell r="Q560">
            <v>-56384924.780000001</v>
          </cell>
          <cell r="S560">
            <v>-68291161.040000007</v>
          </cell>
          <cell r="U560">
            <v>-21666791.739999998</v>
          </cell>
          <cell r="V560">
            <v>-25463589.739999998</v>
          </cell>
          <cell r="W560">
            <v>-29143295.739999998</v>
          </cell>
          <cell r="Y560">
            <v>-37024745.600000001</v>
          </cell>
          <cell r="AA560">
            <v>-45044773.229999997</v>
          </cell>
          <cell r="AJ560">
            <v>-38086464.823750004</v>
          </cell>
          <cell r="AN560">
            <v>-44370864.777500004</v>
          </cell>
          <cell r="AR560">
            <v>-45163006.34958335</v>
          </cell>
          <cell r="AV560">
            <v>-45260199.434583344</v>
          </cell>
          <cell r="AZ560">
            <v>-43635014.942083329</v>
          </cell>
        </row>
        <row r="561">
          <cell r="Q561">
            <v>89053132</v>
          </cell>
          <cell r="S561">
            <v>89053132</v>
          </cell>
          <cell r="U561">
            <v>86078132</v>
          </cell>
          <cell r="V561">
            <v>86078132</v>
          </cell>
          <cell r="W561">
            <v>84678132</v>
          </cell>
          <cell r="Y561">
            <v>84678132</v>
          </cell>
          <cell r="AA561">
            <v>81655132</v>
          </cell>
          <cell r="AJ561">
            <v>91816619.625</v>
          </cell>
          <cell r="AN561">
            <v>89090732.625</v>
          </cell>
          <cell r="AR561">
            <v>87096720.625</v>
          </cell>
          <cell r="AV561">
            <v>85162757</v>
          </cell>
          <cell r="AZ561">
            <v>83419257</v>
          </cell>
        </row>
        <row r="562">
          <cell r="Q562">
            <v>0</v>
          </cell>
          <cell r="S562">
            <v>0</v>
          </cell>
          <cell r="U562">
            <v>0</v>
          </cell>
          <cell r="V562">
            <v>0</v>
          </cell>
          <cell r="W562">
            <v>0</v>
          </cell>
          <cell r="Y562">
            <v>0</v>
          </cell>
          <cell r="AA562">
            <v>0</v>
          </cell>
          <cell r="AJ562">
            <v>0</v>
          </cell>
          <cell r="AN562">
            <v>0</v>
          </cell>
          <cell r="AR562">
            <v>0</v>
          </cell>
          <cell r="AV562">
            <v>0</v>
          </cell>
          <cell r="AZ562">
            <v>0</v>
          </cell>
        </row>
        <row r="563">
          <cell r="Q563">
            <v>-474402.14</v>
          </cell>
          <cell r="S563">
            <v>-474402.14</v>
          </cell>
          <cell r="U563">
            <v>-474402.14</v>
          </cell>
          <cell r="V563">
            <v>-474402.14</v>
          </cell>
          <cell r="W563">
            <v>-474402.14</v>
          </cell>
          <cell r="Y563">
            <v>-474402.14</v>
          </cell>
          <cell r="AA563">
            <v>-474402.14</v>
          </cell>
          <cell r="AJ563">
            <v>-474496.75708333327</v>
          </cell>
          <cell r="AN563">
            <v>-474606.80041666672</v>
          </cell>
          <cell r="AR563">
            <v>-474402.13999999996</v>
          </cell>
          <cell r="AV563">
            <v>-474402.13999999996</v>
          </cell>
          <cell r="AZ563">
            <v>-474402.13999999996</v>
          </cell>
        </row>
        <row r="564">
          <cell r="Q564">
            <v>30203454</v>
          </cell>
          <cell r="S564">
            <v>30203454</v>
          </cell>
          <cell r="U564">
            <v>30203454</v>
          </cell>
          <cell r="V564">
            <v>30203454</v>
          </cell>
          <cell r="W564">
            <v>30203454</v>
          </cell>
          <cell r="Y564">
            <v>30203454</v>
          </cell>
          <cell r="AA564">
            <v>30203454</v>
          </cell>
          <cell r="AJ564">
            <v>30203454</v>
          </cell>
          <cell r="AN564">
            <v>30203454</v>
          </cell>
          <cell r="AR564">
            <v>30203454</v>
          </cell>
          <cell r="AV564">
            <v>30203454</v>
          </cell>
          <cell r="AZ564">
            <v>30203454</v>
          </cell>
        </row>
        <row r="565">
          <cell r="Q565">
            <v>-30203454</v>
          </cell>
          <cell r="S565">
            <v>-30203454</v>
          </cell>
          <cell r="U565">
            <v>-30203454</v>
          </cell>
          <cell r="V565">
            <v>-30203454</v>
          </cell>
          <cell r="W565">
            <v>-30203454</v>
          </cell>
          <cell r="Y565">
            <v>-30203454</v>
          </cell>
          <cell r="AA565">
            <v>-30203454</v>
          </cell>
          <cell r="AJ565">
            <v>-30203454</v>
          </cell>
          <cell r="AN565">
            <v>-30203454</v>
          </cell>
          <cell r="AR565">
            <v>-30203454</v>
          </cell>
          <cell r="AV565">
            <v>-30203454</v>
          </cell>
          <cell r="AZ565">
            <v>-30203454</v>
          </cell>
        </row>
        <row r="566">
          <cell r="Q566">
            <v>10302187</v>
          </cell>
          <cell r="S566">
            <v>10302187</v>
          </cell>
          <cell r="U566">
            <v>10302187</v>
          </cell>
          <cell r="V566">
            <v>10302187</v>
          </cell>
          <cell r="W566">
            <v>10302187</v>
          </cell>
          <cell r="Y566">
            <v>10302187</v>
          </cell>
          <cell r="AA566">
            <v>10302187</v>
          </cell>
          <cell r="AJ566">
            <v>10302187</v>
          </cell>
          <cell r="AN566">
            <v>10302187</v>
          </cell>
          <cell r="AR566">
            <v>10302187</v>
          </cell>
          <cell r="AV566">
            <v>10302187</v>
          </cell>
          <cell r="AZ566">
            <v>10302187</v>
          </cell>
        </row>
        <row r="567">
          <cell r="Q567">
            <v>-10302187</v>
          </cell>
          <cell r="S567">
            <v>-10302187</v>
          </cell>
          <cell r="U567">
            <v>-10302187</v>
          </cell>
          <cell r="V567">
            <v>-10302187</v>
          </cell>
          <cell r="W567">
            <v>-10302187</v>
          </cell>
          <cell r="Y567">
            <v>-10302187</v>
          </cell>
          <cell r="AA567">
            <v>-10302187</v>
          </cell>
          <cell r="AJ567">
            <v>-10302187</v>
          </cell>
          <cell r="AN567">
            <v>-10302187</v>
          </cell>
          <cell r="AR567">
            <v>-10302187</v>
          </cell>
          <cell r="AV567">
            <v>-10302187</v>
          </cell>
          <cell r="AZ567">
            <v>-10302187</v>
          </cell>
        </row>
        <row r="568">
          <cell r="Q568">
            <v>-10522768</v>
          </cell>
          <cell r="S568">
            <v>-10522768</v>
          </cell>
          <cell r="U568">
            <v>-10522768</v>
          </cell>
          <cell r="V568">
            <v>-10522768</v>
          </cell>
          <cell r="W568">
            <v>-10522768</v>
          </cell>
          <cell r="Y568">
            <v>-10522768</v>
          </cell>
          <cell r="AA568">
            <v>-11444089</v>
          </cell>
          <cell r="AJ568">
            <v>-10522768</v>
          </cell>
          <cell r="AN568">
            <v>-10522768</v>
          </cell>
          <cell r="AR568">
            <v>-10522768</v>
          </cell>
          <cell r="AV568">
            <v>-10714709.875</v>
          </cell>
          <cell r="AZ568">
            <v>-11021816.875</v>
          </cell>
        </row>
        <row r="569">
          <cell r="Q569">
            <v>10522768</v>
          </cell>
          <cell r="S569">
            <v>10522768</v>
          </cell>
          <cell r="U569">
            <v>10522768</v>
          </cell>
          <cell r="V569">
            <v>10522768</v>
          </cell>
          <cell r="W569">
            <v>10522768</v>
          </cell>
          <cell r="Y569">
            <v>10522768</v>
          </cell>
          <cell r="AA569">
            <v>11444089</v>
          </cell>
          <cell r="AJ569">
            <v>10522768</v>
          </cell>
          <cell r="AN569">
            <v>10522768</v>
          </cell>
          <cell r="AR569">
            <v>10522768</v>
          </cell>
          <cell r="AV569">
            <v>10714709.875</v>
          </cell>
          <cell r="AZ569">
            <v>11021816.875</v>
          </cell>
        </row>
        <row r="570">
          <cell r="Q570">
            <v>4990118</v>
          </cell>
          <cell r="S570">
            <v>422232</v>
          </cell>
          <cell r="U570">
            <v>-2532530</v>
          </cell>
          <cell r="V570">
            <v>-15076583</v>
          </cell>
          <cell r="W570">
            <v>-15438160</v>
          </cell>
          <cell r="Y570">
            <v>-15980689</v>
          </cell>
          <cell r="AA570">
            <v>10059429</v>
          </cell>
          <cell r="AJ570">
            <v>-8435371.541666666</v>
          </cell>
          <cell r="AN570">
            <v>-10011865.916666666</v>
          </cell>
          <cell r="AR570">
            <v>-8690350.208333334</v>
          </cell>
          <cell r="AV570">
            <v>-2443948.2083333335</v>
          </cell>
          <cell r="AZ570">
            <v>12848156.041666666</v>
          </cell>
        </row>
        <row r="571">
          <cell r="Q571">
            <v>-4990118</v>
          </cell>
          <cell r="S571">
            <v>-422232</v>
          </cell>
          <cell r="U571">
            <v>2532530</v>
          </cell>
          <cell r="V571">
            <v>15076583</v>
          </cell>
          <cell r="W571">
            <v>15438160</v>
          </cell>
          <cell r="Y571">
            <v>15980689</v>
          </cell>
          <cell r="AA571">
            <v>-10059429</v>
          </cell>
          <cell r="AJ571">
            <v>8435371.541666666</v>
          </cell>
          <cell r="AN571">
            <v>10011865.916666666</v>
          </cell>
          <cell r="AR571">
            <v>8690350.208333334</v>
          </cell>
          <cell r="AV571">
            <v>2443948.2083333335</v>
          </cell>
          <cell r="AZ571">
            <v>-12848156.041666666</v>
          </cell>
        </row>
        <row r="572">
          <cell r="Q572">
            <v>1804703</v>
          </cell>
          <cell r="S572">
            <v>1804703</v>
          </cell>
          <cell r="U572">
            <v>1804703</v>
          </cell>
          <cell r="V572">
            <v>1738002</v>
          </cell>
          <cell r="W572">
            <v>1376425</v>
          </cell>
          <cell r="Y572">
            <v>833896</v>
          </cell>
          <cell r="AA572">
            <v>1170089</v>
          </cell>
          <cell r="AJ572">
            <v>-59420.333333333336</v>
          </cell>
          <cell r="AN572">
            <v>-59420.333333333336</v>
          </cell>
          <cell r="AR572">
            <v>1178337.375</v>
          </cell>
          <cell r="AV572">
            <v>1662797.1666666667</v>
          </cell>
          <cell r="AZ572">
            <v>4502210.625</v>
          </cell>
        </row>
        <row r="573">
          <cell r="Q573">
            <v>0</v>
          </cell>
          <cell r="S573">
            <v>0</v>
          </cell>
          <cell r="U573">
            <v>0</v>
          </cell>
          <cell r="V573">
            <v>0</v>
          </cell>
          <cell r="W573">
            <v>0</v>
          </cell>
          <cell r="Y573">
            <v>0</v>
          </cell>
          <cell r="AA573">
            <v>0</v>
          </cell>
          <cell r="AJ573">
            <v>0</v>
          </cell>
          <cell r="AN573">
            <v>0</v>
          </cell>
          <cell r="AR573">
            <v>0</v>
          </cell>
          <cell r="AV573">
            <v>0</v>
          </cell>
          <cell r="AZ573">
            <v>0</v>
          </cell>
        </row>
        <row r="574">
          <cell r="Q574">
            <v>-57848</v>
          </cell>
          <cell r="S574">
            <v>-57848</v>
          </cell>
          <cell r="U574">
            <v>-57848</v>
          </cell>
          <cell r="V574">
            <v>-57848</v>
          </cell>
          <cell r="W574">
            <v>-57848</v>
          </cell>
          <cell r="Y574">
            <v>-57848</v>
          </cell>
          <cell r="AA574">
            <v>-419133</v>
          </cell>
          <cell r="AJ574">
            <v>-57848</v>
          </cell>
          <cell r="AN574">
            <v>-57848</v>
          </cell>
          <cell r="AR574">
            <v>-57848</v>
          </cell>
          <cell r="AV574">
            <v>-133115.70833333334</v>
          </cell>
          <cell r="AZ574">
            <v>-253544.04166666666</v>
          </cell>
        </row>
        <row r="575">
          <cell r="Q575">
            <v>57848</v>
          </cell>
          <cell r="S575">
            <v>57848</v>
          </cell>
          <cell r="U575">
            <v>57848</v>
          </cell>
          <cell r="V575">
            <v>57848</v>
          </cell>
          <cell r="W575">
            <v>57848</v>
          </cell>
          <cell r="Y575">
            <v>57848</v>
          </cell>
          <cell r="AA575">
            <v>419133</v>
          </cell>
          <cell r="AJ575">
            <v>57848</v>
          </cell>
          <cell r="AN575">
            <v>57848</v>
          </cell>
          <cell r="AR575">
            <v>57848</v>
          </cell>
          <cell r="AV575">
            <v>133115.70833333334</v>
          </cell>
          <cell r="AZ575">
            <v>253544.04166666666</v>
          </cell>
        </row>
        <row r="576">
          <cell r="Q576">
            <v>-26594047</v>
          </cell>
          <cell r="S576">
            <v>-26594047</v>
          </cell>
          <cell r="U576">
            <v>-26594047</v>
          </cell>
          <cell r="V576">
            <v>-26594047</v>
          </cell>
          <cell r="W576">
            <v>-26594047</v>
          </cell>
          <cell r="Y576">
            <v>-26594047</v>
          </cell>
          <cell r="AA576">
            <v>-27863275</v>
          </cell>
          <cell r="AJ576">
            <v>-26594047</v>
          </cell>
          <cell r="AN576">
            <v>-26594047</v>
          </cell>
          <cell r="AR576">
            <v>-26594047</v>
          </cell>
          <cell r="AV576">
            <v>-26858469.5</v>
          </cell>
          <cell r="AZ576">
            <v>-27484596.625</v>
          </cell>
        </row>
        <row r="577">
          <cell r="Q577">
            <v>26594047</v>
          </cell>
          <cell r="S577">
            <v>26594047</v>
          </cell>
          <cell r="U577">
            <v>26594047</v>
          </cell>
          <cell r="V577">
            <v>26594047</v>
          </cell>
          <cell r="W577">
            <v>26594047</v>
          </cell>
          <cell r="Y577">
            <v>26594047</v>
          </cell>
          <cell r="AA577">
            <v>27863275</v>
          </cell>
          <cell r="AJ577">
            <v>26594047</v>
          </cell>
          <cell r="AN577">
            <v>26594047</v>
          </cell>
          <cell r="AR577">
            <v>26594047</v>
          </cell>
          <cell r="AV577">
            <v>26858469.5</v>
          </cell>
          <cell r="AZ577">
            <v>27484596.625</v>
          </cell>
        </row>
        <row r="578">
          <cell r="Q578">
            <v>1194774</v>
          </cell>
          <cell r="S578">
            <v>1194774</v>
          </cell>
          <cell r="U578">
            <v>1194774</v>
          </cell>
          <cell r="V578">
            <v>1194774</v>
          </cell>
          <cell r="W578">
            <v>1194774</v>
          </cell>
          <cell r="Y578">
            <v>1194774</v>
          </cell>
          <cell r="AA578">
            <v>-502152</v>
          </cell>
          <cell r="AJ578">
            <v>-14094838</v>
          </cell>
          <cell r="AN578">
            <v>-13791872.375</v>
          </cell>
          <cell r="AR578">
            <v>-4639070.083333333</v>
          </cell>
          <cell r="AV578">
            <v>841247.75</v>
          </cell>
          <cell r="AZ578">
            <v>275605.75</v>
          </cell>
        </row>
        <row r="579">
          <cell r="Q579">
            <v>-1194774</v>
          </cell>
          <cell r="S579">
            <v>-1194774</v>
          </cell>
          <cell r="U579">
            <v>-1194774</v>
          </cell>
          <cell r="V579">
            <v>-1194774</v>
          </cell>
          <cell r="W579">
            <v>-1194774</v>
          </cell>
          <cell r="Y579">
            <v>-1194774</v>
          </cell>
          <cell r="AA579">
            <v>502152</v>
          </cell>
          <cell r="AJ579">
            <v>14094838</v>
          </cell>
          <cell r="AN579">
            <v>13791872.375</v>
          </cell>
          <cell r="AR579">
            <v>4639070.083333333</v>
          </cell>
          <cell r="AV579">
            <v>-841247.75</v>
          </cell>
          <cell r="AZ579">
            <v>-275605.75</v>
          </cell>
        </row>
        <row r="580">
          <cell r="Q580">
            <v>0</v>
          </cell>
          <cell r="S580">
            <v>-4567886</v>
          </cell>
          <cell r="U580">
            <v>-7522648</v>
          </cell>
          <cell r="V580">
            <v>-20133402</v>
          </cell>
          <cell r="W580">
            <v>-20856556</v>
          </cell>
          <cell r="Y580">
            <v>-21941616</v>
          </cell>
          <cell r="AA580">
            <v>8683457</v>
          </cell>
          <cell r="AJ580">
            <v>0</v>
          </cell>
          <cell r="AN580">
            <v>-1879460.3333333333</v>
          </cell>
          <cell r="AR580">
            <v>-8472989.75</v>
          </cell>
          <cell r="AV580">
            <v>-6690814.041666667</v>
          </cell>
          <cell r="AZ580">
            <v>5921421.958333333</v>
          </cell>
        </row>
        <row r="581">
          <cell r="Q581">
            <v>0</v>
          </cell>
          <cell r="S581">
            <v>4567886</v>
          </cell>
          <cell r="U581">
            <v>7522648</v>
          </cell>
          <cell r="V581">
            <v>20133402</v>
          </cell>
          <cell r="W581">
            <v>20856556</v>
          </cell>
          <cell r="Y581">
            <v>21941616</v>
          </cell>
          <cell r="AA581">
            <v>-8683457</v>
          </cell>
          <cell r="AJ581">
            <v>0</v>
          </cell>
          <cell r="AN581">
            <v>1879460.3333333333</v>
          </cell>
          <cell r="AR581">
            <v>8472989.75</v>
          </cell>
          <cell r="AV581">
            <v>6690814.041666667</v>
          </cell>
          <cell r="AZ581">
            <v>-5921421.958333333</v>
          </cell>
        </row>
        <row r="582">
          <cell r="AV582">
            <v>0</v>
          </cell>
          <cell r="AZ582">
            <v>7138586.416666667</v>
          </cell>
        </row>
        <row r="583">
          <cell r="Q583">
            <v>2792486.79</v>
          </cell>
          <cell r="S583">
            <v>3009106.83</v>
          </cell>
          <cell r="U583">
            <v>805.99</v>
          </cell>
          <cell r="V583">
            <v>805.99</v>
          </cell>
          <cell r="W583">
            <v>2796.99</v>
          </cell>
          <cell r="Y583">
            <v>0</v>
          </cell>
          <cell r="AA583">
            <v>0</v>
          </cell>
          <cell r="AJ583">
            <v>2310914.8858333332</v>
          </cell>
          <cell r="AN583">
            <v>2194450.7449999996</v>
          </cell>
          <cell r="AR583">
            <v>1452460.1116666666</v>
          </cell>
          <cell r="AV583">
            <v>603239.88291666668</v>
          </cell>
          <cell r="AZ583">
            <v>440.48624999999993</v>
          </cell>
        </row>
        <row r="584">
          <cell r="Q584">
            <v>10984724.220000001</v>
          </cell>
          <cell r="S584">
            <v>10322819.220000001</v>
          </cell>
          <cell r="U584">
            <v>9688027.2200000007</v>
          </cell>
          <cell r="V584">
            <v>9378372.2200000007</v>
          </cell>
          <cell r="W584">
            <v>9076605.2200000007</v>
          </cell>
          <cell r="Y584">
            <v>8497870.2200000007</v>
          </cell>
          <cell r="AA584">
            <v>7942956.2199999997</v>
          </cell>
          <cell r="AJ584">
            <v>13125241.636666669</v>
          </cell>
          <cell r="AN584">
            <v>11704998.928333335</v>
          </cell>
          <cell r="AR584">
            <v>10361692.345000001</v>
          </cell>
          <cell r="AV584">
            <v>9118740.0950000007</v>
          </cell>
          <cell r="AZ584">
            <v>7969242.5116666667</v>
          </cell>
        </row>
        <row r="585">
          <cell r="Q585">
            <v>0</v>
          </cell>
          <cell r="S585">
            <v>0</v>
          </cell>
          <cell r="U585">
            <v>0</v>
          </cell>
          <cell r="V585">
            <v>0</v>
          </cell>
          <cell r="W585">
            <v>0</v>
          </cell>
          <cell r="Y585">
            <v>0</v>
          </cell>
          <cell r="AA585">
            <v>0</v>
          </cell>
          <cell r="AJ585">
            <v>69588.037916666668</v>
          </cell>
          <cell r="AN585">
            <v>29843.587916666671</v>
          </cell>
          <cell r="AR585">
            <v>6447.9112500000001</v>
          </cell>
          <cell r="AV585">
            <v>0</v>
          </cell>
          <cell r="AZ585">
            <v>0</v>
          </cell>
        </row>
        <row r="586">
          <cell r="Q586">
            <v>0</v>
          </cell>
          <cell r="S586">
            <v>0</v>
          </cell>
          <cell r="U586">
            <v>0</v>
          </cell>
          <cell r="V586">
            <v>0</v>
          </cell>
          <cell r="W586">
            <v>0</v>
          </cell>
          <cell r="Y586">
            <v>0</v>
          </cell>
          <cell r="AA586">
            <v>0</v>
          </cell>
          <cell r="AJ586">
            <v>95186.637916666674</v>
          </cell>
          <cell r="AN586">
            <v>40820.147916666661</v>
          </cell>
          <cell r="AR586">
            <v>8818.5512499999986</v>
          </cell>
          <cell r="AV586">
            <v>0</v>
          </cell>
          <cell r="AZ586">
            <v>0</v>
          </cell>
        </row>
        <row r="587">
          <cell r="Q587">
            <v>361671.57</v>
          </cell>
          <cell r="S587">
            <v>444394.07</v>
          </cell>
          <cell r="U587">
            <v>0</v>
          </cell>
          <cell r="V587">
            <v>0</v>
          </cell>
          <cell r="W587">
            <v>0</v>
          </cell>
          <cell r="Y587">
            <v>0</v>
          </cell>
          <cell r="AA587">
            <v>0</v>
          </cell>
          <cell r="AJ587">
            <v>557043.65541666665</v>
          </cell>
          <cell r="AN587">
            <v>482843.92041666666</v>
          </cell>
          <cell r="AR587">
            <v>272944.89666666667</v>
          </cell>
          <cell r="AV587">
            <v>85472.143750000003</v>
          </cell>
          <cell r="AZ587">
            <v>0</v>
          </cell>
        </row>
        <row r="588">
          <cell r="Q588">
            <v>2399031.1800000002</v>
          </cell>
          <cell r="S588">
            <v>2412056.39</v>
          </cell>
          <cell r="U588">
            <v>2532968.7000000002</v>
          </cell>
          <cell r="V588">
            <v>2559629.46</v>
          </cell>
          <cell r="W588">
            <v>2600531.56</v>
          </cell>
          <cell r="Y588">
            <v>2616782.7000000002</v>
          </cell>
          <cell r="AA588">
            <v>2633421.13</v>
          </cell>
          <cell r="AJ588">
            <v>3003112.146666667</v>
          </cell>
          <cell r="AN588">
            <v>2961710.7362499996</v>
          </cell>
          <cell r="AR588">
            <v>2693132.9395833337</v>
          </cell>
          <cell r="AV588">
            <v>2550171.7391666663</v>
          </cell>
          <cell r="AZ588">
            <v>2630558.8412500001</v>
          </cell>
        </row>
        <row r="589">
          <cell r="AV589">
            <v>0</v>
          </cell>
          <cell r="AZ589">
            <v>-7138586.416666667</v>
          </cell>
        </row>
        <row r="590">
          <cell r="AV590">
            <v>0</v>
          </cell>
          <cell r="AZ590">
            <v>0</v>
          </cell>
        </row>
        <row r="591">
          <cell r="AV591">
            <v>0</v>
          </cell>
          <cell r="AZ591">
            <v>0</v>
          </cell>
        </row>
        <row r="592">
          <cell r="AV592">
            <v>0</v>
          </cell>
          <cell r="AZ592">
            <v>0</v>
          </cell>
        </row>
        <row r="593">
          <cell r="AV593">
            <v>0</v>
          </cell>
          <cell r="AZ593">
            <v>0</v>
          </cell>
        </row>
        <row r="594">
          <cell r="Q594">
            <v>250000</v>
          </cell>
          <cell r="S594">
            <v>250000</v>
          </cell>
          <cell r="U594">
            <v>250000</v>
          </cell>
          <cell r="V594">
            <v>250000</v>
          </cell>
          <cell r="W594">
            <v>250000</v>
          </cell>
          <cell r="Y594">
            <v>250000</v>
          </cell>
          <cell r="AA594">
            <v>250000</v>
          </cell>
          <cell r="AJ594">
            <v>679474.97541666671</v>
          </cell>
          <cell r="AN594">
            <v>475534.34250000003</v>
          </cell>
          <cell r="AR594">
            <v>274943.47208333336</v>
          </cell>
          <cell r="AV594">
            <v>250000</v>
          </cell>
          <cell r="AZ594">
            <v>250000</v>
          </cell>
        </row>
        <row r="595">
          <cell r="Q595">
            <v>0</v>
          </cell>
          <cell r="S595">
            <v>0</v>
          </cell>
          <cell r="U595">
            <v>0</v>
          </cell>
          <cell r="V595">
            <v>0</v>
          </cell>
          <cell r="W595">
            <v>0</v>
          </cell>
          <cell r="Y595">
            <v>0</v>
          </cell>
          <cell r="AA595">
            <v>0</v>
          </cell>
          <cell r="AJ595">
            <v>0</v>
          </cell>
          <cell r="AN595">
            <v>0</v>
          </cell>
          <cell r="AR595">
            <v>0</v>
          </cell>
          <cell r="AV595">
            <v>0</v>
          </cell>
          <cell r="AZ595">
            <v>0</v>
          </cell>
        </row>
        <row r="596">
          <cell r="Q596">
            <v>1896127.3</v>
          </cell>
          <cell r="S596">
            <v>1916260.1</v>
          </cell>
          <cell r="U596">
            <v>1921992.2</v>
          </cell>
          <cell r="V596">
            <v>1925659.45</v>
          </cell>
          <cell r="W596">
            <v>1934984.95</v>
          </cell>
          <cell r="Y596">
            <v>1959420.6</v>
          </cell>
          <cell r="AA596">
            <v>1966668.1</v>
          </cell>
          <cell r="AJ596">
            <v>803317.66208333336</v>
          </cell>
          <cell r="AN596">
            <v>1226740.1287499999</v>
          </cell>
          <cell r="AR596">
            <v>1655894.4958333329</v>
          </cell>
          <cell r="AV596">
            <v>1939262.3583333334</v>
          </cell>
          <cell r="AZ596">
            <v>1963709.0625</v>
          </cell>
        </row>
        <row r="597">
          <cell r="AA597">
            <v>65340.84</v>
          </cell>
          <cell r="AR597">
            <v>0</v>
          </cell>
          <cell r="AV597">
            <v>21352.227083333331</v>
          </cell>
          <cell r="AZ597">
            <v>61456.828750000008</v>
          </cell>
        </row>
        <row r="598">
          <cell r="Q598">
            <v>41353.35</v>
          </cell>
          <cell r="S598">
            <v>41353.35</v>
          </cell>
          <cell r="U598">
            <v>47948.47</v>
          </cell>
          <cell r="V598">
            <v>47948.47</v>
          </cell>
          <cell r="W598">
            <v>47948.47</v>
          </cell>
          <cell r="Y598">
            <v>79591.59</v>
          </cell>
          <cell r="AA598">
            <v>79591.59</v>
          </cell>
          <cell r="AJ598">
            <v>53582.486249999994</v>
          </cell>
          <cell r="AN598">
            <v>49256.494583333319</v>
          </cell>
          <cell r="AR598">
            <v>50090.158749999995</v>
          </cell>
          <cell r="AV598">
            <v>61327.619999999995</v>
          </cell>
          <cell r="AZ598">
            <v>73324.16333333333</v>
          </cell>
        </row>
        <row r="599">
          <cell r="Q599">
            <v>0</v>
          </cell>
          <cell r="S599">
            <v>0</v>
          </cell>
          <cell r="U599">
            <v>0</v>
          </cell>
          <cell r="V599">
            <v>0</v>
          </cell>
          <cell r="W599">
            <v>0</v>
          </cell>
          <cell r="Y599">
            <v>0</v>
          </cell>
          <cell r="AA599">
            <v>0</v>
          </cell>
          <cell r="AJ599">
            <v>0</v>
          </cell>
          <cell r="AN599">
            <v>0</v>
          </cell>
          <cell r="AR599">
            <v>0</v>
          </cell>
          <cell r="AV599">
            <v>0</v>
          </cell>
          <cell r="AZ599">
            <v>0</v>
          </cell>
        </row>
        <row r="600">
          <cell r="Q600">
            <v>0</v>
          </cell>
          <cell r="S600">
            <v>0</v>
          </cell>
          <cell r="U600">
            <v>0</v>
          </cell>
          <cell r="V600">
            <v>0</v>
          </cell>
          <cell r="W600">
            <v>0</v>
          </cell>
          <cell r="Y600">
            <v>0</v>
          </cell>
          <cell r="AA600">
            <v>0</v>
          </cell>
          <cell r="AJ600">
            <v>0</v>
          </cell>
          <cell r="AN600">
            <v>0</v>
          </cell>
          <cell r="AR600">
            <v>0</v>
          </cell>
          <cell r="AV600">
            <v>0</v>
          </cell>
          <cell r="AZ600">
            <v>0</v>
          </cell>
        </row>
        <row r="601">
          <cell r="AV601">
            <v>4272.7029166666662</v>
          </cell>
          <cell r="AZ601">
            <v>35321.357499999998</v>
          </cell>
        </row>
        <row r="602">
          <cell r="Q602">
            <v>0</v>
          </cell>
          <cell r="S602">
            <v>0</v>
          </cell>
          <cell r="U602">
            <v>0</v>
          </cell>
          <cell r="V602">
            <v>0</v>
          </cell>
          <cell r="W602">
            <v>0</v>
          </cell>
          <cell r="Y602">
            <v>0</v>
          </cell>
          <cell r="AA602">
            <v>132.38999999999999</v>
          </cell>
          <cell r="AJ602">
            <v>0</v>
          </cell>
          <cell r="AN602">
            <v>0</v>
          </cell>
          <cell r="AR602">
            <v>0</v>
          </cell>
          <cell r="AV602">
            <v>3882.6679166666668</v>
          </cell>
          <cell r="AZ602">
            <v>34415.471666666672</v>
          </cell>
        </row>
        <row r="603">
          <cell r="Q603">
            <v>10000</v>
          </cell>
          <cell r="S603">
            <v>10000</v>
          </cell>
          <cell r="U603">
            <v>10000</v>
          </cell>
          <cell r="V603">
            <v>10000</v>
          </cell>
          <cell r="W603">
            <v>10000</v>
          </cell>
          <cell r="Y603">
            <v>10000</v>
          </cell>
          <cell r="AA603">
            <v>10000</v>
          </cell>
          <cell r="AJ603">
            <v>10000</v>
          </cell>
          <cell r="AN603">
            <v>10000</v>
          </cell>
          <cell r="AR603">
            <v>10000</v>
          </cell>
          <cell r="AV603">
            <v>10000</v>
          </cell>
          <cell r="AZ603">
            <v>10000</v>
          </cell>
        </row>
        <row r="604">
          <cell r="Q604">
            <v>0</v>
          </cell>
          <cell r="S604">
            <v>0</v>
          </cell>
          <cell r="U604">
            <v>0</v>
          </cell>
          <cell r="V604">
            <v>0</v>
          </cell>
          <cell r="W604">
            <v>0</v>
          </cell>
          <cell r="Y604">
            <v>0</v>
          </cell>
          <cell r="AA604">
            <v>0</v>
          </cell>
          <cell r="AJ604">
            <v>0</v>
          </cell>
          <cell r="AN604">
            <v>0</v>
          </cell>
          <cell r="AR604">
            <v>0</v>
          </cell>
          <cell r="AV604">
            <v>0</v>
          </cell>
          <cell r="AZ604">
            <v>0</v>
          </cell>
        </row>
        <row r="605">
          <cell r="Q605">
            <v>0</v>
          </cell>
          <cell r="S605">
            <v>0</v>
          </cell>
          <cell r="U605">
            <v>0</v>
          </cell>
          <cell r="V605">
            <v>0</v>
          </cell>
          <cell r="W605">
            <v>0</v>
          </cell>
          <cell r="Y605">
            <v>0</v>
          </cell>
          <cell r="AA605">
            <v>0</v>
          </cell>
          <cell r="AJ605">
            <v>0</v>
          </cell>
          <cell r="AN605">
            <v>0</v>
          </cell>
          <cell r="AR605">
            <v>0</v>
          </cell>
          <cell r="AV605">
            <v>0</v>
          </cell>
          <cell r="AZ605">
            <v>0</v>
          </cell>
        </row>
        <row r="606">
          <cell r="Q606">
            <v>22528.37</v>
          </cell>
          <cell r="S606">
            <v>22528.37</v>
          </cell>
          <cell r="U606">
            <v>22528.37</v>
          </cell>
          <cell r="V606">
            <v>27750.32</v>
          </cell>
          <cell r="W606">
            <v>28377.82</v>
          </cell>
          <cell r="Y606">
            <v>41459.18</v>
          </cell>
          <cell r="AA606">
            <v>47611.93</v>
          </cell>
          <cell r="AJ606">
            <v>22528.37</v>
          </cell>
          <cell r="AN606">
            <v>22528.37</v>
          </cell>
          <cell r="AR606">
            <v>25354.527083333334</v>
          </cell>
          <cell r="AV606">
            <v>43921.149166666662</v>
          </cell>
          <cell r="AZ606">
            <v>89751.334166666667</v>
          </cell>
        </row>
        <row r="607">
          <cell r="Q607">
            <v>0</v>
          </cell>
          <cell r="S607">
            <v>0</v>
          </cell>
          <cell r="U607">
            <v>0</v>
          </cell>
          <cell r="V607">
            <v>0</v>
          </cell>
          <cell r="W607">
            <v>0</v>
          </cell>
          <cell r="Y607">
            <v>0</v>
          </cell>
          <cell r="AA607">
            <v>0</v>
          </cell>
          <cell r="AJ607">
            <v>69260.902499999997</v>
          </cell>
          <cell r="AN607">
            <v>7695.6558333333332</v>
          </cell>
          <cell r="AR607">
            <v>0</v>
          </cell>
          <cell r="AV607">
            <v>0</v>
          </cell>
          <cell r="AZ607">
            <v>0</v>
          </cell>
        </row>
        <row r="608">
          <cell r="Q608">
            <v>0</v>
          </cell>
          <cell r="S608">
            <v>0</v>
          </cell>
          <cell r="U608">
            <v>0</v>
          </cell>
          <cell r="V608">
            <v>0</v>
          </cell>
          <cell r="W608">
            <v>0</v>
          </cell>
          <cell r="Y608">
            <v>0</v>
          </cell>
          <cell r="AA608">
            <v>0</v>
          </cell>
          <cell r="AJ608">
            <v>0</v>
          </cell>
          <cell r="AN608">
            <v>0</v>
          </cell>
          <cell r="AR608">
            <v>0</v>
          </cell>
          <cell r="AV608">
            <v>0</v>
          </cell>
          <cell r="AZ608">
            <v>0</v>
          </cell>
        </row>
        <row r="609">
          <cell r="Q609">
            <v>0</v>
          </cell>
          <cell r="S609">
            <v>307.75</v>
          </cell>
          <cell r="U609">
            <v>0</v>
          </cell>
          <cell r="V609">
            <v>0</v>
          </cell>
          <cell r="W609">
            <v>0</v>
          </cell>
          <cell r="Y609">
            <v>0</v>
          </cell>
          <cell r="AA609">
            <v>0</v>
          </cell>
          <cell r="AJ609">
            <v>94785.072916666672</v>
          </cell>
          <cell r="AN609">
            <v>70352.266666666663</v>
          </cell>
          <cell r="AR609">
            <v>37671.707916666666</v>
          </cell>
          <cell r="AV609">
            <v>51.291666666666664</v>
          </cell>
          <cell r="AZ609">
            <v>0</v>
          </cell>
        </row>
        <row r="610">
          <cell r="Q610">
            <v>0</v>
          </cell>
          <cell r="S610">
            <v>0</v>
          </cell>
          <cell r="U610">
            <v>0</v>
          </cell>
          <cell r="V610">
            <v>0</v>
          </cell>
          <cell r="W610">
            <v>0</v>
          </cell>
          <cell r="Y610">
            <v>0</v>
          </cell>
          <cell r="AA610">
            <v>0</v>
          </cell>
          <cell r="AJ610">
            <v>29266.94</v>
          </cell>
          <cell r="AN610">
            <v>22320.942500000001</v>
          </cell>
          <cell r="AR610">
            <v>4598.7512500000003</v>
          </cell>
          <cell r="AV610">
            <v>0</v>
          </cell>
          <cell r="AZ610">
            <v>0</v>
          </cell>
        </row>
        <row r="611">
          <cell r="Q611">
            <v>0</v>
          </cell>
          <cell r="S611">
            <v>0</v>
          </cell>
          <cell r="U611">
            <v>0</v>
          </cell>
          <cell r="V611">
            <v>0</v>
          </cell>
          <cell r="W611">
            <v>0</v>
          </cell>
          <cell r="Y611">
            <v>0</v>
          </cell>
          <cell r="AA611">
            <v>0</v>
          </cell>
          <cell r="AJ611">
            <v>291012.79333333333</v>
          </cell>
          <cell r="AN611">
            <v>291012.79333333333</v>
          </cell>
          <cell r="AR611">
            <v>82679.460000000006</v>
          </cell>
          <cell r="AV611">
            <v>0</v>
          </cell>
          <cell r="AZ611">
            <v>0</v>
          </cell>
        </row>
        <row r="612">
          <cell r="Q612">
            <v>0</v>
          </cell>
          <cell r="S612">
            <v>0</v>
          </cell>
          <cell r="U612">
            <v>0</v>
          </cell>
          <cell r="V612">
            <v>0</v>
          </cell>
          <cell r="W612">
            <v>0</v>
          </cell>
          <cell r="Y612">
            <v>0</v>
          </cell>
          <cell r="AA612">
            <v>0</v>
          </cell>
          <cell r="AJ612">
            <v>182816.48916666667</v>
          </cell>
          <cell r="AN612">
            <v>182816.48916666667</v>
          </cell>
          <cell r="AR612">
            <v>78649.822499999995</v>
          </cell>
          <cell r="AV612">
            <v>0</v>
          </cell>
          <cell r="AZ612">
            <v>0</v>
          </cell>
        </row>
        <row r="613">
          <cell r="Q613">
            <v>0</v>
          </cell>
          <cell r="S613">
            <v>0</v>
          </cell>
          <cell r="U613">
            <v>0</v>
          </cell>
          <cell r="V613">
            <v>0</v>
          </cell>
          <cell r="W613">
            <v>0</v>
          </cell>
          <cell r="Y613">
            <v>0</v>
          </cell>
          <cell r="AA613">
            <v>0</v>
          </cell>
          <cell r="AJ613">
            <v>166595.61666666667</v>
          </cell>
          <cell r="AN613">
            <v>166595.61666666667</v>
          </cell>
          <cell r="AR613">
            <v>62428.950000000004</v>
          </cell>
          <cell r="AV613">
            <v>0</v>
          </cell>
          <cell r="AZ613">
            <v>0</v>
          </cell>
        </row>
        <row r="614">
          <cell r="Q614">
            <v>0</v>
          </cell>
          <cell r="S614">
            <v>0</v>
          </cell>
          <cell r="U614">
            <v>0</v>
          </cell>
          <cell r="V614">
            <v>0</v>
          </cell>
          <cell r="W614">
            <v>0</v>
          </cell>
          <cell r="Y614">
            <v>0</v>
          </cell>
          <cell r="AA614">
            <v>0</v>
          </cell>
          <cell r="AJ614">
            <v>1429.33</v>
          </cell>
          <cell r="AN614">
            <v>1429.33</v>
          </cell>
          <cell r="AR614">
            <v>919.98708333333332</v>
          </cell>
          <cell r="AV614">
            <v>0</v>
          </cell>
          <cell r="AZ614">
            <v>0</v>
          </cell>
        </row>
        <row r="615">
          <cell r="Q615">
            <v>0</v>
          </cell>
          <cell r="S615">
            <v>0</v>
          </cell>
          <cell r="U615">
            <v>0</v>
          </cell>
          <cell r="V615">
            <v>0</v>
          </cell>
          <cell r="W615">
            <v>0</v>
          </cell>
          <cell r="Y615">
            <v>0</v>
          </cell>
          <cell r="AA615">
            <v>0</v>
          </cell>
          <cell r="AJ615">
            <v>1356.405</v>
          </cell>
          <cell r="AN615">
            <v>1356.405</v>
          </cell>
          <cell r="AR615">
            <v>711.90583333333325</v>
          </cell>
          <cell r="AV615">
            <v>0</v>
          </cell>
          <cell r="AZ615">
            <v>0</v>
          </cell>
        </row>
        <row r="616">
          <cell r="Q616">
            <v>0</v>
          </cell>
          <cell r="S616">
            <v>0</v>
          </cell>
          <cell r="U616">
            <v>0</v>
          </cell>
          <cell r="V616">
            <v>0</v>
          </cell>
          <cell r="W616">
            <v>0</v>
          </cell>
          <cell r="Y616">
            <v>0</v>
          </cell>
          <cell r="AA616">
            <v>0</v>
          </cell>
          <cell r="AJ616">
            <v>71.05</v>
          </cell>
          <cell r="AN616">
            <v>71.05</v>
          </cell>
          <cell r="AR616">
            <v>71.05</v>
          </cell>
          <cell r="AV616">
            <v>0</v>
          </cell>
          <cell r="AZ616">
            <v>0</v>
          </cell>
        </row>
        <row r="617">
          <cell r="AV617">
            <v>0</v>
          </cell>
          <cell r="AZ617">
            <v>1786420.0304166665</v>
          </cell>
        </row>
        <row r="618">
          <cell r="AV618">
            <v>0</v>
          </cell>
          <cell r="AZ618">
            <v>190608.47166666668</v>
          </cell>
        </row>
        <row r="619">
          <cell r="Q619">
            <v>15256064.07</v>
          </cell>
          <cell r="S619">
            <v>15256064.07</v>
          </cell>
          <cell r="U619">
            <v>15256064.07</v>
          </cell>
          <cell r="V619">
            <v>15256064.07</v>
          </cell>
          <cell r="W619">
            <v>15256064.07</v>
          </cell>
          <cell r="Y619">
            <v>15256064.07</v>
          </cell>
          <cell r="AA619">
            <v>15256064.07</v>
          </cell>
          <cell r="AJ619">
            <v>15256064.069999995</v>
          </cell>
          <cell r="AN619">
            <v>15256064.069999995</v>
          </cell>
          <cell r="AR619">
            <v>15256064.069999995</v>
          </cell>
          <cell r="AV619">
            <v>15256064.069999995</v>
          </cell>
          <cell r="AZ619">
            <v>15256064.069999995</v>
          </cell>
        </row>
        <row r="620">
          <cell r="Q620">
            <v>248600.26</v>
          </cell>
          <cell r="S620">
            <v>248600.26</v>
          </cell>
          <cell r="U620">
            <v>105443.69</v>
          </cell>
          <cell r="V620">
            <v>105443.69</v>
          </cell>
          <cell r="W620">
            <v>224685.54</v>
          </cell>
          <cell r="Y620">
            <v>224685.54</v>
          </cell>
          <cell r="AA620">
            <v>71758.03</v>
          </cell>
          <cell r="AJ620">
            <v>240916.9708333333</v>
          </cell>
          <cell r="AN620">
            <v>282402.09791666659</v>
          </cell>
          <cell r="AR620">
            <v>239735.0983333333</v>
          </cell>
          <cell r="AV620">
            <v>165014.94583333333</v>
          </cell>
          <cell r="AZ620">
            <v>115154.46416666667</v>
          </cell>
        </row>
        <row r="621">
          <cell r="Q621">
            <v>2873005.76</v>
          </cell>
          <cell r="S621">
            <v>2873221</v>
          </cell>
          <cell r="U621">
            <v>2873005.76</v>
          </cell>
          <cell r="V621">
            <v>2873005.76</v>
          </cell>
          <cell r="W621">
            <v>2873005.76</v>
          </cell>
          <cell r="Y621">
            <v>2873005.76</v>
          </cell>
          <cell r="AA621">
            <v>2873005.76</v>
          </cell>
          <cell r="AJ621">
            <v>2873005.7599999993</v>
          </cell>
          <cell r="AN621">
            <v>2873023.6966666658</v>
          </cell>
          <cell r="AR621">
            <v>2873023.6966666654</v>
          </cell>
          <cell r="AV621">
            <v>2873026.7399999988</v>
          </cell>
          <cell r="AZ621">
            <v>2873008.8033333328</v>
          </cell>
        </row>
        <row r="622">
          <cell r="Q622">
            <v>-228709.77</v>
          </cell>
          <cell r="S622">
            <v>-228709.77</v>
          </cell>
          <cell r="U622">
            <v>-228709.77</v>
          </cell>
          <cell r="V622">
            <v>-228709.77</v>
          </cell>
          <cell r="W622">
            <v>-228709.77</v>
          </cell>
          <cell r="Y622">
            <v>-228709.77</v>
          </cell>
          <cell r="AA622">
            <v>-228709.77</v>
          </cell>
          <cell r="AJ622">
            <v>-228709.77</v>
          </cell>
          <cell r="AN622">
            <v>-228709.77</v>
          </cell>
          <cell r="AR622">
            <v>-228709.77</v>
          </cell>
          <cell r="AV622">
            <v>-228709.77</v>
          </cell>
          <cell r="AZ622">
            <v>-228709.77</v>
          </cell>
        </row>
        <row r="623">
          <cell r="Q623">
            <v>107024.51</v>
          </cell>
          <cell r="S623">
            <v>107024.51</v>
          </cell>
          <cell r="U623">
            <v>107024.51</v>
          </cell>
          <cell r="V623">
            <v>107024.51</v>
          </cell>
          <cell r="W623">
            <v>107024.51</v>
          </cell>
          <cell r="Y623">
            <v>107024.51</v>
          </cell>
          <cell r="AA623">
            <v>107024.51</v>
          </cell>
          <cell r="AJ623">
            <v>107024.51</v>
          </cell>
          <cell r="AN623">
            <v>107024.51</v>
          </cell>
          <cell r="AR623">
            <v>107024.51</v>
          </cell>
          <cell r="AV623">
            <v>107024.51</v>
          </cell>
          <cell r="AZ623">
            <v>107024.51</v>
          </cell>
        </row>
        <row r="624">
          <cell r="Q624">
            <v>606828.14</v>
          </cell>
          <cell r="S624">
            <v>476973.4</v>
          </cell>
          <cell r="U624">
            <v>476973.4</v>
          </cell>
          <cell r="V624">
            <v>477118.4</v>
          </cell>
          <cell r="W624">
            <v>477118.4</v>
          </cell>
          <cell r="Y624">
            <v>477118.4</v>
          </cell>
          <cell r="AA624">
            <v>477118.4</v>
          </cell>
          <cell r="AJ624">
            <v>834031.73041666672</v>
          </cell>
          <cell r="AN624">
            <v>577936.84666666668</v>
          </cell>
          <cell r="AR624">
            <v>535010.23083333333</v>
          </cell>
          <cell r="AV624">
            <v>493490.6791666667</v>
          </cell>
          <cell r="AZ624">
            <v>481950.54083333327</v>
          </cell>
        </row>
        <row r="625">
          <cell r="Q625">
            <v>622708.99</v>
          </cell>
          <cell r="S625">
            <v>622708.99</v>
          </cell>
          <cell r="U625">
            <v>670326.37</v>
          </cell>
          <cell r="V625">
            <v>670326.37</v>
          </cell>
          <cell r="W625">
            <v>583715.23</v>
          </cell>
          <cell r="Y625">
            <v>670326.37</v>
          </cell>
          <cell r="AA625">
            <v>670326.37</v>
          </cell>
          <cell r="AJ625">
            <v>702314.94041666668</v>
          </cell>
          <cell r="AN625">
            <v>624490.14166666672</v>
          </cell>
          <cell r="AR625">
            <v>633401.53500000015</v>
          </cell>
          <cell r="AV625">
            <v>649220.37249999994</v>
          </cell>
          <cell r="AZ625">
            <v>663322.08375000011</v>
          </cell>
        </row>
        <row r="626">
          <cell r="Q626">
            <v>6389352.1399999997</v>
          </cell>
          <cell r="S626">
            <v>6511070.3300000001</v>
          </cell>
          <cell r="U626">
            <v>0</v>
          </cell>
          <cell r="V626">
            <v>0</v>
          </cell>
          <cell r="W626">
            <v>0</v>
          </cell>
          <cell r="Y626">
            <v>0</v>
          </cell>
          <cell r="AA626">
            <v>0</v>
          </cell>
          <cell r="AJ626">
            <v>6268351.3708333327</v>
          </cell>
          <cell r="AN626">
            <v>5598974.0558333332</v>
          </cell>
          <cell r="AR626">
            <v>3484281.2983333338</v>
          </cell>
          <cell r="AV626">
            <v>1342389.46</v>
          </cell>
          <cell r="AZ626">
            <v>0</v>
          </cell>
        </row>
        <row r="627">
          <cell r="AA627">
            <v>2016.87</v>
          </cell>
          <cell r="AR627">
            <v>0</v>
          </cell>
          <cell r="AV627">
            <v>-8191.7195833333344</v>
          </cell>
          <cell r="AZ627">
            <v>-64794.248333333344</v>
          </cell>
        </row>
        <row r="628">
          <cell r="AV628">
            <v>118558.13916666666</v>
          </cell>
          <cell r="AZ628">
            <v>1129818.5979166667</v>
          </cell>
        </row>
        <row r="629">
          <cell r="Q629">
            <v>0</v>
          </cell>
          <cell r="S629">
            <v>0</v>
          </cell>
          <cell r="U629">
            <v>0</v>
          </cell>
          <cell r="V629">
            <v>0</v>
          </cell>
          <cell r="W629">
            <v>0</v>
          </cell>
          <cell r="Y629">
            <v>0</v>
          </cell>
          <cell r="AA629">
            <v>0</v>
          </cell>
          <cell r="AJ629">
            <v>0</v>
          </cell>
          <cell r="AN629">
            <v>0</v>
          </cell>
          <cell r="AR629">
            <v>0</v>
          </cell>
          <cell r="AV629">
            <v>0</v>
          </cell>
          <cell r="AZ629">
            <v>0</v>
          </cell>
        </row>
        <row r="630">
          <cell r="Q630">
            <v>0</v>
          </cell>
          <cell r="S630">
            <v>0</v>
          </cell>
          <cell r="U630">
            <v>0</v>
          </cell>
          <cell r="V630">
            <v>0</v>
          </cell>
          <cell r="W630">
            <v>0</v>
          </cell>
          <cell r="Y630">
            <v>0</v>
          </cell>
          <cell r="AA630">
            <v>0</v>
          </cell>
          <cell r="AJ630">
            <v>0</v>
          </cell>
          <cell r="AN630">
            <v>0</v>
          </cell>
          <cell r="AR630">
            <v>0</v>
          </cell>
          <cell r="AV630">
            <v>0</v>
          </cell>
          <cell r="AZ630">
            <v>0</v>
          </cell>
        </row>
        <row r="631">
          <cell r="Q631">
            <v>243623.22</v>
          </cell>
          <cell r="S631">
            <v>243909.47</v>
          </cell>
          <cell r="U631">
            <v>246125.47</v>
          </cell>
          <cell r="V631">
            <v>248069.82</v>
          </cell>
          <cell r="W631">
            <v>249978.82</v>
          </cell>
          <cell r="Y631">
            <v>252632.07</v>
          </cell>
          <cell r="AA631">
            <v>273725.09999999998</v>
          </cell>
          <cell r="AJ631">
            <v>228492.1575</v>
          </cell>
          <cell r="AN631">
            <v>236908.41375000004</v>
          </cell>
          <cell r="AR631">
            <v>244244.29708333334</v>
          </cell>
          <cell r="AV631">
            <v>253581.67833333334</v>
          </cell>
          <cell r="AZ631">
            <v>263464.42666666664</v>
          </cell>
        </row>
        <row r="632">
          <cell r="Q632">
            <v>164972.67000000001</v>
          </cell>
          <cell r="S632">
            <v>166324.26999999999</v>
          </cell>
          <cell r="U632">
            <v>169602.13</v>
          </cell>
          <cell r="V632">
            <v>169602.13</v>
          </cell>
          <cell r="W632">
            <v>169602.13</v>
          </cell>
          <cell r="Y632">
            <v>169602.13</v>
          </cell>
          <cell r="AA632">
            <v>169602.13</v>
          </cell>
          <cell r="AJ632">
            <v>69417.92541666668</v>
          </cell>
          <cell r="AN632">
            <v>110262.69291666667</v>
          </cell>
          <cell r="AR632">
            <v>151376.55374999999</v>
          </cell>
          <cell r="AV632">
            <v>168598.57416666663</v>
          </cell>
          <cell r="AZ632">
            <v>169602.12999999998</v>
          </cell>
        </row>
        <row r="633">
          <cell r="Q633">
            <v>131356.21</v>
          </cell>
          <cell r="S633">
            <v>132002.21</v>
          </cell>
          <cell r="U633">
            <v>133750.43</v>
          </cell>
          <cell r="V633">
            <v>133750.43</v>
          </cell>
          <cell r="W633">
            <v>133750.43</v>
          </cell>
          <cell r="Y633">
            <v>133750.43</v>
          </cell>
          <cell r="AA633">
            <v>133750.43</v>
          </cell>
          <cell r="AJ633">
            <v>70027.196249999994</v>
          </cell>
          <cell r="AN633">
            <v>114038.575</v>
          </cell>
          <cell r="AR633">
            <v>131103.68208333329</v>
          </cell>
          <cell r="AV633">
            <v>133359.30083333331</v>
          </cell>
          <cell r="AZ633">
            <v>133750.42999999996</v>
          </cell>
        </row>
        <row r="634">
          <cell r="Q634">
            <v>43460.19</v>
          </cell>
          <cell r="S634">
            <v>43460.19</v>
          </cell>
          <cell r="U634">
            <v>53995.63</v>
          </cell>
          <cell r="V634">
            <v>76708.63</v>
          </cell>
          <cell r="W634">
            <v>53995.63</v>
          </cell>
          <cell r="Y634">
            <v>53995.63</v>
          </cell>
          <cell r="AA634">
            <v>53995.63</v>
          </cell>
          <cell r="AJ634">
            <v>21202.179583333334</v>
          </cell>
          <cell r="AN634">
            <v>36844.39</v>
          </cell>
          <cell r="AR634">
            <v>49848.967083333329</v>
          </cell>
          <cell r="AV634">
            <v>53693.496666666673</v>
          </cell>
          <cell r="AZ634">
            <v>55917.71333333334</v>
          </cell>
        </row>
        <row r="635">
          <cell r="Q635">
            <v>67987.45</v>
          </cell>
          <cell r="S635">
            <v>67987.45</v>
          </cell>
          <cell r="U635">
            <v>67987.45</v>
          </cell>
          <cell r="V635">
            <v>67987.45</v>
          </cell>
          <cell r="W635">
            <v>67987.45</v>
          </cell>
          <cell r="Y635">
            <v>67987.45</v>
          </cell>
          <cell r="AA635">
            <v>67987.45</v>
          </cell>
          <cell r="AJ635">
            <v>30955.128749999993</v>
          </cell>
          <cell r="AN635">
            <v>53454.549583333319</v>
          </cell>
          <cell r="AR635">
            <v>67321.149583333317</v>
          </cell>
          <cell r="AV635">
            <v>67987.449999999983</v>
          </cell>
          <cell r="AZ635">
            <v>67987.449999999983</v>
          </cell>
        </row>
        <row r="636">
          <cell r="Q636">
            <v>0</v>
          </cell>
          <cell r="S636">
            <v>0</v>
          </cell>
          <cell r="U636">
            <v>0</v>
          </cell>
          <cell r="V636">
            <v>0</v>
          </cell>
          <cell r="W636">
            <v>0</v>
          </cell>
          <cell r="Y636">
            <v>0</v>
          </cell>
          <cell r="AA636">
            <v>0</v>
          </cell>
          <cell r="AJ636">
            <v>99131.195416666669</v>
          </cell>
          <cell r="AN636">
            <v>42511.685416666667</v>
          </cell>
          <cell r="AR636">
            <v>9183.9487500000014</v>
          </cell>
          <cell r="AV636">
            <v>0</v>
          </cell>
          <cell r="AZ636">
            <v>0</v>
          </cell>
        </row>
        <row r="637">
          <cell r="Q637">
            <v>0</v>
          </cell>
          <cell r="S637">
            <v>0</v>
          </cell>
          <cell r="U637">
            <v>0</v>
          </cell>
          <cell r="V637">
            <v>0</v>
          </cell>
          <cell r="W637">
            <v>0</v>
          </cell>
          <cell r="Y637">
            <v>0</v>
          </cell>
          <cell r="AA637">
            <v>0</v>
          </cell>
          <cell r="AJ637">
            <v>44285.447500000002</v>
          </cell>
          <cell r="AN637">
            <v>19022.467500000002</v>
          </cell>
          <cell r="AR637">
            <v>4126.4875000000002</v>
          </cell>
          <cell r="AV637">
            <v>0</v>
          </cell>
          <cell r="AZ637">
            <v>0</v>
          </cell>
        </row>
        <row r="638">
          <cell r="Q638">
            <v>0</v>
          </cell>
          <cell r="S638">
            <v>0</v>
          </cell>
          <cell r="U638">
            <v>0</v>
          </cell>
          <cell r="V638">
            <v>0</v>
          </cell>
          <cell r="W638">
            <v>0</v>
          </cell>
          <cell r="Y638">
            <v>0</v>
          </cell>
          <cell r="AA638">
            <v>0</v>
          </cell>
          <cell r="AJ638">
            <v>0</v>
          </cell>
          <cell r="AN638">
            <v>0</v>
          </cell>
          <cell r="AR638">
            <v>0</v>
          </cell>
          <cell r="AV638">
            <v>0</v>
          </cell>
          <cell r="AZ638">
            <v>0</v>
          </cell>
        </row>
        <row r="639">
          <cell r="Q639">
            <v>0</v>
          </cell>
          <cell r="S639">
            <v>0</v>
          </cell>
          <cell r="U639">
            <v>0</v>
          </cell>
          <cell r="V639">
            <v>0</v>
          </cell>
          <cell r="W639">
            <v>0</v>
          </cell>
          <cell r="Y639">
            <v>0</v>
          </cell>
          <cell r="AA639">
            <v>0</v>
          </cell>
          <cell r="AJ639">
            <v>0</v>
          </cell>
          <cell r="AN639">
            <v>0</v>
          </cell>
          <cell r="AR639">
            <v>0</v>
          </cell>
          <cell r="AV639">
            <v>0</v>
          </cell>
          <cell r="AZ639">
            <v>0</v>
          </cell>
        </row>
        <row r="640">
          <cell r="Q640">
            <v>0</v>
          </cell>
          <cell r="S640">
            <v>0</v>
          </cell>
          <cell r="U640">
            <v>0</v>
          </cell>
          <cell r="V640">
            <v>0</v>
          </cell>
          <cell r="W640">
            <v>0</v>
          </cell>
          <cell r="Y640">
            <v>0</v>
          </cell>
          <cell r="AA640">
            <v>0</v>
          </cell>
          <cell r="AJ640">
            <v>0</v>
          </cell>
          <cell r="AN640">
            <v>0</v>
          </cell>
          <cell r="AR640">
            <v>0</v>
          </cell>
          <cell r="AV640">
            <v>0</v>
          </cell>
          <cell r="AZ640">
            <v>0</v>
          </cell>
        </row>
        <row r="641">
          <cell r="Q641">
            <v>28996607.48</v>
          </cell>
          <cell r="S641">
            <v>31175744.600000001</v>
          </cell>
          <cell r="U641">
            <v>31840701.989999998</v>
          </cell>
          <cell r="V641">
            <v>32877264.059999999</v>
          </cell>
          <cell r="W641">
            <v>34709022.649999999</v>
          </cell>
          <cell r="Y641">
            <v>36865546.710000001</v>
          </cell>
          <cell r="AA641">
            <v>37365081.07</v>
          </cell>
          <cell r="AJ641">
            <v>27024705.377083335</v>
          </cell>
          <cell r="AN641">
            <v>28855289.227500003</v>
          </cell>
          <cell r="AR641">
            <v>31163444.493749995</v>
          </cell>
          <cell r="AV641">
            <v>34275796.369166665</v>
          </cell>
          <cell r="AZ641">
            <v>38093024.953750007</v>
          </cell>
        </row>
        <row r="642">
          <cell r="Q642">
            <v>11795598.32</v>
          </cell>
          <cell r="S642">
            <v>12380769.960000001</v>
          </cell>
          <cell r="U642">
            <v>12553298.99</v>
          </cell>
          <cell r="V642">
            <v>12865515.369999999</v>
          </cell>
          <cell r="W642">
            <v>13455308.98</v>
          </cell>
          <cell r="Y642">
            <v>13991364.380000001</v>
          </cell>
          <cell r="AA642">
            <v>14136150.93</v>
          </cell>
          <cell r="AJ642">
            <v>10417902.688750001</v>
          </cell>
          <cell r="AN642">
            <v>11349300.567083331</v>
          </cell>
          <cell r="AR642">
            <v>12275336.581250003</v>
          </cell>
          <cell r="AV642">
            <v>13313849.650416665</v>
          </cell>
          <cell r="AZ642">
            <v>14602524.35375</v>
          </cell>
        </row>
        <row r="643">
          <cell r="Q643">
            <v>1177238.49</v>
          </cell>
          <cell r="S643">
            <v>1270521.7</v>
          </cell>
          <cell r="U643">
            <v>1308698.96</v>
          </cell>
          <cell r="V643">
            <v>1330794.6399999999</v>
          </cell>
          <cell r="W643">
            <v>1347595.9</v>
          </cell>
          <cell r="Y643">
            <v>1378977.37</v>
          </cell>
          <cell r="AA643">
            <v>1412511.13</v>
          </cell>
          <cell r="AJ643">
            <v>1028278.3708333332</v>
          </cell>
          <cell r="AN643">
            <v>1131851.5383333333</v>
          </cell>
          <cell r="AR643">
            <v>1241586.9641666666</v>
          </cell>
          <cell r="AV643">
            <v>1340410.3154166664</v>
          </cell>
          <cell r="AZ643">
            <v>1412930.6224999998</v>
          </cell>
        </row>
        <row r="644">
          <cell r="Q644">
            <v>589535.80000000005</v>
          </cell>
          <cell r="S644">
            <v>620630.21</v>
          </cell>
          <cell r="U644">
            <v>633355.97</v>
          </cell>
          <cell r="V644">
            <v>640721.19999999995</v>
          </cell>
          <cell r="W644">
            <v>646321.62</v>
          </cell>
          <cell r="Y644">
            <v>656782.11</v>
          </cell>
          <cell r="AA644">
            <v>667960.04</v>
          </cell>
          <cell r="AJ644">
            <v>523188.59583333338</v>
          </cell>
          <cell r="AN644">
            <v>568102.85333333339</v>
          </cell>
          <cell r="AR644">
            <v>610444.09666666668</v>
          </cell>
          <cell r="AV644">
            <v>643926.42458333343</v>
          </cell>
          <cell r="AZ644">
            <v>668099.86625000008</v>
          </cell>
        </row>
        <row r="645">
          <cell r="Y645">
            <v>0</v>
          </cell>
          <cell r="AA645">
            <v>0</v>
          </cell>
          <cell r="AR645">
            <v>0</v>
          </cell>
          <cell r="AV645">
            <v>0</v>
          </cell>
          <cell r="AZ645">
            <v>0</v>
          </cell>
        </row>
        <row r="646">
          <cell r="Q646">
            <v>6761500.9100000001</v>
          </cell>
          <cell r="S646">
            <v>7086098.79</v>
          </cell>
          <cell r="U646">
            <v>7366473.3899999997</v>
          </cell>
          <cell r="V646">
            <v>7602447.1299999999</v>
          </cell>
          <cell r="W646">
            <v>7637615.7000000002</v>
          </cell>
          <cell r="Y646">
            <v>8134168.2000000002</v>
          </cell>
          <cell r="AA646">
            <v>8313929.7300000004</v>
          </cell>
          <cell r="AJ646">
            <v>6137156.083333333</v>
          </cell>
          <cell r="AN646">
            <v>6590292.3233333342</v>
          </cell>
          <cell r="AR646">
            <v>7108833.9962500008</v>
          </cell>
          <cell r="AV646">
            <v>7707937.9437500006</v>
          </cell>
          <cell r="AZ646">
            <v>8365381.0724999988</v>
          </cell>
        </row>
        <row r="647">
          <cell r="Q647">
            <v>3400171.26</v>
          </cell>
          <cell r="S647">
            <v>3508370.55</v>
          </cell>
          <cell r="U647">
            <v>3601828.76</v>
          </cell>
          <cell r="V647">
            <v>3680486.68</v>
          </cell>
          <cell r="W647">
            <v>3692209.54</v>
          </cell>
          <cell r="Y647">
            <v>3857727.04</v>
          </cell>
          <cell r="AA647">
            <v>3917647.56</v>
          </cell>
          <cell r="AJ647">
            <v>3103172.1341666672</v>
          </cell>
          <cell r="AN647">
            <v>3310778.6354166665</v>
          </cell>
          <cell r="AR647">
            <v>3511195.2241666666</v>
          </cell>
          <cell r="AV647">
            <v>3715650.2708333335</v>
          </cell>
          <cell r="AZ647">
            <v>3934797.9758333326</v>
          </cell>
        </row>
        <row r="648">
          <cell r="Y648">
            <v>0</v>
          </cell>
          <cell r="AA648">
            <v>0</v>
          </cell>
          <cell r="AR648">
            <v>0</v>
          </cell>
          <cell r="AV648">
            <v>0</v>
          </cell>
          <cell r="AZ648">
            <v>0</v>
          </cell>
        </row>
        <row r="649">
          <cell r="Q649">
            <v>-36935346.880000003</v>
          </cell>
          <cell r="S649">
            <v>-39532365.090000004</v>
          </cell>
          <cell r="U649">
            <v>-40515874.340000004</v>
          </cell>
          <cell r="V649">
            <v>-41810505.829999998</v>
          </cell>
          <cell r="W649">
            <v>-43694234.25</v>
          </cell>
          <cell r="Y649">
            <v>-46057739.979999997</v>
          </cell>
          <cell r="AA649">
            <v>-47091521.93</v>
          </cell>
          <cell r="AJ649">
            <v>-34190139.831249997</v>
          </cell>
          <cell r="AN649">
            <v>-36577433.089166664</v>
          </cell>
          <cell r="AR649">
            <v>-39500492.44166667</v>
          </cell>
          <cell r="AV649">
            <v>-43287523.289999999</v>
          </cell>
          <cell r="AZ649">
            <v>-47684905.838333331</v>
          </cell>
        </row>
        <row r="650">
          <cell r="Q650">
            <v>-15785305.380000001</v>
          </cell>
          <cell r="S650">
            <v>-16509770.720000001</v>
          </cell>
          <cell r="U650">
            <v>-16788483.719999999</v>
          </cell>
          <cell r="V650">
            <v>-17186723.25</v>
          </cell>
          <cell r="W650">
            <v>-17793840.140000001</v>
          </cell>
          <cell r="Y650">
            <v>-18505873.530000001</v>
          </cell>
          <cell r="AA650">
            <v>-18721758.530000001</v>
          </cell>
          <cell r="AJ650">
            <v>-14044263.418749997</v>
          </cell>
          <cell r="AN650">
            <v>-15228182.05583333</v>
          </cell>
          <cell r="AR650">
            <v>-16396975.902083332</v>
          </cell>
          <cell r="AV650">
            <v>-17673426.345833335</v>
          </cell>
          <cell r="AZ650">
            <v>-19205422.195833333</v>
          </cell>
        </row>
        <row r="651">
          <cell r="Q651">
            <v>15824681.85</v>
          </cell>
          <cell r="S651">
            <v>15854681.85</v>
          </cell>
          <cell r="U651">
            <v>15854681.85</v>
          </cell>
          <cell r="V651">
            <v>15904681.85</v>
          </cell>
          <cell r="W651">
            <v>15904681.85</v>
          </cell>
          <cell r="Y651">
            <v>15904681.85</v>
          </cell>
          <cell r="AA651">
            <v>15904681.85</v>
          </cell>
          <cell r="AJ651">
            <v>15815050.210833332</v>
          </cell>
          <cell r="AN651">
            <v>15832890.18333333</v>
          </cell>
          <cell r="AR651">
            <v>15858015.18333333</v>
          </cell>
          <cell r="AV651">
            <v>15884681.849999996</v>
          </cell>
          <cell r="AZ651">
            <v>15902598.516666664</v>
          </cell>
        </row>
        <row r="652">
          <cell r="Q652">
            <v>-15824681.85</v>
          </cell>
          <cell r="S652">
            <v>-15854681.85</v>
          </cell>
          <cell r="U652">
            <v>-15854681.85</v>
          </cell>
          <cell r="V652">
            <v>-15904681.85</v>
          </cell>
          <cell r="W652">
            <v>-15904681.85</v>
          </cell>
          <cell r="Y652">
            <v>-15904681.85</v>
          </cell>
          <cell r="AA652">
            <v>-15904681.85</v>
          </cell>
          <cell r="AJ652">
            <v>-15813838.334999995</v>
          </cell>
          <cell r="AN652">
            <v>-15832890.18333333</v>
          </cell>
          <cell r="AR652">
            <v>-15858015.18333333</v>
          </cell>
          <cell r="AV652">
            <v>-15884681.849999996</v>
          </cell>
          <cell r="AZ652">
            <v>-15902598.516666664</v>
          </cell>
        </row>
        <row r="653">
          <cell r="Q653">
            <v>1321714</v>
          </cell>
          <cell r="S653">
            <v>1334900</v>
          </cell>
          <cell r="U653">
            <v>1346827</v>
          </cell>
          <cell r="V653">
            <v>1351986</v>
          </cell>
          <cell r="W653">
            <v>1356767</v>
          </cell>
          <cell r="Y653">
            <v>1360807</v>
          </cell>
          <cell r="AA653">
            <v>1253217</v>
          </cell>
          <cell r="AJ653">
            <v>1334596.2916666667</v>
          </cell>
          <cell r="AN653">
            <v>1335393.625</v>
          </cell>
          <cell r="AR653">
            <v>1334274.9166666667</v>
          </cell>
          <cell r="AV653">
            <v>1328817.1666666667</v>
          </cell>
          <cell r="AZ653">
            <v>1302683.25</v>
          </cell>
        </row>
        <row r="654">
          <cell r="Q654">
            <v>4388164</v>
          </cell>
          <cell r="S654">
            <v>4117526.5</v>
          </cell>
          <cell r="U654">
            <v>0</v>
          </cell>
          <cell r="V654">
            <v>0</v>
          </cell>
          <cell r="W654">
            <v>0</v>
          </cell>
          <cell r="Y654">
            <v>0</v>
          </cell>
          <cell r="AA654">
            <v>987093</v>
          </cell>
          <cell r="AJ654">
            <v>1140394.5416666667</v>
          </cell>
          <cell r="AN654">
            <v>1633406.0833333333</v>
          </cell>
          <cell r="AR654">
            <v>1633406.0833333333</v>
          </cell>
          <cell r="AV654">
            <v>1573627.625</v>
          </cell>
          <cell r="AZ654">
            <v>1574517.5</v>
          </cell>
        </row>
        <row r="655">
          <cell r="Q655">
            <v>0</v>
          </cell>
          <cell r="S655">
            <v>0</v>
          </cell>
          <cell r="U655">
            <v>0</v>
          </cell>
          <cell r="V655">
            <v>0</v>
          </cell>
          <cell r="W655">
            <v>0</v>
          </cell>
          <cell r="Y655">
            <v>0</v>
          </cell>
          <cell r="AA655">
            <v>0</v>
          </cell>
          <cell r="AJ655">
            <v>0</v>
          </cell>
          <cell r="AN655">
            <v>0</v>
          </cell>
          <cell r="AR655">
            <v>0</v>
          </cell>
          <cell r="AV655">
            <v>0</v>
          </cell>
          <cell r="AZ655">
            <v>0</v>
          </cell>
        </row>
        <row r="656">
          <cell r="Q656">
            <v>1672916.02</v>
          </cell>
          <cell r="S656">
            <v>1708009.72</v>
          </cell>
          <cell r="U656">
            <v>1882100.58</v>
          </cell>
          <cell r="V656">
            <v>1925475.43</v>
          </cell>
          <cell r="W656">
            <v>1971597.45</v>
          </cell>
          <cell r="Y656">
            <v>2060845.58</v>
          </cell>
          <cell r="AA656">
            <v>2144129.84</v>
          </cell>
          <cell r="AJ656">
            <v>1006717.9483333332</v>
          </cell>
          <cell r="AN656">
            <v>1294514.2483333333</v>
          </cell>
          <cell r="AR656">
            <v>1646785.334583333</v>
          </cell>
          <cell r="AV656">
            <v>1942504.9458333335</v>
          </cell>
          <cell r="AZ656">
            <v>2078455.4333333333</v>
          </cell>
        </row>
        <row r="657">
          <cell r="Q657">
            <v>0</v>
          </cell>
          <cell r="S657">
            <v>29200.33</v>
          </cell>
          <cell r="U657">
            <v>28242.54</v>
          </cell>
          <cell r="V657">
            <v>-12790.73</v>
          </cell>
          <cell r="W657">
            <v>-255445.13</v>
          </cell>
          <cell r="Y657">
            <v>-375510.19</v>
          </cell>
          <cell r="AA657">
            <v>-1004096.5</v>
          </cell>
          <cell r="AJ657">
            <v>22596.765000000003</v>
          </cell>
          <cell r="AN657">
            <v>32653.77416666667</v>
          </cell>
          <cell r="AR657">
            <v>-1880.0399999999961</v>
          </cell>
          <cell r="AV657">
            <v>-287669.88833333337</v>
          </cell>
          <cell r="AZ657">
            <v>-304982.05291666667</v>
          </cell>
        </row>
        <row r="658">
          <cell r="Q658">
            <v>0</v>
          </cell>
          <cell r="S658">
            <v>11620</v>
          </cell>
          <cell r="U658">
            <v>279386.09000000003</v>
          </cell>
          <cell r="V658">
            <v>294484.21000000002</v>
          </cell>
          <cell r="W658">
            <v>185297.27</v>
          </cell>
          <cell r="Y658">
            <v>-22312.98</v>
          </cell>
          <cell r="AA658">
            <v>-347460.01</v>
          </cell>
          <cell r="AJ658">
            <v>76726.552499999976</v>
          </cell>
          <cell r="AN658">
            <v>65958.581250000003</v>
          </cell>
          <cell r="AR658">
            <v>48393.21333333334</v>
          </cell>
          <cell r="AV658">
            <v>30554.569166666664</v>
          </cell>
          <cell r="AZ658">
            <v>77228.807499999995</v>
          </cell>
        </row>
        <row r="659">
          <cell r="Q659">
            <v>0</v>
          </cell>
          <cell r="S659">
            <v>323018.3</v>
          </cell>
          <cell r="U659">
            <v>636175.01</v>
          </cell>
          <cell r="V659">
            <v>822471.18</v>
          </cell>
          <cell r="W659">
            <v>928016.75</v>
          </cell>
          <cell r="Y659">
            <v>1395340.07</v>
          </cell>
          <cell r="AA659">
            <v>1559371.21</v>
          </cell>
          <cell r="AJ659">
            <v>-1213276.2524999999</v>
          </cell>
          <cell r="AN659">
            <v>-944824.02208333334</v>
          </cell>
          <cell r="AR659">
            <v>-152912.8925000001</v>
          </cell>
          <cell r="AV659">
            <v>896828.15750000009</v>
          </cell>
          <cell r="AZ659">
            <v>914567.1925</v>
          </cell>
        </row>
        <row r="660">
          <cell r="Q660">
            <v>0</v>
          </cell>
          <cell r="S660">
            <v>0</v>
          </cell>
          <cell r="U660">
            <v>0</v>
          </cell>
          <cell r="V660">
            <v>0</v>
          </cell>
          <cell r="W660">
            <v>0</v>
          </cell>
          <cell r="Y660">
            <v>0</v>
          </cell>
          <cell r="AA660">
            <v>0</v>
          </cell>
          <cell r="AJ660">
            <v>0</v>
          </cell>
          <cell r="AN660">
            <v>0</v>
          </cell>
          <cell r="AR660">
            <v>0</v>
          </cell>
          <cell r="AV660">
            <v>0</v>
          </cell>
          <cell r="AZ660">
            <v>0</v>
          </cell>
        </row>
        <row r="661">
          <cell r="Q661">
            <v>0</v>
          </cell>
          <cell r="S661">
            <v>0</v>
          </cell>
          <cell r="U661">
            <v>0</v>
          </cell>
          <cell r="V661">
            <v>0</v>
          </cell>
          <cell r="W661">
            <v>0</v>
          </cell>
          <cell r="Y661">
            <v>0</v>
          </cell>
          <cell r="AA661">
            <v>0</v>
          </cell>
          <cell r="AJ661">
            <v>0</v>
          </cell>
          <cell r="AN661">
            <v>0</v>
          </cell>
          <cell r="AR661">
            <v>0</v>
          </cell>
          <cell r="AV661">
            <v>0</v>
          </cell>
          <cell r="AZ661">
            <v>0</v>
          </cell>
        </row>
        <row r="662">
          <cell r="Q662">
            <v>0</v>
          </cell>
          <cell r="S662">
            <v>0</v>
          </cell>
          <cell r="U662">
            <v>0</v>
          </cell>
          <cell r="V662">
            <v>0</v>
          </cell>
          <cell r="W662">
            <v>0</v>
          </cell>
          <cell r="Y662">
            <v>0</v>
          </cell>
          <cell r="AA662">
            <v>0</v>
          </cell>
          <cell r="AJ662">
            <v>0</v>
          </cell>
          <cell r="AN662">
            <v>0</v>
          </cell>
          <cell r="AR662">
            <v>0</v>
          </cell>
          <cell r="AV662">
            <v>0</v>
          </cell>
          <cell r="AZ662">
            <v>0</v>
          </cell>
        </row>
        <row r="663">
          <cell r="Q663">
            <v>0</v>
          </cell>
          <cell r="S663">
            <v>0</v>
          </cell>
          <cell r="U663">
            <v>0</v>
          </cell>
          <cell r="V663">
            <v>0</v>
          </cell>
          <cell r="W663">
            <v>0</v>
          </cell>
          <cell r="Y663">
            <v>0</v>
          </cell>
          <cell r="AA663">
            <v>0</v>
          </cell>
          <cell r="AJ663">
            <v>0</v>
          </cell>
          <cell r="AN663">
            <v>0</v>
          </cell>
          <cell r="AR663">
            <v>0</v>
          </cell>
          <cell r="AV663">
            <v>0</v>
          </cell>
          <cell r="AZ663">
            <v>0</v>
          </cell>
        </row>
        <row r="664">
          <cell r="Q664">
            <v>280246.48</v>
          </cell>
          <cell r="S664">
            <v>0</v>
          </cell>
          <cell r="U664">
            <v>13157.17</v>
          </cell>
          <cell r="V664">
            <v>13157.17</v>
          </cell>
          <cell r="W664">
            <v>300828.67</v>
          </cell>
          <cell r="Y664">
            <v>300828.67</v>
          </cell>
          <cell r="AA664">
            <v>894836.43</v>
          </cell>
          <cell r="AJ664">
            <v>1860530.0891666666</v>
          </cell>
          <cell r="AN664">
            <v>1778381.4054166668</v>
          </cell>
          <cell r="AR664">
            <v>1119515.5804166668</v>
          </cell>
          <cell r="AV664">
            <v>337236.3775</v>
          </cell>
          <cell r="AZ664">
            <v>300560.92125000001</v>
          </cell>
        </row>
        <row r="665">
          <cell r="Q665">
            <v>0</v>
          </cell>
          <cell r="S665">
            <v>0</v>
          </cell>
          <cell r="U665">
            <v>0</v>
          </cell>
          <cell r="V665">
            <v>0</v>
          </cell>
          <cell r="W665">
            <v>0</v>
          </cell>
          <cell r="Y665">
            <v>0</v>
          </cell>
          <cell r="AA665">
            <v>0</v>
          </cell>
          <cell r="AJ665">
            <v>0</v>
          </cell>
          <cell r="AN665">
            <v>0</v>
          </cell>
          <cell r="AR665">
            <v>0</v>
          </cell>
          <cell r="AV665">
            <v>0</v>
          </cell>
          <cell r="AZ665">
            <v>0</v>
          </cell>
        </row>
        <row r="666">
          <cell r="Q666">
            <v>0</v>
          </cell>
          <cell r="S666">
            <v>0</v>
          </cell>
          <cell r="U666">
            <v>0</v>
          </cell>
          <cell r="V666">
            <v>0</v>
          </cell>
          <cell r="W666">
            <v>0</v>
          </cell>
          <cell r="Y666">
            <v>0</v>
          </cell>
          <cell r="AA666">
            <v>0</v>
          </cell>
          <cell r="AJ666">
            <v>0</v>
          </cell>
          <cell r="AN666">
            <v>0</v>
          </cell>
          <cell r="AR666">
            <v>0</v>
          </cell>
          <cell r="AV666">
            <v>0</v>
          </cell>
          <cell r="AZ666">
            <v>0</v>
          </cell>
        </row>
        <row r="667">
          <cell r="Q667">
            <v>0</v>
          </cell>
          <cell r="S667">
            <v>0</v>
          </cell>
          <cell r="U667">
            <v>0</v>
          </cell>
          <cell r="V667">
            <v>0</v>
          </cell>
          <cell r="W667">
            <v>0</v>
          </cell>
          <cell r="Y667">
            <v>0</v>
          </cell>
          <cell r="AA667">
            <v>0</v>
          </cell>
          <cell r="AJ667">
            <v>0</v>
          </cell>
          <cell r="AN667">
            <v>0</v>
          </cell>
          <cell r="AR667">
            <v>0</v>
          </cell>
          <cell r="AV667">
            <v>0</v>
          </cell>
          <cell r="AZ667">
            <v>0</v>
          </cell>
        </row>
        <row r="668">
          <cell r="Q668">
            <v>0</v>
          </cell>
          <cell r="S668">
            <v>0</v>
          </cell>
          <cell r="U668">
            <v>0</v>
          </cell>
          <cell r="V668">
            <v>0</v>
          </cell>
          <cell r="W668">
            <v>0</v>
          </cell>
          <cell r="Y668">
            <v>0</v>
          </cell>
          <cell r="AA668">
            <v>0</v>
          </cell>
          <cell r="AJ668">
            <v>0</v>
          </cell>
          <cell r="AN668">
            <v>0</v>
          </cell>
          <cell r="AR668">
            <v>0</v>
          </cell>
          <cell r="AV668">
            <v>0</v>
          </cell>
          <cell r="AZ668">
            <v>0</v>
          </cell>
        </row>
        <row r="669">
          <cell r="AJ669">
            <v>0</v>
          </cell>
          <cell r="AN669">
            <v>0</v>
          </cell>
          <cell r="AR669">
            <v>0</v>
          </cell>
          <cell r="AV669">
            <v>0</v>
          </cell>
          <cell r="AZ669">
            <v>0</v>
          </cell>
        </row>
        <row r="670">
          <cell r="Q670">
            <v>0</v>
          </cell>
          <cell r="S670">
            <v>0</v>
          </cell>
          <cell r="U670">
            <v>0</v>
          </cell>
          <cell r="V670">
            <v>0</v>
          </cell>
          <cell r="W670">
            <v>0</v>
          </cell>
          <cell r="Y670">
            <v>0</v>
          </cell>
          <cell r="AA670">
            <v>0</v>
          </cell>
          <cell r="AJ670">
            <v>0</v>
          </cell>
          <cell r="AN670">
            <v>0</v>
          </cell>
          <cell r="AR670">
            <v>0</v>
          </cell>
          <cell r="AV670">
            <v>0</v>
          </cell>
          <cell r="AZ670">
            <v>0</v>
          </cell>
        </row>
        <row r="671">
          <cell r="Q671">
            <v>0</v>
          </cell>
          <cell r="S671">
            <v>0</v>
          </cell>
          <cell r="U671">
            <v>0</v>
          </cell>
          <cell r="V671">
            <v>0</v>
          </cell>
          <cell r="W671">
            <v>0</v>
          </cell>
          <cell r="Y671">
            <v>0</v>
          </cell>
          <cell r="AA671">
            <v>0</v>
          </cell>
          <cell r="AJ671">
            <v>0</v>
          </cell>
          <cell r="AN671">
            <v>0</v>
          </cell>
          <cell r="AR671">
            <v>0</v>
          </cell>
          <cell r="AV671">
            <v>0</v>
          </cell>
          <cell r="AZ671">
            <v>0</v>
          </cell>
        </row>
        <row r="672">
          <cell r="Q672">
            <v>0</v>
          </cell>
          <cell r="S672">
            <v>0</v>
          </cell>
          <cell r="U672">
            <v>0</v>
          </cell>
          <cell r="V672">
            <v>0</v>
          </cell>
          <cell r="W672">
            <v>0</v>
          </cell>
          <cell r="Y672">
            <v>0</v>
          </cell>
          <cell r="AA672">
            <v>0</v>
          </cell>
          <cell r="AJ672">
            <v>0</v>
          </cell>
          <cell r="AN672">
            <v>0</v>
          </cell>
          <cell r="AR672">
            <v>0</v>
          </cell>
          <cell r="AV672">
            <v>0</v>
          </cell>
          <cell r="AZ672">
            <v>0</v>
          </cell>
        </row>
        <row r="673">
          <cell r="U673">
            <v>0</v>
          </cell>
          <cell r="V673">
            <v>0</v>
          </cell>
          <cell r="W673">
            <v>0</v>
          </cell>
          <cell r="Y673">
            <v>0</v>
          </cell>
          <cell r="AA673">
            <v>0</v>
          </cell>
          <cell r="AJ673">
            <v>0</v>
          </cell>
          <cell r="AN673">
            <v>0</v>
          </cell>
          <cell r="AR673">
            <v>0</v>
          </cell>
          <cell r="AV673">
            <v>0</v>
          </cell>
          <cell r="AZ673">
            <v>0</v>
          </cell>
        </row>
        <row r="674">
          <cell r="U674">
            <v>0</v>
          </cell>
          <cell r="V674">
            <v>0</v>
          </cell>
          <cell r="W674">
            <v>0</v>
          </cell>
          <cell r="Y674">
            <v>0</v>
          </cell>
          <cell r="AA674">
            <v>0</v>
          </cell>
          <cell r="AJ674">
            <v>0</v>
          </cell>
          <cell r="AN674">
            <v>0</v>
          </cell>
          <cell r="AR674">
            <v>0</v>
          </cell>
          <cell r="AV674">
            <v>0</v>
          </cell>
          <cell r="AZ674">
            <v>0</v>
          </cell>
        </row>
        <row r="675">
          <cell r="Q675">
            <v>0</v>
          </cell>
          <cell r="S675">
            <v>0</v>
          </cell>
          <cell r="U675">
            <v>0</v>
          </cell>
          <cell r="V675">
            <v>0</v>
          </cell>
          <cell r="W675">
            <v>0</v>
          </cell>
          <cell r="Y675">
            <v>0</v>
          </cell>
          <cell r="AA675">
            <v>0</v>
          </cell>
          <cell r="AJ675">
            <v>0</v>
          </cell>
          <cell r="AN675">
            <v>0</v>
          </cell>
          <cell r="AR675">
            <v>0</v>
          </cell>
          <cell r="AV675">
            <v>0</v>
          </cell>
          <cell r="AZ675">
            <v>0</v>
          </cell>
        </row>
        <row r="676">
          <cell r="Q676">
            <v>0</v>
          </cell>
          <cell r="S676">
            <v>0</v>
          </cell>
          <cell r="U676">
            <v>0</v>
          </cell>
          <cell r="V676">
            <v>0</v>
          </cell>
          <cell r="W676">
            <v>0</v>
          </cell>
          <cell r="Y676">
            <v>0</v>
          </cell>
          <cell r="AA676">
            <v>0</v>
          </cell>
          <cell r="AJ676">
            <v>0</v>
          </cell>
          <cell r="AN676">
            <v>0</v>
          </cell>
          <cell r="AR676">
            <v>0</v>
          </cell>
          <cell r="AV676">
            <v>0</v>
          </cell>
          <cell r="AZ676">
            <v>0</v>
          </cell>
        </row>
        <row r="677">
          <cell r="Q677">
            <v>0</v>
          </cell>
          <cell r="S677">
            <v>0</v>
          </cell>
          <cell r="U677">
            <v>0</v>
          </cell>
          <cell r="V677">
            <v>0</v>
          </cell>
          <cell r="W677">
            <v>0</v>
          </cell>
          <cell r="Y677">
            <v>0</v>
          </cell>
          <cell r="AA677">
            <v>0</v>
          </cell>
          <cell r="AJ677">
            <v>0</v>
          </cell>
          <cell r="AN677">
            <v>0</v>
          </cell>
          <cell r="AR677">
            <v>0</v>
          </cell>
          <cell r="AV677">
            <v>0</v>
          </cell>
          <cell r="AZ677">
            <v>0</v>
          </cell>
        </row>
        <row r="678">
          <cell r="Q678">
            <v>0</v>
          </cell>
          <cell r="S678">
            <v>0</v>
          </cell>
          <cell r="U678">
            <v>0</v>
          </cell>
          <cell r="V678">
            <v>0</v>
          </cell>
          <cell r="W678">
            <v>0</v>
          </cell>
          <cell r="Y678">
            <v>0</v>
          </cell>
          <cell r="AA678">
            <v>0</v>
          </cell>
          <cell r="AJ678">
            <v>0</v>
          </cell>
          <cell r="AN678">
            <v>0</v>
          </cell>
          <cell r="AR678">
            <v>0</v>
          </cell>
          <cell r="AV678">
            <v>0</v>
          </cell>
          <cell r="AZ678">
            <v>0</v>
          </cell>
        </row>
        <row r="679">
          <cell r="Q679">
            <v>0</v>
          </cell>
          <cell r="S679">
            <v>0</v>
          </cell>
          <cell r="U679">
            <v>0</v>
          </cell>
          <cell r="V679">
            <v>0</v>
          </cell>
          <cell r="W679">
            <v>0</v>
          </cell>
          <cell r="Y679">
            <v>0</v>
          </cell>
          <cell r="AA679">
            <v>0</v>
          </cell>
          <cell r="AJ679">
            <v>0</v>
          </cell>
          <cell r="AN679">
            <v>0</v>
          </cell>
          <cell r="AR679">
            <v>0</v>
          </cell>
          <cell r="AV679">
            <v>0</v>
          </cell>
          <cell r="AZ679">
            <v>0</v>
          </cell>
        </row>
        <row r="680">
          <cell r="AJ680">
            <v>0</v>
          </cell>
          <cell r="AN680">
            <v>0</v>
          </cell>
          <cell r="AR680">
            <v>0</v>
          </cell>
          <cell r="AV680">
            <v>0</v>
          </cell>
          <cell r="AZ680">
            <v>0</v>
          </cell>
        </row>
        <row r="681">
          <cell r="V681">
            <v>0</v>
          </cell>
          <cell r="W681">
            <v>0</v>
          </cell>
          <cell r="Y681">
            <v>0</v>
          </cell>
          <cell r="AA681">
            <v>0</v>
          </cell>
          <cell r="AJ681">
            <v>0</v>
          </cell>
          <cell r="AN681">
            <v>0</v>
          </cell>
          <cell r="AR681">
            <v>0</v>
          </cell>
          <cell r="AV681">
            <v>0</v>
          </cell>
          <cell r="AZ681">
            <v>0</v>
          </cell>
        </row>
        <row r="682">
          <cell r="Q682">
            <v>0</v>
          </cell>
          <cell r="S682">
            <v>0</v>
          </cell>
          <cell r="U682">
            <v>0</v>
          </cell>
          <cell r="V682">
            <v>0</v>
          </cell>
          <cell r="W682">
            <v>0</v>
          </cell>
          <cell r="Y682">
            <v>0</v>
          </cell>
          <cell r="AA682">
            <v>0</v>
          </cell>
          <cell r="AJ682">
            <v>0</v>
          </cell>
          <cell r="AN682">
            <v>0</v>
          </cell>
          <cell r="AR682">
            <v>0</v>
          </cell>
          <cell r="AV682">
            <v>0</v>
          </cell>
          <cell r="AZ682">
            <v>0</v>
          </cell>
        </row>
        <row r="683">
          <cell r="Q683">
            <v>0</v>
          </cell>
          <cell r="S683">
            <v>0</v>
          </cell>
          <cell r="U683">
            <v>0</v>
          </cell>
          <cell r="V683">
            <v>0</v>
          </cell>
          <cell r="W683">
            <v>0</v>
          </cell>
          <cell r="Y683">
            <v>0</v>
          </cell>
          <cell r="AA683">
            <v>0</v>
          </cell>
          <cell r="AJ683">
            <v>0</v>
          </cell>
          <cell r="AN683">
            <v>0</v>
          </cell>
          <cell r="AR683">
            <v>0</v>
          </cell>
          <cell r="AV683">
            <v>0</v>
          </cell>
          <cell r="AZ683">
            <v>0</v>
          </cell>
        </row>
        <row r="684">
          <cell r="U684">
            <v>0</v>
          </cell>
          <cell r="V684">
            <v>0</v>
          </cell>
          <cell r="W684">
            <v>0</v>
          </cell>
          <cell r="Y684">
            <v>0</v>
          </cell>
          <cell r="AA684">
            <v>0</v>
          </cell>
          <cell r="AJ684">
            <v>0</v>
          </cell>
          <cell r="AN684">
            <v>-8.3333333333333339E-4</v>
          </cell>
          <cell r="AR684">
            <v>-8.3333333333333339E-4</v>
          </cell>
          <cell r="AV684">
            <v>-8.3333333333333339E-4</v>
          </cell>
          <cell r="AZ684">
            <v>0</v>
          </cell>
        </row>
        <row r="685">
          <cell r="U685">
            <v>0</v>
          </cell>
          <cell r="V685">
            <v>0</v>
          </cell>
          <cell r="W685">
            <v>0</v>
          </cell>
          <cell r="Y685">
            <v>0</v>
          </cell>
          <cell r="AA685">
            <v>0</v>
          </cell>
          <cell r="AJ685">
            <v>0</v>
          </cell>
          <cell r="AN685">
            <v>0</v>
          </cell>
          <cell r="AR685">
            <v>0</v>
          </cell>
          <cell r="AV685">
            <v>0</v>
          </cell>
          <cell r="AZ685">
            <v>0</v>
          </cell>
        </row>
        <row r="686">
          <cell r="AJ686">
            <v>0</v>
          </cell>
          <cell r="AN686">
            <v>0</v>
          </cell>
          <cell r="AR686">
            <v>0</v>
          </cell>
          <cell r="AV686">
            <v>0</v>
          </cell>
          <cell r="AZ686">
            <v>0</v>
          </cell>
        </row>
        <row r="687">
          <cell r="U687">
            <v>0</v>
          </cell>
          <cell r="V687">
            <v>0</v>
          </cell>
          <cell r="W687">
            <v>0</v>
          </cell>
          <cell r="Y687">
            <v>0</v>
          </cell>
          <cell r="AA687">
            <v>0</v>
          </cell>
          <cell r="AJ687">
            <v>0</v>
          </cell>
          <cell r="AN687">
            <v>0</v>
          </cell>
          <cell r="AR687">
            <v>0</v>
          </cell>
          <cell r="AV687">
            <v>0</v>
          </cell>
          <cell r="AZ687">
            <v>0</v>
          </cell>
        </row>
        <row r="688">
          <cell r="Q688">
            <v>-181737.81</v>
          </cell>
          <cell r="S688">
            <v>-139105.91</v>
          </cell>
          <cell r="U688">
            <v>-115941.8</v>
          </cell>
          <cell r="V688">
            <v>-108141.27</v>
          </cell>
          <cell r="W688">
            <v>-96681.95</v>
          </cell>
          <cell r="Y688">
            <v>-67247.8</v>
          </cell>
          <cell r="AA688">
            <v>165417.44</v>
          </cell>
          <cell r="AJ688">
            <v>-275805.30125000002</v>
          </cell>
          <cell r="AN688">
            <v>-215816.70041666669</v>
          </cell>
          <cell r="AR688">
            <v>-151713.74541666667</v>
          </cell>
          <cell r="AV688">
            <v>-30903.80666666666</v>
          </cell>
          <cell r="AZ688">
            <v>11065.838333333331</v>
          </cell>
        </row>
        <row r="689">
          <cell r="Q689">
            <v>0</v>
          </cell>
          <cell r="S689">
            <v>0</v>
          </cell>
          <cell r="U689">
            <v>0</v>
          </cell>
          <cell r="V689">
            <v>0</v>
          </cell>
          <cell r="W689">
            <v>0</v>
          </cell>
          <cell r="Y689">
            <v>0</v>
          </cell>
          <cell r="AA689">
            <v>0</v>
          </cell>
          <cell r="AJ689">
            <v>0</v>
          </cell>
          <cell r="AN689">
            <v>0</v>
          </cell>
          <cell r="AR689">
            <v>0</v>
          </cell>
          <cell r="AV689">
            <v>0</v>
          </cell>
          <cell r="AZ689">
            <v>0</v>
          </cell>
        </row>
        <row r="690">
          <cell r="Q690">
            <v>-133819.4</v>
          </cell>
          <cell r="S690">
            <v>-138237.42000000001</v>
          </cell>
          <cell r="U690">
            <v>-160852.03</v>
          </cell>
          <cell r="V690">
            <v>-166540.26999999999</v>
          </cell>
          <cell r="W690">
            <v>-166710.67000000001</v>
          </cell>
          <cell r="Y690">
            <v>-167979.4</v>
          </cell>
          <cell r="AA690">
            <v>-178040.23</v>
          </cell>
          <cell r="AJ690">
            <v>-142514.95541666666</v>
          </cell>
          <cell r="AN690">
            <v>-156222.61166666666</v>
          </cell>
          <cell r="AR690">
            <v>-157032.76874999999</v>
          </cell>
          <cell r="AV690">
            <v>-160888.80666666664</v>
          </cell>
          <cell r="AZ690">
            <v>-164889.73916666664</v>
          </cell>
        </row>
        <row r="691">
          <cell r="Q691">
            <v>794520.81</v>
          </cell>
          <cell r="S691">
            <v>905064.48</v>
          </cell>
          <cell r="U691">
            <v>834578.75</v>
          </cell>
          <cell r="V691">
            <v>1080839.53</v>
          </cell>
          <cell r="W691">
            <v>1124580.44</v>
          </cell>
          <cell r="Y691">
            <v>848499.84</v>
          </cell>
          <cell r="AA691">
            <v>1229706.77</v>
          </cell>
          <cell r="AJ691">
            <v>594684.0591666667</v>
          </cell>
          <cell r="AN691">
            <v>706758.59125000006</v>
          </cell>
          <cell r="AR691">
            <v>868891.74208333332</v>
          </cell>
          <cell r="AV691">
            <v>1011369.1666666666</v>
          </cell>
          <cell r="AZ691">
            <v>1048668.5637499997</v>
          </cell>
        </row>
        <row r="692">
          <cell r="Q692">
            <v>0</v>
          </cell>
          <cell r="S692">
            <v>0</v>
          </cell>
          <cell r="U692">
            <v>0</v>
          </cell>
          <cell r="V692">
            <v>0</v>
          </cell>
          <cell r="W692">
            <v>0</v>
          </cell>
          <cell r="Y692">
            <v>0</v>
          </cell>
          <cell r="AA692">
            <v>0</v>
          </cell>
          <cell r="AJ692">
            <v>3585.2754166666668</v>
          </cell>
          <cell r="AN692">
            <v>1378.9520833333333</v>
          </cell>
          <cell r="AR692">
            <v>0</v>
          </cell>
          <cell r="AV692">
            <v>0</v>
          </cell>
          <cell r="AZ692">
            <v>0</v>
          </cell>
        </row>
        <row r="693">
          <cell r="Q693">
            <v>0</v>
          </cell>
          <cell r="S693">
            <v>0</v>
          </cell>
          <cell r="U693">
            <v>0</v>
          </cell>
          <cell r="V693">
            <v>0</v>
          </cell>
          <cell r="W693">
            <v>0</v>
          </cell>
          <cell r="Y693">
            <v>0</v>
          </cell>
          <cell r="AA693">
            <v>0</v>
          </cell>
          <cell r="AJ693">
            <v>0</v>
          </cell>
          <cell r="AN693">
            <v>0</v>
          </cell>
          <cell r="AR693">
            <v>0</v>
          </cell>
          <cell r="AV693">
            <v>0</v>
          </cell>
          <cell r="AZ693">
            <v>0</v>
          </cell>
        </row>
        <row r="694">
          <cell r="Q694">
            <v>1782908.49</v>
          </cell>
          <cell r="S694">
            <v>1654394.68</v>
          </cell>
          <cell r="U694">
            <v>1436041.32</v>
          </cell>
          <cell r="V694">
            <v>1460434.22</v>
          </cell>
          <cell r="W694">
            <v>1763383.43</v>
          </cell>
          <cell r="Y694">
            <v>1874577.11</v>
          </cell>
          <cell r="AA694">
            <v>2033020.38</v>
          </cell>
          <cell r="AJ694">
            <v>1313566.2558333336</v>
          </cell>
          <cell r="AN694">
            <v>1468877.4891666668</v>
          </cell>
          <cell r="AR694">
            <v>1558324.3629166668</v>
          </cell>
          <cell r="AV694">
            <v>1689320.79375</v>
          </cell>
          <cell r="AZ694">
            <v>1787288.6450000003</v>
          </cell>
        </row>
        <row r="695">
          <cell r="Q695">
            <v>0</v>
          </cell>
          <cell r="S695">
            <v>0</v>
          </cell>
          <cell r="U695">
            <v>0</v>
          </cell>
          <cell r="V695">
            <v>31.38</v>
          </cell>
          <cell r="W695">
            <v>35.159999999999997</v>
          </cell>
          <cell r="Y695">
            <v>96.73</v>
          </cell>
          <cell r="AA695">
            <v>112.28</v>
          </cell>
          <cell r="AJ695">
            <v>62.30916666666667</v>
          </cell>
          <cell r="AN695">
            <v>62.30916666666667</v>
          </cell>
          <cell r="AR695">
            <v>66.192083333333343</v>
          </cell>
          <cell r="AV695">
            <v>47.966666666666669</v>
          </cell>
          <cell r="AZ695">
            <v>47.966666666666669</v>
          </cell>
        </row>
        <row r="696">
          <cell r="Q696">
            <v>0</v>
          </cell>
          <cell r="S696">
            <v>0</v>
          </cell>
          <cell r="U696">
            <v>0</v>
          </cell>
          <cell r="V696">
            <v>0</v>
          </cell>
          <cell r="W696">
            <v>0</v>
          </cell>
          <cell r="Y696">
            <v>0</v>
          </cell>
          <cell r="AA696">
            <v>0</v>
          </cell>
          <cell r="AJ696">
            <v>0</v>
          </cell>
          <cell r="AN696">
            <v>0</v>
          </cell>
          <cell r="AR696">
            <v>0</v>
          </cell>
          <cell r="AV696">
            <v>0</v>
          </cell>
          <cell r="AZ696">
            <v>0</v>
          </cell>
        </row>
        <row r="697">
          <cell r="Q697">
            <v>592135.01</v>
          </cell>
          <cell r="S697">
            <v>602375.77</v>
          </cell>
          <cell r="U697">
            <v>637567.55000000005</v>
          </cell>
          <cell r="V697">
            <v>637567.55000000005</v>
          </cell>
          <cell r="W697">
            <v>643221.56999999995</v>
          </cell>
          <cell r="Y697">
            <v>654510.18000000005</v>
          </cell>
          <cell r="AA697">
            <v>665123.59</v>
          </cell>
          <cell r="AJ697">
            <v>460101.34749999997</v>
          </cell>
          <cell r="AN697">
            <v>545784.68125000002</v>
          </cell>
          <cell r="AR697">
            <v>604014.24916666665</v>
          </cell>
          <cell r="AV697">
            <v>640200.6316666666</v>
          </cell>
          <cell r="AZ697">
            <v>657144.29749999999</v>
          </cell>
        </row>
        <row r="698">
          <cell r="Q698">
            <v>0</v>
          </cell>
          <cell r="S698">
            <v>0</v>
          </cell>
          <cell r="U698">
            <v>0</v>
          </cell>
          <cell r="V698">
            <v>0</v>
          </cell>
          <cell r="W698">
            <v>0</v>
          </cell>
          <cell r="Y698">
            <v>0</v>
          </cell>
          <cell r="AA698">
            <v>0</v>
          </cell>
          <cell r="AJ698">
            <v>0</v>
          </cell>
          <cell r="AN698">
            <v>0</v>
          </cell>
          <cell r="AR698">
            <v>0</v>
          </cell>
          <cell r="AV698">
            <v>0</v>
          </cell>
          <cell r="AZ698">
            <v>0</v>
          </cell>
        </row>
        <row r="699">
          <cell r="Q699">
            <v>8751.11</v>
          </cell>
          <cell r="S699">
            <v>9139.67</v>
          </cell>
          <cell r="U699">
            <v>9377.3700000000008</v>
          </cell>
          <cell r="V699">
            <v>8989.4699999999993</v>
          </cell>
          <cell r="W699">
            <v>8827.93</v>
          </cell>
          <cell r="Y699">
            <v>9165.18</v>
          </cell>
          <cell r="AA699">
            <v>10515.9</v>
          </cell>
          <cell r="AJ699">
            <v>7810.3962500000007</v>
          </cell>
          <cell r="AN699">
            <v>7878.9070833333326</v>
          </cell>
          <cell r="AR699">
            <v>8963.5249999999996</v>
          </cell>
          <cell r="AV699">
            <v>8996.7762500000008</v>
          </cell>
          <cell r="AZ699">
            <v>8859.9125000000004</v>
          </cell>
        </row>
        <row r="700">
          <cell r="Q700">
            <v>0</v>
          </cell>
          <cell r="S700">
            <v>0</v>
          </cell>
          <cell r="U700">
            <v>0</v>
          </cell>
          <cell r="V700">
            <v>0</v>
          </cell>
          <cell r="W700">
            <v>0</v>
          </cell>
          <cell r="Y700">
            <v>0</v>
          </cell>
          <cell r="AA700">
            <v>0</v>
          </cell>
          <cell r="AJ700">
            <v>0</v>
          </cell>
          <cell r="AN700">
            <v>0</v>
          </cell>
          <cell r="AR700">
            <v>0</v>
          </cell>
          <cell r="AV700">
            <v>0</v>
          </cell>
          <cell r="AZ700">
            <v>0</v>
          </cell>
        </row>
        <row r="701">
          <cell r="Q701">
            <v>0</v>
          </cell>
          <cell r="S701">
            <v>0</v>
          </cell>
          <cell r="U701">
            <v>0</v>
          </cell>
          <cell r="V701">
            <v>0</v>
          </cell>
          <cell r="W701">
            <v>0</v>
          </cell>
          <cell r="Y701">
            <v>0</v>
          </cell>
          <cell r="AA701">
            <v>0</v>
          </cell>
          <cell r="AJ701">
            <v>0</v>
          </cell>
          <cell r="AN701">
            <v>0</v>
          </cell>
          <cell r="AR701">
            <v>0</v>
          </cell>
          <cell r="AV701">
            <v>0</v>
          </cell>
          <cell r="AZ701">
            <v>0</v>
          </cell>
        </row>
        <row r="702">
          <cell r="Q702">
            <v>0</v>
          </cell>
          <cell r="S702">
            <v>0</v>
          </cell>
          <cell r="U702">
            <v>0</v>
          </cell>
          <cell r="V702">
            <v>0</v>
          </cell>
          <cell r="W702">
            <v>0</v>
          </cell>
          <cell r="Y702">
            <v>0</v>
          </cell>
          <cell r="AA702">
            <v>0</v>
          </cell>
          <cell r="AJ702">
            <v>985.87250000000006</v>
          </cell>
          <cell r="AN702">
            <v>31.891666666666666</v>
          </cell>
          <cell r="AR702">
            <v>10.554583333333332</v>
          </cell>
          <cell r="AV702">
            <v>0</v>
          </cell>
          <cell r="AZ702">
            <v>0</v>
          </cell>
        </row>
        <row r="703">
          <cell r="Q703">
            <v>0</v>
          </cell>
          <cell r="S703">
            <v>295.95999999999998</v>
          </cell>
          <cell r="U703">
            <v>480.76</v>
          </cell>
          <cell r="V703">
            <v>667.77</v>
          </cell>
          <cell r="W703">
            <v>704.77</v>
          </cell>
          <cell r="Y703">
            <v>805.6</v>
          </cell>
          <cell r="AA703">
            <v>1187.45</v>
          </cell>
          <cell r="AJ703">
            <v>1227.8641666666665</v>
          </cell>
          <cell r="AN703">
            <v>1147.9595833333333</v>
          </cell>
          <cell r="AR703">
            <v>975.76749999999993</v>
          </cell>
          <cell r="AV703">
            <v>738.89666666666665</v>
          </cell>
          <cell r="AZ703">
            <v>928.01458333333323</v>
          </cell>
        </row>
        <row r="704">
          <cell r="Q704">
            <v>0</v>
          </cell>
          <cell r="S704">
            <v>0</v>
          </cell>
          <cell r="U704">
            <v>0</v>
          </cell>
          <cell r="V704">
            <v>0</v>
          </cell>
          <cell r="W704">
            <v>0</v>
          </cell>
          <cell r="Y704">
            <v>0</v>
          </cell>
          <cell r="AA704">
            <v>0</v>
          </cell>
          <cell r="AJ704">
            <v>0</v>
          </cell>
          <cell r="AN704">
            <v>0</v>
          </cell>
          <cell r="AR704">
            <v>0</v>
          </cell>
          <cell r="AV704">
            <v>0</v>
          </cell>
          <cell r="AZ704">
            <v>0</v>
          </cell>
        </row>
        <row r="705">
          <cell r="Q705">
            <v>-2213374.15</v>
          </cell>
          <cell r="S705">
            <v>639002.30000000005</v>
          </cell>
          <cell r="U705">
            <v>547530.06999999995</v>
          </cell>
          <cell r="V705">
            <v>53264.31</v>
          </cell>
          <cell r="W705">
            <v>-124317.97</v>
          </cell>
          <cell r="Y705">
            <v>1456083.57</v>
          </cell>
          <cell r="AA705">
            <v>2545685.83</v>
          </cell>
          <cell r="AJ705">
            <v>369644.56791666662</v>
          </cell>
          <cell r="AN705">
            <v>-984665.41958333331</v>
          </cell>
          <cell r="AR705">
            <v>-669042.84333333338</v>
          </cell>
          <cell r="AV705">
            <v>976216.4029166667</v>
          </cell>
          <cell r="AZ705">
            <v>3833450.6929166671</v>
          </cell>
        </row>
        <row r="706">
          <cell r="Q706">
            <v>463289.26</v>
          </cell>
          <cell r="S706">
            <v>692564.94</v>
          </cell>
          <cell r="U706">
            <v>708659.55</v>
          </cell>
          <cell r="V706">
            <v>723098.56</v>
          </cell>
          <cell r="W706">
            <v>692691.08</v>
          </cell>
          <cell r="Y706">
            <v>711480.77</v>
          </cell>
          <cell r="AA706">
            <v>298356.46999999997</v>
          </cell>
          <cell r="AJ706">
            <v>2377012.2912500002</v>
          </cell>
          <cell r="AN706">
            <v>1541144.6366666667</v>
          </cell>
          <cell r="AR706">
            <v>704978.34458333335</v>
          </cell>
          <cell r="AV706">
            <v>533818.1825</v>
          </cell>
          <cell r="AZ706">
            <v>373564.38250000001</v>
          </cell>
        </row>
        <row r="707">
          <cell r="Q707">
            <v>2213374.15</v>
          </cell>
          <cell r="S707">
            <v>-639002.30000000005</v>
          </cell>
          <cell r="U707">
            <v>-547530.06999999995</v>
          </cell>
          <cell r="V707">
            <v>-53264.31</v>
          </cell>
          <cell r="W707">
            <v>124317.97</v>
          </cell>
          <cell r="Y707">
            <v>-1456083.57</v>
          </cell>
          <cell r="AA707">
            <v>-2545685.83</v>
          </cell>
          <cell r="AJ707">
            <v>-369644.56791666662</v>
          </cell>
          <cell r="AN707">
            <v>984665.41958333331</v>
          </cell>
          <cell r="AR707">
            <v>669042.84333333338</v>
          </cell>
          <cell r="AV707">
            <v>-976216.4029166667</v>
          </cell>
          <cell r="AZ707">
            <v>-3833450.6929166671</v>
          </cell>
        </row>
        <row r="708">
          <cell r="Q708">
            <v>102044.65</v>
          </cell>
          <cell r="S708">
            <v>93540.97</v>
          </cell>
          <cell r="U708">
            <v>85037.29</v>
          </cell>
          <cell r="V708">
            <v>80785.45</v>
          </cell>
          <cell r="W708">
            <v>76533.61</v>
          </cell>
          <cell r="Y708">
            <v>68029.929999999993</v>
          </cell>
          <cell r="AA708">
            <v>59526.25</v>
          </cell>
          <cell r="AJ708">
            <v>127555.68999999999</v>
          </cell>
          <cell r="AN708">
            <v>110548.33</v>
          </cell>
          <cell r="AR708">
            <v>93540.969999999987</v>
          </cell>
          <cell r="AV708">
            <v>76533.61</v>
          </cell>
          <cell r="AZ708">
            <v>59526.25</v>
          </cell>
        </row>
        <row r="709">
          <cell r="Q709">
            <v>0</v>
          </cell>
          <cell r="S709">
            <v>0</v>
          </cell>
          <cell r="U709">
            <v>0</v>
          </cell>
          <cell r="V709">
            <v>0</v>
          </cell>
          <cell r="W709">
            <v>0</v>
          </cell>
          <cell r="Y709">
            <v>0</v>
          </cell>
          <cell r="AA709">
            <v>0</v>
          </cell>
          <cell r="AJ709">
            <v>0</v>
          </cell>
          <cell r="AN709">
            <v>0</v>
          </cell>
          <cell r="AR709">
            <v>0</v>
          </cell>
          <cell r="AV709">
            <v>0</v>
          </cell>
          <cell r="AZ709">
            <v>0</v>
          </cell>
        </row>
        <row r="710">
          <cell r="Q710">
            <v>798675.66</v>
          </cell>
          <cell r="S710">
            <v>0</v>
          </cell>
          <cell r="U710">
            <v>0</v>
          </cell>
          <cell r="V710">
            <v>0</v>
          </cell>
          <cell r="W710">
            <v>0</v>
          </cell>
          <cell r="Y710">
            <v>0</v>
          </cell>
          <cell r="AA710">
            <v>0</v>
          </cell>
          <cell r="AJ710">
            <v>36848.425000000003</v>
          </cell>
          <cell r="AN710">
            <v>66556.305000000008</v>
          </cell>
          <cell r="AR710">
            <v>66556.305000000008</v>
          </cell>
          <cell r="AV710">
            <v>33278.152500000004</v>
          </cell>
          <cell r="AZ710">
            <v>0</v>
          </cell>
        </row>
        <row r="711">
          <cell r="Q711">
            <v>0</v>
          </cell>
          <cell r="S711">
            <v>0</v>
          </cell>
          <cell r="U711">
            <v>0</v>
          </cell>
          <cell r="V711">
            <v>0</v>
          </cell>
          <cell r="W711">
            <v>0</v>
          </cell>
          <cell r="Y711">
            <v>0</v>
          </cell>
          <cell r="AA711">
            <v>0</v>
          </cell>
          <cell r="AJ711">
            <v>0</v>
          </cell>
          <cell r="AN711">
            <v>0</v>
          </cell>
          <cell r="AR711">
            <v>0</v>
          </cell>
          <cell r="AV711">
            <v>0</v>
          </cell>
          <cell r="AZ711">
            <v>0</v>
          </cell>
        </row>
        <row r="712">
          <cell r="Q712">
            <v>22434.03</v>
          </cell>
          <cell r="S712">
            <v>0</v>
          </cell>
          <cell r="U712">
            <v>0</v>
          </cell>
          <cell r="V712">
            <v>0</v>
          </cell>
          <cell r="W712">
            <v>0</v>
          </cell>
          <cell r="Y712">
            <v>0</v>
          </cell>
          <cell r="AA712">
            <v>0</v>
          </cell>
          <cell r="AJ712">
            <v>22434.03</v>
          </cell>
          <cell r="AN712">
            <v>15890.77125</v>
          </cell>
          <cell r="AR712">
            <v>8412.7612499999996</v>
          </cell>
          <cell r="AV712">
            <v>934.75124999999991</v>
          </cell>
          <cell r="AZ712">
            <v>0</v>
          </cell>
        </row>
        <row r="713">
          <cell r="Q713">
            <v>11658.25</v>
          </cell>
          <cell r="S713">
            <v>11658.25</v>
          </cell>
          <cell r="U713">
            <v>11788.75</v>
          </cell>
          <cell r="V713">
            <v>12658.75</v>
          </cell>
          <cell r="W713">
            <v>12651.14</v>
          </cell>
          <cell r="Y713">
            <v>12651.14</v>
          </cell>
          <cell r="AA713">
            <v>12651.14</v>
          </cell>
          <cell r="AJ713">
            <v>11632.4625</v>
          </cell>
          <cell r="AN713">
            <v>11663.6875</v>
          </cell>
          <cell r="AR713">
            <v>11959.352083333333</v>
          </cell>
          <cell r="AV713">
            <v>12290.315416666666</v>
          </cell>
          <cell r="AZ713">
            <v>12615.841249999999</v>
          </cell>
        </row>
        <row r="714">
          <cell r="Q714">
            <v>0</v>
          </cell>
          <cell r="S714">
            <v>0</v>
          </cell>
          <cell r="U714">
            <v>0</v>
          </cell>
          <cell r="V714">
            <v>0</v>
          </cell>
          <cell r="W714">
            <v>0</v>
          </cell>
          <cell r="Y714">
            <v>0</v>
          </cell>
          <cell r="AA714">
            <v>0</v>
          </cell>
          <cell r="AJ714">
            <v>19799.767083333332</v>
          </cell>
          <cell r="AN714">
            <v>21777.313749999998</v>
          </cell>
          <cell r="AR714">
            <v>15945.612083333333</v>
          </cell>
          <cell r="AV714">
            <v>0</v>
          </cell>
          <cell r="AZ714">
            <v>0</v>
          </cell>
        </row>
        <row r="715">
          <cell r="Q715">
            <v>0</v>
          </cell>
          <cell r="S715">
            <v>0</v>
          </cell>
          <cell r="U715">
            <v>0</v>
          </cell>
          <cell r="V715">
            <v>0</v>
          </cell>
          <cell r="W715">
            <v>0</v>
          </cell>
          <cell r="Y715">
            <v>0</v>
          </cell>
          <cell r="AA715">
            <v>0</v>
          </cell>
          <cell r="AJ715">
            <v>-115673.91666666667</v>
          </cell>
          <cell r="AN715">
            <v>-142577.54166666666</v>
          </cell>
          <cell r="AR715">
            <v>-179611.16666666666</v>
          </cell>
          <cell r="AV715">
            <v>0</v>
          </cell>
          <cell r="AZ715">
            <v>0</v>
          </cell>
        </row>
        <row r="716">
          <cell r="Q716">
            <v>0</v>
          </cell>
          <cell r="S716">
            <v>0</v>
          </cell>
          <cell r="U716">
            <v>0</v>
          </cell>
          <cell r="V716">
            <v>0</v>
          </cell>
          <cell r="W716">
            <v>0</v>
          </cell>
          <cell r="Y716">
            <v>0</v>
          </cell>
          <cell r="AA716">
            <v>0</v>
          </cell>
          <cell r="AJ716">
            <v>149306.22666666668</v>
          </cell>
          <cell r="AN716">
            <v>149306.22666666668</v>
          </cell>
          <cell r="AR716">
            <v>98617.108333333337</v>
          </cell>
          <cell r="AV716">
            <v>0</v>
          </cell>
          <cell r="AZ716">
            <v>0</v>
          </cell>
        </row>
        <row r="717">
          <cell r="Q717">
            <v>0</v>
          </cell>
          <cell r="S717">
            <v>0</v>
          </cell>
          <cell r="U717">
            <v>0</v>
          </cell>
          <cell r="V717">
            <v>0</v>
          </cell>
          <cell r="W717">
            <v>0</v>
          </cell>
          <cell r="Y717">
            <v>0</v>
          </cell>
          <cell r="AA717">
            <v>0</v>
          </cell>
          <cell r="AJ717">
            <v>0</v>
          </cell>
          <cell r="AN717">
            <v>0</v>
          </cell>
          <cell r="AR717">
            <v>0</v>
          </cell>
          <cell r="AV717">
            <v>0</v>
          </cell>
          <cell r="AZ717">
            <v>0</v>
          </cell>
        </row>
        <row r="718">
          <cell r="Q718">
            <v>0</v>
          </cell>
          <cell r="S718">
            <v>0</v>
          </cell>
          <cell r="U718">
            <v>0</v>
          </cell>
          <cell r="V718">
            <v>0</v>
          </cell>
          <cell r="W718">
            <v>0</v>
          </cell>
          <cell r="Y718">
            <v>0</v>
          </cell>
          <cell r="AA718">
            <v>0</v>
          </cell>
          <cell r="AJ718">
            <v>1832.9875</v>
          </cell>
          <cell r="AN718">
            <v>0</v>
          </cell>
          <cell r="AR718">
            <v>0</v>
          </cell>
          <cell r="AV718">
            <v>0</v>
          </cell>
          <cell r="AZ718">
            <v>0</v>
          </cell>
        </row>
        <row r="719">
          <cell r="U719">
            <v>30871.599999999999</v>
          </cell>
          <cell r="V719">
            <v>31131.599999999999</v>
          </cell>
          <cell r="W719">
            <v>32709.29</v>
          </cell>
          <cell r="Y719">
            <v>32709.29</v>
          </cell>
          <cell r="AA719">
            <v>32709.29</v>
          </cell>
          <cell r="AJ719">
            <v>0</v>
          </cell>
          <cell r="AN719">
            <v>1286.3166666666666</v>
          </cell>
          <cell r="AR719">
            <v>11981.36875</v>
          </cell>
          <cell r="AV719">
            <v>18795.804166666669</v>
          </cell>
          <cell r="AZ719">
            <v>17509.487499999999</v>
          </cell>
        </row>
        <row r="720">
          <cell r="Q720">
            <v>776937</v>
          </cell>
          <cell r="S720">
            <v>3204944</v>
          </cell>
          <cell r="U720">
            <v>5420862</v>
          </cell>
          <cell r="V720">
            <v>6389348</v>
          </cell>
          <cell r="W720">
            <v>7813631</v>
          </cell>
          <cell r="Y720">
            <v>10026908</v>
          </cell>
          <cell r="AA720">
            <v>12555698</v>
          </cell>
          <cell r="AJ720">
            <v>32372.375</v>
          </cell>
          <cell r="AN720">
            <v>1119225.4166666667</v>
          </cell>
          <cell r="AR720">
            <v>3689713</v>
          </cell>
          <cell r="AV720">
            <v>7825232.1987500004</v>
          </cell>
          <cell r="AZ720">
            <v>11606627.0625</v>
          </cell>
        </row>
        <row r="721">
          <cell r="AV721">
            <v>0</v>
          </cell>
          <cell r="AZ721">
            <v>17471.687083333334</v>
          </cell>
        </row>
        <row r="722">
          <cell r="Q722">
            <v>388283.25</v>
          </cell>
          <cell r="S722">
            <v>-808959.5</v>
          </cell>
          <cell r="U722">
            <v>-1982679.79</v>
          </cell>
          <cell r="V722">
            <v>-1447507.95</v>
          </cell>
          <cell r="W722">
            <v>-1206106.26</v>
          </cell>
          <cell r="Y722">
            <v>-4756866.12</v>
          </cell>
          <cell r="AA722">
            <v>-9842474.5399999991</v>
          </cell>
          <cell r="AJ722">
            <v>16178.46875</v>
          </cell>
          <cell r="AN722">
            <v>-206029.42541666667</v>
          </cell>
          <cell r="AR722">
            <v>-872575.56083333341</v>
          </cell>
          <cell r="AV722">
            <v>-4006478.8129166663</v>
          </cell>
          <cell r="AZ722">
            <v>-6705559.6654166663</v>
          </cell>
        </row>
        <row r="723">
          <cell r="Q723">
            <v>1869100</v>
          </cell>
          <cell r="S723">
            <v>6314899</v>
          </cell>
          <cell r="U723">
            <v>10924121</v>
          </cell>
          <cell r="V723">
            <v>13250447</v>
          </cell>
          <cell r="W723">
            <v>15607624</v>
          </cell>
          <cell r="Y723">
            <v>20405965</v>
          </cell>
          <cell r="AA723">
            <v>25310688</v>
          </cell>
          <cell r="AJ723">
            <v>77879.166666666672</v>
          </cell>
          <cell r="AN723">
            <v>2189491.9583333335</v>
          </cell>
          <cell r="AR723">
            <v>7399196.208333333</v>
          </cell>
          <cell r="AV723">
            <v>15757702.228333334</v>
          </cell>
          <cell r="AZ723">
            <v>23406796.093333334</v>
          </cell>
        </row>
        <row r="724">
          <cell r="Q724">
            <v>1461</v>
          </cell>
          <cell r="S724">
            <v>8936</v>
          </cell>
          <cell r="U724">
            <v>14202.55</v>
          </cell>
          <cell r="V724">
            <v>-37860.550000000003</v>
          </cell>
          <cell r="W724">
            <v>-49767.55</v>
          </cell>
          <cell r="Y724">
            <v>-94250.55</v>
          </cell>
          <cell r="AA724">
            <v>-236868.55</v>
          </cell>
          <cell r="AJ724">
            <v>60.875</v>
          </cell>
          <cell r="AN724">
            <v>1503.1895833333335</v>
          </cell>
          <cell r="AR724">
            <v>-14471.364583333334</v>
          </cell>
          <cell r="AV724">
            <v>-96509.621666666659</v>
          </cell>
          <cell r="AZ724">
            <v>-210974.65541666668</v>
          </cell>
        </row>
        <row r="725">
          <cell r="Q725">
            <v>0</v>
          </cell>
          <cell r="S725">
            <v>0</v>
          </cell>
          <cell r="U725">
            <v>0</v>
          </cell>
          <cell r="V725">
            <v>0</v>
          </cell>
          <cell r="W725">
            <v>0</v>
          </cell>
          <cell r="Y725">
            <v>0</v>
          </cell>
          <cell r="AA725">
            <v>0</v>
          </cell>
          <cell r="AJ725">
            <v>0</v>
          </cell>
          <cell r="AN725">
            <v>0</v>
          </cell>
          <cell r="AR725">
            <v>0</v>
          </cell>
          <cell r="AV725">
            <v>0</v>
          </cell>
          <cell r="AZ725">
            <v>0</v>
          </cell>
        </row>
        <row r="726">
          <cell r="Q726">
            <v>98430.78</v>
          </cell>
          <cell r="S726">
            <v>95255.6</v>
          </cell>
          <cell r="U726">
            <v>92080.42</v>
          </cell>
          <cell r="V726">
            <v>90492.83</v>
          </cell>
          <cell r="W726">
            <v>88905.24</v>
          </cell>
          <cell r="Y726">
            <v>85730.06</v>
          </cell>
          <cell r="AA726">
            <v>82554.880000000005</v>
          </cell>
          <cell r="AJ726">
            <v>107956.32</v>
          </cell>
          <cell r="AN726">
            <v>101605.95999999998</v>
          </cell>
          <cell r="AR726">
            <v>95255.60000000002</v>
          </cell>
          <cell r="AV726">
            <v>88905.239999999991</v>
          </cell>
          <cell r="AZ726">
            <v>82554.87999999999</v>
          </cell>
        </row>
        <row r="727">
          <cell r="Q727">
            <v>0</v>
          </cell>
          <cell r="S727">
            <v>0</v>
          </cell>
          <cell r="U727">
            <v>0</v>
          </cell>
          <cell r="V727">
            <v>0</v>
          </cell>
          <cell r="W727">
            <v>0</v>
          </cell>
          <cell r="Y727">
            <v>0</v>
          </cell>
          <cell r="AA727">
            <v>0</v>
          </cell>
          <cell r="AJ727">
            <v>0</v>
          </cell>
          <cell r="AN727">
            <v>0</v>
          </cell>
          <cell r="AR727">
            <v>0</v>
          </cell>
          <cell r="AV727">
            <v>0</v>
          </cell>
          <cell r="AZ727">
            <v>0</v>
          </cell>
        </row>
        <row r="728">
          <cell r="Q728">
            <v>0</v>
          </cell>
          <cell r="S728">
            <v>0</v>
          </cell>
          <cell r="U728">
            <v>0</v>
          </cell>
          <cell r="V728">
            <v>0</v>
          </cell>
          <cell r="W728">
            <v>0</v>
          </cell>
          <cell r="Y728">
            <v>0</v>
          </cell>
          <cell r="AA728">
            <v>0</v>
          </cell>
          <cell r="AJ728">
            <v>0</v>
          </cell>
          <cell r="AN728">
            <v>0</v>
          </cell>
          <cell r="AR728">
            <v>0</v>
          </cell>
          <cell r="AV728">
            <v>0</v>
          </cell>
          <cell r="AZ728">
            <v>0</v>
          </cell>
        </row>
        <row r="729">
          <cell r="Q729">
            <v>187702343</v>
          </cell>
          <cell r="S729">
            <v>216273451.66</v>
          </cell>
          <cell r="U729">
            <v>180889110.5</v>
          </cell>
          <cell r="V729">
            <v>142973845.94999999</v>
          </cell>
          <cell r="W729">
            <v>134036097.37</v>
          </cell>
          <cell r="Y729">
            <v>152013749.99000001</v>
          </cell>
          <cell r="AA729">
            <v>104442086.04000001</v>
          </cell>
          <cell r="AJ729">
            <v>-17315188.833333332</v>
          </cell>
          <cell r="AN729">
            <v>54937678.977499999</v>
          </cell>
          <cell r="AR729">
            <v>148261071.63874999</v>
          </cell>
          <cell r="AV729">
            <v>148088499.91458333</v>
          </cell>
          <cell r="AZ729">
            <v>114070411.33375001</v>
          </cell>
        </row>
        <row r="730">
          <cell r="Q730">
            <v>170476</v>
          </cell>
          <cell r="S730">
            <v>161952.20000000001</v>
          </cell>
          <cell r="U730">
            <v>153428.4</v>
          </cell>
          <cell r="V730">
            <v>149166.5</v>
          </cell>
          <cell r="W730">
            <v>144904.6</v>
          </cell>
          <cell r="Y730">
            <v>136380.79999999999</v>
          </cell>
          <cell r="AA730">
            <v>127857</v>
          </cell>
          <cell r="AJ730">
            <v>7103.166666666667</v>
          </cell>
          <cell r="AN730">
            <v>61087.23333333333</v>
          </cell>
          <cell r="AR730">
            <v>109388.76666666666</v>
          </cell>
          <cell r="AV730">
            <v>144904.6</v>
          </cell>
          <cell r="AZ730">
            <v>127857</v>
          </cell>
        </row>
        <row r="731">
          <cell r="Q731">
            <v>-484356</v>
          </cell>
          <cell r="S731">
            <v>-484356</v>
          </cell>
          <cell r="U731">
            <v>0</v>
          </cell>
          <cell r="V731">
            <v>0</v>
          </cell>
          <cell r="W731">
            <v>0</v>
          </cell>
          <cell r="Y731">
            <v>0</v>
          </cell>
          <cell r="AA731">
            <v>0</v>
          </cell>
          <cell r="AJ731">
            <v>-383455.83333333331</v>
          </cell>
          <cell r="AN731">
            <v>-484363.33333333331</v>
          </cell>
          <cell r="AR731">
            <v>-484363.33333333331</v>
          </cell>
          <cell r="AV731">
            <v>-100907.5</v>
          </cell>
          <cell r="AZ731">
            <v>0</v>
          </cell>
        </row>
        <row r="732">
          <cell r="W732">
            <v>1015374</v>
          </cell>
          <cell r="Y732">
            <v>1407006</v>
          </cell>
          <cell r="AA732">
            <v>1738116</v>
          </cell>
          <cell r="AJ732">
            <v>0</v>
          </cell>
          <cell r="AN732">
            <v>0</v>
          </cell>
          <cell r="AR732">
            <v>254884.41666666666</v>
          </cell>
          <cell r="AV732">
            <v>921579.125</v>
          </cell>
          <cell r="AZ732">
            <v>1920046.125</v>
          </cell>
        </row>
        <row r="733">
          <cell r="Q733">
            <v>9569652</v>
          </cell>
          <cell r="S733">
            <v>9569652</v>
          </cell>
          <cell r="U733">
            <v>9474576</v>
          </cell>
          <cell r="V733">
            <v>9474576</v>
          </cell>
          <cell r="W733">
            <v>9346571</v>
          </cell>
          <cell r="Y733">
            <v>9346571</v>
          </cell>
          <cell r="AA733">
            <v>9180611</v>
          </cell>
          <cell r="AJ733">
            <v>1914838.375</v>
          </cell>
          <cell r="AN733">
            <v>4524461.375</v>
          </cell>
          <cell r="AR733">
            <v>7123704.583333333</v>
          </cell>
          <cell r="AV733">
            <v>9370496.458333334</v>
          </cell>
          <cell r="AZ733">
            <v>9186160.625</v>
          </cell>
        </row>
        <row r="734">
          <cell r="Q734">
            <v>73864542</v>
          </cell>
          <cell r="S734">
            <v>73864542</v>
          </cell>
          <cell r="U734">
            <v>73078749</v>
          </cell>
          <cell r="V734">
            <v>73078749</v>
          </cell>
          <cell r="W734">
            <v>71870994</v>
          </cell>
          <cell r="Y734">
            <v>71870994</v>
          </cell>
          <cell r="AA734">
            <v>71352663</v>
          </cell>
          <cell r="AJ734">
            <v>3077689.25</v>
          </cell>
          <cell r="AN734">
            <v>27600979.125</v>
          </cell>
          <cell r="AR734">
            <v>51708946.5</v>
          </cell>
          <cell r="AV734">
            <v>72380202.541666672</v>
          </cell>
          <cell r="AZ734">
            <v>71021880.25</v>
          </cell>
        </row>
        <row r="735">
          <cell r="Q735">
            <v>0</v>
          </cell>
          <cell r="S735">
            <v>0</v>
          </cell>
          <cell r="U735">
            <v>0</v>
          </cell>
          <cell r="V735">
            <v>0</v>
          </cell>
          <cell r="W735">
            <v>0</v>
          </cell>
          <cell r="Y735">
            <v>0</v>
          </cell>
          <cell r="AA735">
            <v>0</v>
          </cell>
          <cell r="AJ735">
            <v>0</v>
          </cell>
          <cell r="AN735">
            <v>0</v>
          </cell>
          <cell r="AR735">
            <v>0</v>
          </cell>
          <cell r="AV735">
            <v>0</v>
          </cell>
          <cell r="AZ735">
            <v>0</v>
          </cell>
        </row>
        <row r="736">
          <cell r="AR736">
            <v>0</v>
          </cell>
          <cell r="AV736">
            <v>62062.5</v>
          </cell>
          <cell r="AZ736">
            <v>547660.66666666663</v>
          </cell>
        </row>
        <row r="737">
          <cell r="Q737">
            <v>0</v>
          </cell>
          <cell r="S737">
            <v>0</v>
          </cell>
          <cell r="U737">
            <v>0</v>
          </cell>
          <cell r="V737">
            <v>0</v>
          </cell>
          <cell r="W737">
            <v>0</v>
          </cell>
          <cell r="Y737">
            <v>0</v>
          </cell>
          <cell r="AA737">
            <v>0</v>
          </cell>
          <cell r="AJ737">
            <v>0</v>
          </cell>
          <cell r="AN737">
            <v>0</v>
          </cell>
          <cell r="AR737">
            <v>0</v>
          </cell>
          <cell r="AV737">
            <v>0</v>
          </cell>
          <cell r="AZ737">
            <v>0</v>
          </cell>
        </row>
        <row r="738">
          <cell r="AR738">
            <v>0</v>
          </cell>
          <cell r="AV738">
            <v>-19980.635416666668</v>
          </cell>
          <cell r="AZ738">
            <v>-246730.71166666667</v>
          </cell>
        </row>
        <row r="739">
          <cell r="AR739">
            <v>0</v>
          </cell>
          <cell r="AV739">
            <v>117323.875</v>
          </cell>
          <cell r="AZ739">
            <v>852310.08333333337</v>
          </cell>
        </row>
        <row r="740">
          <cell r="Q740">
            <v>9134.8700000000008</v>
          </cell>
          <cell r="S740">
            <v>0</v>
          </cell>
          <cell r="U740">
            <v>118965.5</v>
          </cell>
          <cell r="V740">
            <v>0</v>
          </cell>
          <cell r="W740">
            <v>0</v>
          </cell>
          <cell r="Y740">
            <v>0</v>
          </cell>
          <cell r="AA740">
            <v>0</v>
          </cell>
          <cell r="AJ740">
            <v>4013.8812499999999</v>
          </cell>
          <cell r="AN740">
            <v>10290.020833333334</v>
          </cell>
          <cell r="AR740">
            <v>14204.942083333333</v>
          </cell>
          <cell r="AV740">
            <v>11233.035416666668</v>
          </cell>
          <cell r="AZ740">
            <v>4956.895833333333</v>
          </cell>
        </row>
        <row r="741">
          <cell r="AR741">
            <v>0</v>
          </cell>
          <cell r="AV741">
            <v>17503.708333333332</v>
          </cell>
          <cell r="AZ741">
            <v>25183.916666666668</v>
          </cell>
        </row>
        <row r="742">
          <cell r="Q742">
            <v>9134.89</v>
          </cell>
          <cell r="S742">
            <v>0</v>
          </cell>
          <cell r="U742">
            <v>118965.5</v>
          </cell>
          <cell r="V742">
            <v>0</v>
          </cell>
          <cell r="W742">
            <v>0</v>
          </cell>
          <cell r="Y742">
            <v>0</v>
          </cell>
          <cell r="AA742">
            <v>0</v>
          </cell>
          <cell r="AJ742">
            <v>4013.8904166666666</v>
          </cell>
          <cell r="AN742">
            <v>10290.032499999999</v>
          </cell>
          <cell r="AR742">
            <v>14204.95125</v>
          </cell>
          <cell r="AV742">
            <v>11233.037916666666</v>
          </cell>
          <cell r="AZ742">
            <v>4956.895833333333</v>
          </cell>
        </row>
        <row r="743">
          <cell r="Q743">
            <v>8195.5499999999993</v>
          </cell>
          <cell r="S743">
            <v>0</v>
          </cell>
          <cell r="U743">
            <v>101965</v>
          </cell>
          <cell r="V743">
            <v>0</v>
          </cell>
          <cell r="W743">
            <v>0</v>
          </cell>
          <cell r="Y743">
            <v>0</v>
          </cell>
          <cell r="AA743">
            <v>0</v>
          </cell>
          <cell r="AJ743">
            <v>3604.1704166666673</v>
          </cell>
          <cell r="AN743">
            <v>9038.4150000000009</v>
          </cell>
          <cell r="AR743">
            <v>12351.407499999999</v>
          </cell>
          <cell r="AV743">
            <v>9682.7862499999992</v>
          </cell>
          <cell r="AZ743">
            <v>4248.541666666667</v>
          </cell>
        </row>
        <row r="744">
          <cell r="AR744">
            <v>0</v>
          </cell>
          <cell r="AV744">
            <v>-1691.1625000000001</v>
          </cell>
          <cell r="AZ744">
            <v>-5642.003333333334</v>
          </cell>
        </row>
        <row r="745">
          <cell r="Q745">
            <v>0</v>
          </cell>
          <cell r="S745">
            <v>0</v>
          </cell>
          <cell r="U745">
            <v>0</v>
          </cell>
          <cell r="V745">
            <v>0</v>
          </cell>
          <cell r="W745">
            <v>0</v>
          </cell>
          <cell r="Y745">
            <v>0</v>
          </cell>
          <cell r="AA745">
            <v>0</v>
          </cell>
          <cell r="AJ745">
            <v>0</v>
          </cell>
          <cell r="AN745">
            <v>0</v>
          </cell>
          <cell r="AR745">
            <v>0</v>
          </cell>
          <cell r="AV745">
            <v>0</v>
          </cell>
          <cell r="AZ745">
            <v>0</v>
          </cell>
        </row>
        <row r="746">
          <cell r="Q746">
            <v>0</v>
          </cell>
          <cell r="S746">
            <v>0</v>
          </cell>
          <cell r="U746">
            <v>0</v>
          </cell>
          <cell r="V746">
            <v>0</v>
          </cell>
          <cell r="W746">
            <v>0</v>
          </cell>
          <cell r="Y746">
            <v>0</v>
          </cell>
          <cell r="AA746">
            <v>0</v>
          </cell>
          <cell r="AJ746">
            <v>19670.1675</v>
          </cell>
          <cell r="AN746">
            <v>7965.6274999999987</v>
          </cell>
          <cell r="AR746">
            <v>1463.0874999999999</v>
          </cell>
          <cell r="AV746">
            <v>0</v>
          </cell>
          <cell r="AZ746">
            <v>0</v>
          </cell>
        </row>
        <row r="747">
          <cell r="U747">
            <v>3088604.12</v>
          </cell>
          <cell r="V747">
            <v>3151785.34</v>
          </cell>
          <cell r="W747">
            <v>3194992.75</v>
          </cell>
          <cell r="Y747">
            <v>3287566.47</v>
          </cell>
          <cell r="AA747">
            <v>3464602.06</v>
          </cell>
          <cell r="AJ747">
            <v>0</v>
          </cell>
          <cell r="AN747">
            <v>379913.15000000008</v>
          </cell>
          <cell r="AR747">
            <v>1445877.44625</v>
          </cell>
          <cell r="AV747">
            <v>2443726.0191666665</v>
          </cell>
          <cell r="AZ747">
            <v>2068560.3916666664</v>
          </cell>
        </row>
        <row r="748">
          <cell r="Q748">
            <v>0</v>
          </cell>
          <cell r="S748">
            <v>0</v>
          </cell>
          <cell r="U748">
            <v>0</v>
          </cell>
          <cell r="V748">
            <v>0</v>
          </cell>
          <cell r="W748">
            <v>0</v>
          </cell>
          <cell r="Y748">
            <v>0</v>
          </cell>
          <cell r="AA748">
            <v>0</v>
          </cell>
          <cell r="AJ748">
            <v>0</v>
          </cell>
          <cell r="AN748">
            <v>0</v>
          </cell>
          <cell r="AR748">
            <v>0</v>
          </cell>
          <cell r="AV748">
            <v>0</v>
          </cell>
          <cell r="AZ748">
            <v>0</v>
          </cell>
        </row>
        <row r="749">
          <cell r="U749">
            <v>441471.45</v>
          </cell>
          <cell r="V749">
            <v>490336.87</v>
          </cell>
          <cell r="W749">
            <v>462833.2</v>
          </cell>
          <cell r="Y749">
            <v>541676.09</v>
          </cell>
          <cell r="AA749">
            <v>611403.31999999995</v>
          </cell>
          <cell r="AJ749">
            <v>0</v>
          </cell>
          <cell r="AN749">
            <v>59473.776250000003</v>
          </cell>
          <cell r="AR749">
            <v>221568.36458333334</v>
          </cell>
          <cell r="AV749">
            <v>397180.22375000006</v>
          </cell>
          <cell r="AZ749">
            <v>421850.53041666659</v>
          </cell>
        </row>
        <row r="750">
          <cell r="U750">
            <v>6557399.0899999999</v>
          </cell>
          <cell r="V750">
            <v>6564809.5899999999</v>
          </cell>
          <cell r="W750">
            <v>6646026.79</v>
          </cell>
          <cell r="Y750">
            <v>6675201.96</v>
          </cell>
          <cell r="AA750">
            <v>6723122.1299999999</v>
          </cell>
          <cell r="AJ750">
            <v>0</v>
          </cell>
          <cell r="AN750">
            <v>818862.07624999993</v>
          </cell>
          <cell r="AR750">
            <v>3026096.8616666663</v>
          </cell>
          <cell r="AV750">
            <v>4987978.4708333341</v>
          </cell>
          <cell r="AZ750">
            <v>4168134.2695833333</v>
          </cell>
        </row>
        <row r="751">
          <cell r="AA751">
            <v>0</v>
          </cell>
          <cell r="AR751">
            <v>0</v>
          </cell>
          <cell r="AV751">
            <v>0</v>
          </cell>
          <cell r="AZ751">
            <v>-255.80999999999997</v>
          </cell>
        </row>
        <row r="752">
          <cell r="Q752">
            <v>0</v>
          </cell>
          <cell r="S752">
            <v>0</v>
          </cell>
          <cell r="U752">
            <v>0</v>
          </cell>
          <cell r="V752">
            <v>0</v>
          </cell>
          <cell r="W752">
            <v>0</v>
          </cell>
          <cell r="Y752">
            <v>0</v>
          </cell>
          <cell r="AA752">
            <v>0</v>
          </cell>
          <cell r="AJ752">
            <v>0</v>
          </cell>
          <cell r="AN752">
            <v>0</v>
          </cell>
          <cell r="AR752">
            <v>0</v>
          </cell>
          <cell r="AV752">
            <v>0</v>
          </cell>
          <cell r="AZ752">
            <v>0</v>
          </cell>
        </row>
        <row r="753">
          <cell r="Q753">
            <v>0</v>
          </cell>
          <cell r="S753">
            <v>0</v>
          </cell>
          <cell r="U753">
            <v>0</v>
          </cell>
          <cell r="V753">
            <v>0</v>
          </cell>
          <cell r="W753">
            <v>0</v>
          </cell>
          <cell r="Y753">
            <v>0</v>
          </cell>
          <cell r="AA753">
            <v>0</v>
          </cell>
          <cell r="AJ753">
            <v>0</v>
          </cell>
          <cell r="AN753">
            <v>0</v>
          </cell>
          <cell r="AR753">
            <v>0</v>
          </cell>
          <cell r="AV753">
            <v>0</v>
          </cell>
          <cell r="AZ753">
            <v>0</v>
          </cell>
        </row>
        <row r="754">
          <cell r="V754">
            <v>0</v>
          </cell>
          <cell r="W754">
            <v>353509.25</v>
          </cell>
          <cell r="Y754">
            <v>329941.96999999997</v>
          </cell>
          <cell r="AA754">
            <v>306374.69</v>
          </cell>
          <cell r="AJ754">
            <v>0</v>
          </cell>
          <cell r="AN754">
            <v>0</v>
          </cell>
          <cell r="AR754">
            <v>71683.820416666669</v>
          </cell>
          <cell r="AV754">
            <v>173808.71708333332</v>
          </cell>
          <cell r="AZ754">
            <v>260222.09375</v>
          </cell>
        </row>
        <row r="755">
          <cell r="V755">
            <v>0</v>
          </cell>
          <cell r="W755">
            <v>0</v>
          </cell>
          <cell r="Y755">
            <v>0</v>
          </cell>
          <cell r="AA755">
            <v>827353.89</v>
          </cell>
          <cell r="AJ755">
            <v>0</v>
          </cell>
          <cell r="AN755">
            <v>0</v>
          </cell>
          <cell r="AR755">
            <v>0</v>
          </cell>
          <cell r="AV755">
            <v>238849.18874999997</v>
          </cell>
          <cell r="AZ755">
            <v>475236.01874999999</v>
          </cell>
        </row>
        <row r="756">
          <cell r="Y756">
            <v>21062818.800000001</v>
          </cell>
          <cell r="AA756">
            <v>21062818.800000001</v>
          </cell>
          <cell r="AR756">
            <v>877617.45000000007</v>
          </cell>
          <cell r="AV756">
            <v>7898557.0500000007</v>
          </cell>
          <cell r="AZ756">
            <v>14919493.172083333</v>
          </cell>
        </row>
        <row r="757">
          <cell r="Q757">
            <v>0</v>
          </cell>
          <cell r="S757">
            <v>0</v>
          </cell>
          <cell r="U757">
            <v>0</v>
          </cell>
          <cell r="V757">
            <v>0</v>
          </cell>
          <cell r="W757">
            <v>0</v>
          </cell>
          <cell r="Y757">
            <v>0</v>
          </cell>
          <cell r="AA757">
            <v>0</v>
          </cell>
          <cell r="AJ757">
            <v>0</v>
          </cell>
          <cell r="AN757">
            <v>0</v>
          </cell>
          <cell r="AR757">
            <v>0</v>
          </cell>
          <cell r="AV757">
            <v>0</v>
          </cell>
          <cell r="AZ757">
            <v>0</v>
          </cell>
        </row>
        <row r="758">
          <cell r="U758">
            <v>0</v>
          </cell>
          <cell r="V758">
            <v>0</v>
          </cell>
          <cell r="W758">
            <v>0</v>
          </cell>
          <cell r="Y758">
            <v>0</v>
          </cell>
          <cell r="AA758">
            <v>0</v>
          </cell>
          <cell r="AJ758">
            <v>0</v>
          </cell>
          <cell r="AN758">
            <v>0</v>
          </cell>
          <cell r="AR758">
            <v>0</v>
          </cell>
          <cell r="AV758">
            <v>0</v>
          </cell>
          <cell r="AZ758">
            <v>0</v>
          </cell>
        </row>
        <row r="759">
          <cell r="Q759">
            <v>0</v>
          </cell>
          <cell r="S759">
            <v>0</v>
          </cell>
          <cell r="U759">
            <v>0</v>
          </cell>
          <cell r="V759">
            <v>0</v>
          </cell>
          <cell r="W759">
            <v>0</v>
          </cell>
          <cell r="Y759">
            <v>0</v>
          </cell>
          <cell r="AA759">
            <v>0</v>
          </cell>
          <cell r="AJ759">
            <v>0</v>
          </cell>
          <cell r="AN759">
            <v>0</v>
          </cell>
          <cell r="AR759">
            <v>0</v>
          </cell>
          <cell r="AV759">
            <v>0</v>
          </cell>
          <cell r="AZ759">
            <v>0</v>
          </cell>
        </row>
        <row r="760">
          <cell r="Q760">
            <v>0</v>
          </cell>
          <cell r="S760">
            <v>0</v>
          </cell>
          <cell r="U760">
            <v>0</v>
          </cell>
          <cell r="V760">
            <v>0</v>
          </cell>
          <cell r="W760">
            <v>0</v>
          </cell>
          <cell r="Y760">
            <v>0</v>
          </cell>
          <cell r="AA760">
            <v>0</v>
          </cell>
          <cell r="AJ760">
            <v>0</v>
          </cell>
          <cell r="AN760">
            <v>0</v>
          </cell>
          <cell r="AR760">
            <v>0</v>
          </cell>
          <cell r="AV760">
            <v>0</v>
          </cell>
          <cell r="AZ760">
            <v>0</v>
          </cell>
        </row>
        <row r="761">
          <cell r="Q761">
            <v>0</v>
          </cell>
          <cell r="S761">
            <v>0</v>
          </cell>
          <cell r="U761">
            <v>0</v>
          </cell>
          <cell r="V761">
            <v>0</v>
          </cell>
          <cell r="W761">
            <v>0</v>
          </cell>
          <cell r="Y761">
            <v>0</v>
          </cell>
          <cell r="AA761">
            <v>0</v>
          </cell>
          <cell r="AJ761">
            <v>0</v>
          </cell>
          <cell r="AN761">
            <v>0</v>
          </cell>
          <cell r="AR761">
            <v>0</v>
          </cell>
          <cell r="AV761">
            <v>0</v>
          </cell>
          <cell r="AZ761">
            <v>0</v>
          </cell>
        </row>
        <row r="762">
          <cell r="Q762">
            <v>0</v>
          </cell>
          <cell r="S762">
            <v>0</v>
          </cell>
          <cell r="U762">
            <v>0</v>
          </cell>
          <cell r="V762">
            <v>0</v>
          </cell>
          <cell r="W762">
            <v>0</v>
          </cell>
          <cell r="Y762">
            <v>0</v>
          </cell>
          <cell r="AA762">
            <v>0</v>
          </cell>
          <cell r="AJ762">
            <v>0</v>
          </cell>
          <cell r="AN762">
            <v>0</v>
          </cell>
          <cell r="AR762">
            <v>0</v>
          </cell>
          <cell r="AV762">
            <v>0</v>
          </cell>
          <cell r="AZ762">
            <v>0</v>
          </cell>
        </row>
        <row r="763">
          <cell r="Q763">
            <v>0</v>
          </cell>
          <cell r="S763">
            <v>0</v>
          </cell>
          <cell r="U763">
            <v>0</v>
          </cell>
          <cell r="V763">
            <v>0</v>
          </cell>
          <cell r="W763">
            <v>0</v>
          </cell>
          <cell r="Y763">
            <v>0</v>
          </cell>
          <cell r="AA763">
            <v>0</v>
          </cell>
          <cell r="AJ763">
            <v>0</v>
          </cell>
          <cell r="AN763">
            <v>0</v>
          </cell>
          <cell r="AR763">
            <v>0</v>
          </cell>
          <cell r="AV763">
            <v>0</v>
          </cell>
          <cell r="AZ763">
            <v>0</v>
          </cell>
        </row>
        <row r="764">
          <cell r="Q764">
            <v>4133754</v>
          </cell>
          <cell r="S764">
            <v>4133754</v>
          </cell>
          <cell r="U764">
            <v>4280091</v>
          </cell>
          <cell r="V764">
            <v>4280091</v>
          </cell>
          <cell r="W764">
            <v>4267120</v>
          </cell>
          <cell r="Y764">
            <v>4267120</v>
          </cell>
          <cell r="AA764">
            <v>4169189</v>
          </cell>
          <cell r="AJ764">
            <v>2633392.0833333335</v>
          </cell>
          <cell r="AN764">
            <v>3311348.9583333335</v>
          </cell>
          <cell r="AR764">
            <v>4015062.75</v>
          </cell>
          <cell r="AV764">
            <v>4204203.291666667</v>
          </cell>
          <cell r="AZ764">
            <v>3676091.5416666665</v>
          </cell>
        </row>
        <row r="765">
          <cell r="Q765">
            <v>2860755</v>
          </cell>
          <cell r="S765">
            <v>2860755</v>
          </cell>
          <cell r="U765">
            <v>2962026</v>
          </cell>
          <cell r="V765">
            <v>2962026</v>
          </cell>
          <cell r="W765">
            <v>2953050</v>
          </cell>
          <cell r="Y765">
            <v>2953050</v>
          </cell>
          <cell r="AA765">
            <v>2885278</v>
          </cell>
          <cell r="AJ765">
            <v>1822432.9166666667</v>
          </cell>
          <cell r="AN765">
            <v>2291611.2916666665</v>
          </cell>
          <cell r="AR765">
            <v>2778614.5416666665</v>
          </cell>
          <cell r="AV765">
            <v>2909508.875</v>
          </cell>
          <cell r="AZ765">
            <v>2544030.5</v>
          </cell>
        </row>
        <row r="766">
          <cell r="Y766">
            <v>0</v>
          </cell>
          <cell r="AA766">
            <v>0</v>
          </cell>
          <cell r="AR766">
            <v>0</v>
          </cell>
          <cell r="AV766">
            <v>2077.6166666666668</v>
          </cell>
          <cell r="AZ766">
            <v>2077.6166666666668</v>
          </cell>
        </row>
        <row r="767">
          <cell r="AV767">
            <v>0</v>
          </cell>
          <cell r="AZ767">
            <v>0</v>
          </cell>
        </row>
        <row r="768">
          <cell r="AV768">
            <v>0</v>
          </cell>
          <cell r="AZ768">
            <v>0</v>
          </cell>
        </row>
        <row r="769">
          <cell r="U769">
            <v>22523.67</v>
          </cell>
          <cell r="V769">
            <v>41259.14</v>
          </cell>
          <cell r="W769">
            <v>44179.64</v>
          </cell>
          <cell r="Y769">
            <v>60261.69</v>
          </cell>
          <cell r="AA769">
            <v>131168.87</v>
          </cell>
          <cell r="AJ769">
            <v>0</v>
          </cell>
          <cell r="AN769">
            <v>2815.4587499999998</v>
          </cell>
          <cell r="AR769">
            <v>17066.383750000001</v>
          </cell>
          <cell r="AV769">
            <v>52855.332083333342</v>
          </cell>
          <cell r="AZ769">
            <v>99601.676666666652</v>
          </cell>
        </row>
        <row r="770">
          <cell r="U770">
            <v>24180.17</v>
          </cell>
          <cell r="V770">
            <v>24180.17</v>
          </cell>
          <cell r="W770">
            <v>81168.09</v>
          </cell>
          <cell r="Y770">
            <v>90435.59</v>
          </cell>
          <cell r="AA770">
            <v>9760</v>
          </cell>
          <cell r="AJ770">
            <v>0</v>
          </cell>
          <cell r="AN770">
            <v>1820.8404166666667</v>
          </cell>
          <cell r="AR770">
            <v>22740.672083333335</v>
          </cell>
          <cell r="AV770">
            <v>36499.042500000003</v>
          </cell>
          <cell r="AZ770">
            <v>37931.535416666666</v>
          </cell>
        </row>
        <row r="771">
          <cell r="Q771">
            <v>16634.84</v>
          </cell>
          <cell r="S771">
            <v>27748.45</v>
          </cell>
          <cell r="U771">
            <v>45645.96</v>
          </cell>
          <cell r="V771">
            <v>61948.21</v>
          </cell>
          <cell r="W771">
            <v>69294.720000000001</v>
          </cell>
          <cell r="Y771">
            <v>96772.53</v>
          </cell>
          <cell r="AA771">
            <v>157990.29999999999</v>
          </cell>
          <cell r="AJ771">
            <v>2501.4366666666665</v>
          </cell>
          <cell r="AN771">
            <v>12154.745000000001</v>
          </cell>
          <cell r="AR771">
            <v>37090.137083333335</v>
          </cell>
          <cell r="AV771">
            <v>81248.169583333321</v>
          </cell>
          <cell r="AZ771">
            <v>136879.11791666664</v>
          </cell>
        </row>
        <row r="772">
          <cell r="Q772">
            <v>683365.16</v>
          </cell>
          <cell r="S772">
            <v>683365.16</v>
          </cell>
          <cell r="U772">
            <v>668771.35</v>
          </cell>
          <cell r="V772">
            <v>668771.35</v>
          </cell>
          <cell r="W772">
            <v>630705.28</v>
          </cell>
          <cell r="Y772">
            <v>630705.28</v>
          </cell>
          <cell r="AA772">
            <v>596135.67000000004</v>
          </cell>
          <cell r="AJ772">
            <v>110499.13500000001</v>
          </cell>
          <cell r="AN772">
            <v>336463.29541666672</v>
          </cell>
          <cell r="AR772">
            <v>551456.64750000008</v>
          </cell>
          <cell r="AV772">
            <v>638361.44708333339</v>
          </cell>
          <cell r="AZ772">
            <v>584818.11624999996</v>
          </cell>
        </row>
        <row r="773">
          <cell r="Q773">
            <v>241739.55</v>
          </cell>
          <cell r="S773">
            <v>232335.8</v>
          </cell>
          <cell r="U773">
            <v>245867.95</v>
          </cell>
          <cell r="V773">
            <v>245867.95</v>
          </cell>
          <cell r="W773">
            <v>247470.7</v>
          </cell>
          <cell r="Y773">
            <v>247470.7</v>
          </cell>
          <cell r="AA773">
            <v>255429.95</v>
          </cell>
          <cell r="AJ773">
            <v>40564.564583333333</v>
          </cell>
          <cell r="AN773">
            <v>120867.19375000002</v>
          </cell>
          <cell r="AR773">
            <v>203157.08333333334</v>
          </cell>
          <cell r="AV773">
            <v>247565.3979166667</v>
          </cell>
          <cell r="AZ773">
            <v>258391.32625000001</v>
          </cell>
        </row>
        <row r="774">
          <cell r="Q774">
            <v>40781553.810000002</v>
          </cell>
          <cell r="S774">
            <v>40781553.810000002</v>
          </cell>
          <cell r="U774">
            <v>42403614.670000002</v>
          </cell>
          <cell r="V774">
            <v>42403614.670000002</v>
          </cell>
          <cell r="W774">
            <v>43497629.240000002</v>
          </cell>
          <cell r="Y774">
            <v>43497629.240000002</v>
          </cell>
          <cell r="AA774">
            <v>43153843.530000001</v>
          </cell>
          <cell r="AJ774">
            <v>35974316.675000004</v>
          </cell>
          <cell r="AN774">
            <v>39888948.091250002</v>
          </cell>
          <cell r="AR774">
            <v>41889331.492916673</v>
          </cell>
          <cell r="AV774">
            <v>42478579.68</v>
          </cell>
          <cell r="AZ774">
            <v>42467797.691250004</v>
          </cell>
        </row>
        <row r="775">
          <cell r="Q775">
            <v>458260.45</v>
          </cell>
          <cell r="S775">
            <v>458260.45</v>
          </cell>
          <cell r="U775">
            <v>454247.55</v>
          </cell>
          <cell r="V775">
            <v>454247.55</v>
          </cell>
          <cell r="W775">
            <v>452529.3</v>
          </cell>
          <cell r="Y775">
            <v>452529.3</v>
          </cell>
          <cell r="AA775">
            <v>452529.3</v>
          </cell>
          <cell r="AJ775">
            <v>134727.16375000001</v>
          </cell>
          <cell r="AN775">
            <v>286979.03458333336</v>
          </cell>
          <cell r="AR775">
            <v>438036.91583333333</v>
          </cell>
          <cell r="AV775">
            <v>453546.39374999987</v>
          </cell>
          <cell r="AZ775">
            <v>445883.95624999987</v>
          </cell>
        </row>
        <row r="776">
          <cell r="Q776">
            <v>9882.57</v>
          </cell>
          <cell r="S776">
            <v>21957.09</v>
          </cell>
          <cell r="U776">
            <v>44925.42</v>
          </cell>
          <cell r="V776">
            <v>58360.44</v>
          </cell>
          <cell r="W776">
            <v>58360.44</v>
          </cell>
          <cell r="Y776">
            <v>64478.26</v>
          </cell>
          <cell r="AA776">
            <v>82265.820000000007</v>
          </cell>
          <cell r="AJ776">
            <v>816.18208333333325</v>
          </cell>
          <cell r="AN776">
            <v>10449.615</v>
          </cell>
          <cell r="AR776">
            <v>29598.21166666667</v>
          </cell>
          <cell r="AV776">
            <v>55401.469583333324</v>
          </cell>
          <cell r="AZ776">
            <v>75449.211250000008</v>
          </cell>
        </row>
        <row r="777">
          <cell r="Q777">
            <v>490117.43</v>
          </cell>
          <cell r="S777">
            <v>490117.43</v>
          </cell>
          <cell r="U777">
            <v>455525.18</v>
          </cell>
          <cell r="V777">
            <v>455525.18</v>
          </cell>
          <cell r="W777">
            <v>441639.56</v>
          </cell>
          <cell r="Y777">
            <v>441639.56</v>
          </cell>
          <cell r="AA777">
            <v>423469.81</v>
          </cell>
          <cell r="AJ777">
            <v>103612.79291666667</v>
          </cell>
          <cell r="AN777">
            <v>262661.23833333334</v>
          </cell>
          <cell r="AR777">
            <v>411610.1275</v>
          </cell>
          <cell r="AV777">
            <v>449472.91791666666</v>
          </cell>
          <cell r="AZ777">
            <v>427920.98875000002</v>
          </cell>
        </row>
        <row r="778">
          <cell r="Q778">
            <v>0</v>
          </cell>
          <cell r="S778">
            <v>8558.7999999999993</v>
          </cell>
          <cell r="U778">
            <v>0</v>
          </cell>
          <cell r="V778">
            <v>0</v>
          </cell>
          <cell r="W778">
            <v>0</v>
          </cell>
          <cell r="Y778">
            <v>0</v>
          </cell>
          <cell r="AA778">
            <v>0</v>
          </cell>
          <cell r="AJ778">
            <v>0</v>
          </cell>
          <cell r="AN778">
            <v>713.23333333333323</v>
          </cell>
          <cell r="AR778">
            <v>713.23333333333323</v>
          </cell>
          <cell r="AV778">
            <v>713.23333333333323</v>
          </cell>
          <cell r="AZ778">
            <v>0</v>
          </cell>
        </row>
        <row r="779">
          <cell r="Q779">
            <v>-67607036.299999997</v>
          </cell>
          <cell r="S779">
            <v>-67607036.299999997</v>
          </cell>
          <cell r="U779">
            <v>-67704614.450000003</v>
          </cell>
          <cell r="V779">
            <v>-67704614.450000003</v>
          </cell>
          <cell r="W779">
            <v>-68004614.450000003</v>
          </cell>
          <cell r="Y779">
            <v>-68006714.870000005</v>
          </cell>
          <cell r="AA779">
            <v>-64468965.899999999</v>
          </cell>
          <cell r="AJ779">
            <v>-67392846.822083324</v>
          </cell>
          <cell r="AN779">
            <v>-67536853.229166672</v>
          </cell>
          <cell r="AR779">
            <v>-67714449.501250014</v>
          </cell>
          <cell r="AV779">
            <v>-66816339.200416662</v>
          </cell>
          <cell r="AZ779">
            <v>-65759470.355000012</v>
          </cell>
        </row>
        <row r="780">
          <cell r="Q780">
            <v>0</v>
          </cell>
          <cell r="S780">
            <v>0</v>
          </cell>
          <cell r="U780">
            <v>0</v>
          </cell>
          <cell r="V780">
            <v>0</v>
          </cell>
          <cell r="W780">
            <v>0</v>
          </cell>
          <cell r="Y780">
            <v>0</v>
          </cell>
          <cell r="AA780">
            <v>0</v>
          </cell>
          <cell r="AJ780">
            <v>0</v>
          </cell>
          <cell r="AN780">
            <v>0</v>
          </cell>
          <cell r="AR780">
            <v>0</v>
          </cell>
          <cell r="AV780">
            <v>0</v>
          </cell>
          <cell r="AZ780">
            <v>0</v>
          </cell>
        </row>
        <row r="781">
          <cell r="Q781">
            <v>9936.27</v>
          </cell>
          <cell r="S781">
            <v>26357.34</v>
          </cell>
          <cell r="U781">
            <v>26357.34</v>
          </cell>
          <cell r="V781">
            <v>32712.34</v>
          </cell>
          <cell r="W781">
            <v>59998.09</v>
          </cell>
          <cell r="Y781">
            <v>116306.86</v>
          </cell>
          <cell r="AA781">
            <v>311392.64000000001</v>
          </cell>
          <cell r="AJ781">
            <v>606.76125000000002</v>
          </cell>
          <cell r="AN781">
            <v>8708.33</v>
          </cell>
          <cell r="AR781">
            <v>29765.632500000003</v>
          </cell>
          <cell r="AV781">
            <v>114704.02541666666</v>
          </cell>
          <cell r="AZ781">
            <v>237042.84541666668</v>
          </cell>
        </row>
        <row r="782">
          <cell r="Q782">
            <v>0</v>
          </cell>
          <cell r="S782">
            <v>0</v>
          </cell>
          <cell r="U782">
            <v>0</v>
          </cell>
          <cell r="V782">
            <v>0</v>
          </cell>
          <cell r="W782">
            <v>0</v>
          </cell>
          <cell r="Y782">
            <v>0</v>
          </cell>
          <cell r="AA782">
            <v>0</v>
          </cell>
          <cell r="AJ782">
            <v>0</v>
          </cell>
          <cell r="AN782">
            <v>0</v>
          </cell>
          <cell r="AR782">
            <v>0</v>
          </cell>
          <cell r="AV782">
            <v>0</v>
          </cell>
          <cell r="AZ782">
            <v>0</v>
          </cell>
        </row>
        <row r="783">
          <cell r="Q783">
            <v>0</v>
          </cell>
          <cell r="S783">
            <v>0</v>
          </cell>
          <cell r="U783">
            <v>0</v>
          </cell>
          <cell r="V783">
            <v>0</v>
          </cell>
          <cell r="W783">
            <v>0</v>
          </cell>
          <cell r="Y783">
            <v>0</v>
          </cell>
          <cell r="AA783">
            <v>0</v>
          </cell>
          <cell r="AJ783">
            <v>0</v>
          </cell>
          <cell r="AN783">
            <v>0</v>
          </cell>
          <cell r="AR783">
            <v>0</v>
          </cell>
          <cell r="AV783">
            <v>0</v>
          </cell>
          <cell r="AZ783">
            <v>0</v>
          </cell>
        </row>
        <row r="784">
          <cell r="Q784">
            <v>37523294.479999997</v>
          </cell>
          <cell r="S784">
            <v>37552678.829999998</v>
          </cell>
          <cell r="U784">
            <v>37578713.310000002</v>
          </cell>
          <cell r="V784">
            <v>37590005.939999998</v>
          </cell>
          <cell r="W784">
            <v>37607413.969999999</v>
          </cell>
          <cell r="Y784">
            <v>37642895.469999999</v>
          </cell>
          <cell r="AA784">
            <v>37683008.939999998</v>
          </cell>
          <cell r="AJ784">
            <v>37448040.617083333</v>
          </cell>
          <cell r="AN784">
            <v>37498014.251666673</v>
          </cell>
          <cell r="AR784">
            <v>37552036.469166674</v>
          </cell>
          <cell r="AV784">
            <v>37616748.584583335</v>
          </cell>
          <cell r="AZ784">
            <v>37702949.599999994</v>
          </cell>
        </row>
        <row r="785">
          <cell r="Q785">
            <v>140063.73000000001</v>
          </cell>
          <cell r="S785">
            <v>140063.73000000001</v>
          </cell>
          <cell r="U785">
            <v>123642.66</v>
          </cell>
          <cell r="V785">
            <v>123642.66</v>
          </cell>
          <cell r="W785">
            <v>290001.90999999997</v>
          </cell>
          <cell r="Y785">
            <v>290001.90999999997</v>
          </cell>
          <cell r="AA785">
            <v>215389.53</v>
          </cell>
          <cell r="AJ785">
            <v>5835.9887500000004</v>
          </cell>
          <cell r="AN785">
            <v>50471.265000000007</v>
          </cell>
          <cell r="AR785">
            <v>126343.66208333334</v>
          </cell>
          <cell r="AV785">
            <v>203909.51375000001</v>
          </cell>
          <cell r="AZ785">
            <v>297171.93875000003</v>
          </cell>
        </row>
        <row r="786">
          <cell r="Q786">
            <v>0</v>
          </cell>
          <cell r="S786">
            <v>0</v>
          </cell>
          <cell r="U786">
            <v>0</v>
          </cell>
          <cell r="V786">
            <v>0</v>
          </cell>
          <cell r="W786">
            <v>0</v>
          </cell>
          <cell r="Y786">
            <v>0</v>
          </cell>
          <cell r="AA786">
            <v>0</v>
          </cell>
          <cell r="AJ786">
            <v>948.33333333333337</v>
          </cell>
          <cell r="AN786">
            <v>948.33333333333337</v>
          </cell>
          <cell r="AR786">
            <v>948.33333333333337</v>
          </cell>
          <cell r="AV786">
            <v>0</v>
          </cell>
          <cell r="AZ786">
            <v>0</v>
          </cell>
        </row>
        <row r="787">
          <cell r="W787">
            <v>0</v>
          </cell>
          <cell r="Y787">
            <v>0</v>
          </cell>
          <cell r="AA787">
            <v>0</v>
          </cell>
          <cell r="AJ787">
            <v>0</v>
          </cell>
          <cell r="AN787">
            <v>0</v>
          </cell>
          <cell r="AR787">
            <v>0</v>
          </cell>
          <cell r="AV787">
            <v>0</v>
          </cell>
          <cell r="AZ787">
            <v>0</v>
          </cell>
        </row>
        <row r="788">
          <cell r="W788">
            <v>0</v>
          </cell>
          <cell r="Y788">
            <v>61473.05</v>
          </cell>
          <cell r="AA788">
            <v>73626.460000000006</v>
          </cell>
          <cell r="AJ788">
            <v>0</v>
          </cell>
          <cell r="AN788">
            <v>0</v>
          </cell>
          <cell r="AR788">
            <v>6976.8187500000013</v>
          </cell>
          <cell r="AV788">
            <v>49204.075833333336</v>
          </cell>
          <cell r="AZ788">
            <v>123473.66250000002</v>
          </cell>
        </row>
        <row r="789">
          <cell r="Q789">
            <v>9351936.5800000001</v>
          </cell>
          <cell r="S789">
            <v>9351936.5800000001</v>
          </cell>
          <cell r="U789">
            <v>9351936.5800000001</v>
          </cell>
          <cell r="V789">
            <v>9351936.5800000001</v>
          </cell>
          <cell r="W789">
            <v>9351936.5800000001</v>
          </cell>
          <cell r="Y789">
            <v>9351936.5800000001</v>
          </cell>
          <cell r="AA789">
            <v>9351936.5800000001</v>
          </cell>
          <cell r="AJ789">
            <v>9351936.5800000001</v>
          </cell>
          <cell r="AN789">
            <v>9351936.5800000001</v>
          </cell>
          <cell r="AR789">
            <v>9351936.5800000001</v>
          </cell>
          <cell r="AV789">
            <v>9351936.5800000001</v>
          </cell>
          <cell r="AZ789">
            <v>9351936.5800000001</v>
          </cell>
        </row>
        <row r="790">
          <cell r="AA790">
            <v>181849.04</v>
          </cell>
          <cell r="AR790">
            <v>0</v>
          </cell>
          <cell r="AV790">
            <v>50761.894999999997</v>
          </cell>
          <cell r="AZ790">
            <v>93158.97500000002</v>
          </cell>
        </row>
        <row r="791">
          <cell r="Q791">
            <v>209796.52</v>
          </cell>
          <cell r="S791">
            <v>209796.52</v>
          </cell>
          <cell r="U791">
            <v>209796.52</v>
          </cell>
          <cell r="V791">
            <v>209796.52</v>
          </cell>
          <cell r="W791">
            <v>209796.52</v>
          </cell>
          <cell r="Y791">
            <v>209796.52</v>
          </cell>
          <cell r="AA791">
            <v>209796.52</v>
          </cell>
          <cell r="AJ791">
            <v>209796.52</v>
          </cell>
          <cell r="AN791">
            <v>209796.52</v>
          </cell>
          <cell r="AR791">
            <v>209796.52</v>
          </cell>
          <cell r="AV791">
            <v>209796.52</v>
          </cell>
          <cell r="AZ791">
            <v>209796.52</v>
          </cell>
        </row>
        <row r="792">
          <cell r="Q792">
            <v>1325189.93</v>
          </cell>
          <cell r="S792">
            <v>1326161.72</v>
          </cell>
          <cell r="U792">
            <v>1328200.25</v>
          </cell>
          <cell r="V792">
            <v>1339871.3600000001</v>
          </cell>
          <cell r="W792">
            <v>1340741.81</v>
          </cell>
          <cell r="Y792">
            <v>1355139.02</v>
          </cell>
          <cell r="AA792">
            <v>1363467.98</v>
          </cell>
          <cell r="AJ792">
            <v>1319437.5062499999</v>
          </cell>
          <cell r="AN792">
            <v>1322497.3575000002</v>
          </cell>
          <cell r="AR792">
            <v>1330588.0179166666</v>
          </cell>
          <cell r="AV792">
            <v>1343651.44875</v>
          </cell>
          <cell r="AZ792">
            <v>1357935.3462499997</v>
          </cell>
        </row>
        <row r="793">
          <cell r="Q793">
            <v>8717.5</v>
          </cell>
          <cell r="S793">
            <v>8717.5</v>
          </cell>
          <cell r="U793">
            <v>8717.5</v>
          </cell>
          <cell r="V793">
            <v>8717.5</v>
          </cell>
          <cell r="W793">
            <v>8717.5</v>
          </cell>
          <cell r="Y793">
            <v>8717.5</v>
          </cell>
          <cell r="AA793">
            <v>8717.5</v>
          </cell>
          <cell r="AJ793">
            <v>8717.5</v>
          </cell>
          <cell r="AN793">
            <v>8717.5</v>
          </cell>
          <cell r="AR793">
            <v>8717.5</v>
          </cell>
          <cell r="AV793">
            <v>8717.5</v>
          </cell>
          <cell r="AZ793">
            <v>8717.5</v>
          </cell>
        </row>
        <row r="794">
          <cell r="Q794">
            <v>2650805.2599999998</v>
          </cell>
          <cell r="S794">
            <v>2694693.07</v>
          </cell>
          <cell r="U794">
            <v>2752812.1</v>
          </cell>
          <cell r="V794">
            <v>2761985.28</v>
          </cell>
          <cell r="W794">
            <v>2767190.39</v>
          </cell>
          <cell r="Y794">
            <v>2784303.01</v>
          </cell>
          <cell r="AA794">
            <v>2820624.47</v>
          </cell>
          <cell r="AJ794">
            <v>2547513.4504166669</v>
          </cell>
          <cell r="AN794">
            <v>2601861.3962499998</v>
          </cell>
          <cell r="AR794">
            <v>2679223.7204166669</v>
          </cell>
          <cell r="AV794">
            <v>2794202.82</v>
          </cell>
          <cell r="AZ794">
            <v>3125791.7349999999</v>
          </cell>
        </row>
        <row r="795">
          <cell r="Q795">
            <v>2577686.9300000002</v>
          </cell>
          <cell r="S795">
            <v>2577686.9300000002</v>
          </cell>
          <cell r="U795">
            <v>2577686.9300000002</v>
          </cell>
          <cell r="V795">
            <v>2577686.9300000002</v>
          </cell>
          <cell r="W795">
            <v>2577686.9300000002</v>
          </cell>
          <cell r="Y795">
            <v>2651381.7400000002</v>
          </cell>
          <cell r="AA795">
            <v>2651381.7400000002</v>
          </cell>
          <cell r="AJ795">
            <v>2614637.219583333</v>
          </cell>
          <cell r="AN795">
            <v>2615058.8933333331</v>
          </cell>
          <cell r="AR795">
            <v>2604115.0241666664</v>
          </cell>
          <cell r="AV795">
            <v>2605322.4837500006</v>
          </cell>
          <cell r="AZ795">
            <v>2629887.4204166676</v>
          </cell>
        </row>
        <row r="796">
          <cell r="Q796">
            <v>856121.11</v>
          </cell>
          <cell r="S796">
            <v>856121.11</v>
          </cell>
          <cell r="U796">
            <v>856121.11</v>
          </cell>
          <cell r="V796">
            <v>856121.11</v>
          </cell>
          <cell r="W796">
            <v>856121.11</v>
          </cell>
          <cell r="Y796">
            <v>856121.11</v>
          </cell>
          <cell r="AA796">
            <v>856121.11</v>
          </cell>
          <cell r="AJ796">
            <v>856121.11</v>
          </cell>
          <cell r="AN796">
            <v>856121.11</v>
          </cell>
          <cell r="AR796">
            <v>856121.11</v>
          </cell>
          <cell r="AV796">
            <v>856121.11</v>
          </cell>
          <cell r="AZ796">
            <v>856121.11</v>
          </cell>
        </row>
        <row r="797">
          <cell r="Q797">
            <v>366.95</v>
          </cell>
          <cell r="S797">
            <v>366.95</v>
          </cell>
          <cell r="U797">
            <v>366.95</v>
          </cell>
          <cell r="V797">
            <v>366.95</v>
          </cell>
          <cell r="W797">
            <v>366.95</v>
          </cell>
          <cell r="Y797">
            <v>366.95</v>
          </cell>
          <cell r="AA797">
            <v>366.95</v>
          </cell>
          <cell r="AJ797">
            <v>366.94999999999987</v>
          </cell>
          <cell r="AN797">
            <v>366.94999999999987</v>
          </cell>
          <cell r="AR797">
            <v>366.94999999999987</v>
          </cell>
          <cell r="AV797">
            <v>366.94999999999987</v>
          </cell>
          <cell r="AZ797">
            <v>366.94999999999987</v>
          </cell>
        </row>
        <row r="798">
          <cell r="Q798">
            <v>0</v>
          </cell>
          <cell r="S798">
            <v>0</v>
          </cell>
          <cell r="U798">
            <v>0</v>
          </cell>
          <cell r="V798">
            <v>0</v>
          </cell>
          <cell r="W798">
            <v>0</v>
          </cell>
          <cell r="Y798">
            <v>0</v>
          </cell>
          <cell r="AA798">
            <v>0</v>
          </cell>
          <cell r="AJ798">
            <v>0</v>
          </cell>
          <cell r="AN798">
            <v>0</v>
          </cell>
          <cell r="AR798">
            <v>0</v>
          </cell>
          <cell r="AV798">
            <v>0</v>
          </cell>
          <cell r="AZ798">
            <v>0</v>
          </cell>
        </row>
        <row r="799">
          <cell r="Q799">
            <v>379591.4</v>
          </cell>
          <cell r="S799">
            <v>379591.4</v>
          </cell>
          <cell r="U799">
            <v>379591.4</v>
          </cell>
          <cell r="V799">
            <v>379591.4</v>
          </cell>
          <cell r="W799">
            <v>379591.4</v>
          </cell>
          <cell r="Y799">
            <v>379591.4</v>
          </cell>
          <cell r="AA799">
            <v>0</v>
          </cell>
          <cell r="AJ799">
            <v>379591.39999999997</v>
          </cell>
          <cell r="AN799">
            <v>379591.39999999997</v>
          </cell>
          <cell r="AR799">
            <v>379591.39999999997</v>
          </cell>
          <cell r="AV799">
            <v>268877.24166666664</v>
          </cell>
          <cell r="AZ799">
            <v>142346.77499999999</v>
          </cell>
        </row>
        <row r="800">
          <cell r="Q800">
            <v>769040.33</v>
          </cell>
          <cell r="S800">
            <v>769040.33</v>
          </cell>
          <cell r="U800">
            <v>769040.33</v>
          </cell>
          <cell r="V800">
            <v>769040.33</v>
          </cell>
          <cell r="W800">
            <v>769040.33</v>
          </cell>
          <cell r="Y800">
            <v>769040.33</v>
          </cell>
          <cell r="AA800">
            <v>769040.33</v>
          </cell>
          <cell r="AJ800">
            <v>769040.33</v>
          </cell>
          <cell r="AN800">
            <v>769040.33</v>
          </cell>
          <cell r="AR800">
            <v>769040.33</v>
          </cell>
          <cell r="AV800">
            <v>769040.33</v>
          </cell>
          <cell r="AZ800">
            <v>769040.33</v>
          </cell>
        </row>
        <row r="801">
          <cell r="Q801">
            <v>15888.2</v>
          </cell>
          <cell r="S801">
            <v>15888.2</v>
          </cell>
          <cell r="U801">
            <v>15888.2</v>
          </cell>
          <cell r="V801">
            <v>15888.2</v>
          </cell>
          <cell r="W801">
            <v>15888.2</v>
          </cell>
          <cell r="Y801">
            <v>15888.2</v>
          </cell>
          <cell r="AA801">
            <v>15888.2</v>
          </cell>
          <cell r="AJ801">
            <v>15888.200000000003</v>
          </cell>
          <cell r="AN801">
            <v>15888.200000000003</v>
          </cell>
          <cell r="AR801">
            <v>15888.200000000003</v>
          </cell>
          <cell r="AV801">
            <v>15888.200000000003</v>
          </cell>
          <cell r="AZ801">
            <v>15888.200000000003</v>
          </cell>
        </row>
        <row r="802">
          <cell r="Q802">
            <v>3790854.8</v>
          </cell>
          <cell r="S802">
            <v>3808388.99</v>
          </cell>
          <cell r="U802">
            <v>3817587.28</v>
          </cell>
          <cell r="V802">
            <v>3819495.29</v>
          </cell>
          <cell r="W802">
            <v>3820379.01</v>
          </cell>
          <cell r="Y802">
            <v>3835565.26</v>
          </cell>
          <cell r="AA802">
            <v>3845788.41</v>
          </cell>
          <cell r="AJ802">
            <v>3511409.9820833337</v>
          </cell>
          <cell r="AN802">
            <v>3639967.8591666673</v>
          </cell>
          <cell r="AR802">
            <v>3756085.0500000003</v>
          </cell>
          <cell r="AV802">
            <v>3825066.5683333338</v>
          </cell>
          <cell r="AZ802">
            <v>3860539.9849999999</v>
          </cell>
        </row>
        <row r="803">
          <cell r="Q803">
            <v>4265950.47</v>
          </cell>
          <cell r="S803">
            <v>4286064.62</v>
          </cell>
          <cell r="U803">
            <v>4332108.88</v>
          </cell>
          <cell r="V803">
            <v>4342911.93</v>
          </cell>
          <cell r="W803">
            <v>4369226.54</v>
          </cell>
          <cell r="Y803">
            <v>4396375.51</v>
          </cell>
          <cell r="AA803">
            <v>4416615.62</v>
          </cell>
          <cell r="AJ803">
            <v>3742843.2991666659</v>
          </cell>
          <cell r="AN803">
            <v>4016696.1787499995</v>
          </cell>
          <cell r="AR803">
            <v>4206840.2312500002</v>
          </cell>
          <cell r="AV803">
            <v>4358768.1187499994</v>
          </cell>
          <cell r="AZ803">
            <v>4397367.6758333324</v>
          </cell>
        </row>
        <row r="804">
          <cell r="Q804">
            <v>995</v>
          </cell>
          <cell r="S804">
            <v>995</v>
          </cell>
          <cell r="U804">
            <v>995</v>
          </cell>
          <cell r="V804">
            <v>995</v>
          </cell>
          <cell r="W804">
            <v>995</v>
          </cell>
          <cell r="Y804">
            <v>995</v>
          </cell>
          <cell r="AA804">
            <v>0</v>
          </cell>
          <cell r="AJ804">
            <v>995</v>
          </cell>
          <cell r="AN804">
            <v>995</v>
          </cell>
          <cell r="AR804">
            <v>995</v>
          </cell>
          <cell r="AV804">
            <v>704.79166666666663</v>
          </cell>
          <cell r="AZ804">
            <v>373.125</v>
          </cell>
        </row>
        <row r="805">
          <cell r="Q805">
            <v>0</v>
          </cell>
          <cell r="S805">
            <v>0</v>
          </cell>
          <cell r="U805">
            <v>0</v>
          </cell>
          <cell r="V805">
            <v>0</v>
          </cell>
          <cell r="W805">
            <v>0</v>
          </cell>
          <cell r="Y805">
            <v>0</v>
          </cell>
          <cell r="AA805">
            <v>0</v>
          </cell>
          <cell r="AJ805">
            <v>0</v>
          </cell>
          <cell r="AN805">
            <v>0</v>
          </cell>
          <cell r="AR805">
            <v>0</v>
          </cell>
          <cell r="AV805">
            <v>0</v>
          </cell>
          <cell r="AZ805">
            <v>0</v>
          </cell>
        </row>
        <row r="806">
          <cell r="Q806">
            <v>0</v>
          </cell>
          <cell r="S806">
            <v>0</v>
          </cell>
          <cell r="U806">
            <v>0</v>
          </cell>
          <cell r="V806">
            <v>0</v>
          </cell>
          <cell r="W806">
            <v>0</v>
          </cell>
          <cell r="Y806">
            <v>0</v>
          </cell>
          <cell r="AA806">
            <v>0</v>
          </cell>
          <cell r="AJ806">
            <v>0</v>
          </cell>
          <cell r="AN806">
            <v>0</v>
          </cell>
          <cell r="AR806">
            <v>0</v>
          </cell>
          <cell r="AV806">
            <v>0</v>
          </cell>
          <cell r="AZ806">
            <v>0</v>
          </cell>
        </row>
        <row r="807">
          <cell r="Q807">
            <v>3089268.32</v>
          </cell>
          <cell r="S807">
            <v>3089268.32</v>
          </cell>
          <cell r="U807">
            <v>3090184.42</v>
          </cell>
          <cell r="V807">
            <v>3090220.42</v>
          </cell>
          <cell r="W807">
            <v>3090220.42</v>
          </cell>
          <cell r="Y807">
            <v>3090220.42</v>
          </cell>
          <cell r="AA807">
            <v>0</v>
          </cell>
          <cell r="AJ807">
            <v>3086443.0550000002</v>
          </cell>
          <cell r="AN807">
            <v>3088608.4704166665</v>
          </cell>
          <cell r="AR807">
            <v>3089697.7908333335</v>
          </cell>
          <cell r="AV807">
            <v>2188701.7766666668</v>
          </cell>
          <cell r="AZ807">
            <v>1158831.1575</v>
          </cell>
        </row>
        <row r="808">
          <cell r="Q808">
            <v>0</v>
          </cell>
          <cell r="S808">
            <v>0</v>
          </cell>
          <cell r="U808">
            <v>0</v>
          </cell>
          <cell r="V808">
            <v>0</v>
          </cell>
          <cell r="W808">
            <v>0</v>
          </cell>
          <cell r="Y808">
            <v>0</v>
          </cell>
          <cell r="AA808">
            <v>0</v>
          </cell>
          <cell r="AJ808">
            <v>0</v>
          </cell>
          <cell r="AN808">
            <v>0</v>
          </cell>
          <cell r="AR808">
            <v>0</v>
          </cell>
          <cell r="AV808">
            <v>0</v>
          </cell>
          <cell r="AZ808">
            <v>0</v>
          </cell>
        </row>
        <row r="809">
          <cell r="Q809">
            <v>0</v>
          </cell>
          <cell r="S809">
            <v>0</v>
          </cell>
          <cell r="U809">
            <v>0</v>
          </cell>
          <cell r="V809">
            <v>0</v>
          </cell>
          <cell r="W809">
            <v>0</v>
          </cell>
          <cell r="Y809">
            <v>0</v>
          </cell>
          <cell r="AA809">
            <v>0</v>
          </cell>
          <cell r="AJ809">
            <v>0</v>
          </cell>
          <cell r="AN809">
            <v>0</v>
          </cell>
          <cell r="AR809">
            <v>0</v>
          </cell>
          <cell r="AV809">
            <v>0</v>
          </cell>
          <cell r="AZ809">
            <v>0</v>
          </cell>
        </row>
        <row r="810">
          <cell r="Q810">
            <v>0</v>
          </cell>
          <cell r="S810">
            <v>0</v>
          </cell>
          <cell r="U810">
            <v>0</v>
          </cell>
          <cell r="V810">
            <v>0</v>
          </cell>
          <cell r="W810">
            <v>0</v>
          </cell>
          <cell r="Y810">
            <v>0</v>
          </cell>
          <cell r="AA810">
            <v>0</v>
          </cell>
          <cell r="AJ810">
            <v>0</v>
          </cell>
          <cell r="AN810">
            <v>0</v>
          </cell>
          <cell r="AR810">
            <v>0</v>
          </cell>
          <cell r="AV810">
            <v>0</v>
          </cell>
          <cell r="AZ810">
            <v>0</v>
          </cell>
        </row>
        <row r="811">
          <cell r="Q811">
            <v>0</v>
          </cell>
          <cell r="S811">
            <v>0</v>
          </cell>
          <cell r="U811">
            <v>0</v>
          </cell>
          <cell r="V811">
            <v>0</v>
          </cell>
          <cell r="W811">
            <v>0</v>
          </cell>
          <cell r="Y811">
            <v>0</v>
          </cell>
          <cell r="AA811">
            <v>0</v>
          </cell>
          <cell r="AJ811">
            <v>0</v>
          </cell>
          <cell r="AN811">
            <v>0</v>
          </cell>
          <cell r="AR811">
            <v>0</v>
          </cell>
          <cell r="AV811">
            <v>0</v>
          </cell>
          <cell r="AZ811">
            <v>0</v>
          </cell>
        </row>
        <row r="812">
          <cell r="Q812">
            <v>66942.149999999994</v>
          </cell>
          <cell r="S812">
            <v>66942.149999999994</v>
          </cell>
          <cell r="U812">
            <v>66942.149999999994</v>
          </cell>
          <cell r="V812">
            <v>66942.149999999994</v>
          </cell>
          <cell r="W812">
            <v>66942.149999999994</v>
          </cell>
          <cell r="Y812">
            <v>66942.149999999994</v>
          </cell>
          <cell r="AA812">
            <v>0</v>
          </cell>
          <cell r="AJ812">
            <v>66942.150000000009</v>
          </cell>
          <cell r="AN812">
            <v>66942.150000000009</v>
          </cell>
          <cell r="AR812">
            <v>66942.150000000009</v>
          </cell>
          <cell r="AV812">
            <v>47417.356250000004</v>
          </cell>
          <cell r="AZ812">
            <v>25103.306249999998</v>
          </cell>
        </row>
        <row r="813">
          <cell r="Q813">
            <v>8253623.4699999997</v>
          </cell>
          <cell r="S813">
            <v>8328982.0499999998</v>
          </cell>
          <cell r="U813">
            <v>8400758.4100000001</v>
          </cell>
          <cell r="V813">
            <v>8505094.9000000004</v>
          </cell>
          <cell r="W813">
            <v>8587670.2599999998</v>
          </cell>
          <cell r="Y813">
            <v>8609085.4900000002</v>
          </cell>
          <cell r="AA813">
            <v>8778235.7799999993</v>
          </cell>
          <cell r="AJ813">
            <v>7776202.8466666676</v>
          </cell>
          <cell r="AN813">
            <v>8079622.8716666661</v>
          </cell>
          <cell r="AR813">
            <v>8338041.5916666687</v>
          </cell>
          <cell r="AV813">
            <v>8562494.0283333343</v>
          </cell>
          <cell r="AZ813">
            <v>8913112.8074999992</v>
          </cell>
        </row>
        <row r="814">
          <cell r="Q814">
            <v>59043.75</v>
          </cell>
          <cell r="S814">
            <v>59043.75</v>
          </cell>
          <cell r="U814">
            <v>59043.75</v>
          </cell>
          <cell r="V814">
            <v>59043.75</v>
          </cell>
          <cell r="W814">
            <v>59043.75</v>
          </cell>
          <cell r="Y814">
            <v>59043.75</v>
          </cell>
          <cell r="AA814">
            <v>59043.75</v>
          </cell>
          <cell r="AJ814">
            <v>59043.75</v>
          </cell>
          <cell r="AN814">
            <v>59043.75</v>
          </cell>
          <cell r="AR814">
            <v>59043.75</v>
          </cell>
          <cell r="AV814">
            <v>59043.75</v>
          </cell>
          <cell r="AZ814">
            <v>59043.75</v>
          </cell>
        </row>
        <row r="815">
          <cell r="Q815">
            <v>134702.85999999999</v>
          </cell>
          <cell r="S815">
            <v>134702.85999999999</v>
          </cell>
          <cell r="U815">
            <v>139961.60000000001</v>
          </cell>
          <cell r="V815">
            <v>140236.6</v>
          </cell>
          <cell r="W815">
            <v>144720.29</v>
          </cell>
          <cell r="Y815">
            <v>146059.29</v>
          </cell>
          <cell r="AA815">
            <v>156448.78</v>
          </cell>
          <cell r="AJ815">
            <v>123046.25666666665</v>
          </cell>
          <cell r="AN815">
            <v>130108.77625</v>
          </cell>
          <cell r="AR815">
            <v>137164.26333333334</v>
          </cell>
          <cell r="AV815">
            <v>144124.53833333333</v>
          </cell>
          <cell r="AZ815">
            <v>150871.66916666669</v>
          </cell>
        </row>
        <row r="816">
          <cell r="Q816">
            <v>20193.82</v>
          </cell>
          <cell r="S816">
            <v>20293.82</v>
          </cell>
          <cell r="U816">
            <v>20293.82</v>
          </cell>
          <cell r="V816">
            <v>20293.82</v>
          </cell>
          <cell r="W816">
            <v>20293.82</v>
          </cell>
          <cell r="Y816">
            <v>20293.82</v>
          </cell>
          <cell r="AA816">
            <v>126042.95</v>
          </cell>
          <cell r="AJ816">
            <v>9296.0500000000011</v>
          </cell>
          <cell r="AN816">
            <v>16031.536666666669</v>
          </cell>
          <cell r="AR816">
            <v>20256.320000000003</v>
          </cell>
          <cell r="AV816">
            <v>63775.118333333339</v>
          </cell>
          <cell r="AZ816">
            <v>170423.08458333332</v>
          </cell>
        </row>
        <row r="817">
          <cell r="Q817">
            <v>2431.75</v>
          </cell>
          <cell r="S817">
            <v>2431.75</v>
          </cell>
          <cell r="U817">
            <v>10526.89</v>
          </cell>
          <cell r="V817">
            <v>13871.88</v>
          </cell>
          <cell r="W817">
            <v>23663.38</v>
          </cell>
          <cell r="Y817">
            <v>24383.38</v>
          </cell>
          <cell r="AA817">
            <v>29544</v>
          </cell>
          <cell r="AJ817">
            <v>699.44791666666663</v>
          </cell>
          <cell r="AN817">
            <v>2379.4237499999999</v>
          </cell>
          <cell r="AR817">
            <v>8933.9050000000007</v>
          </cell>
          <cell r="AV817">
            <v>18734.897083333333</v>
          </cell>
          <cell r="AZ817">
            <v>26902.921249999999</v>
          </cell>
        </row>
        <row r="818">
          <cell r="Q818">
            <v>145168.22</v>
          </cell>
          <cell r="S818">
            <v>148663.92000000001</v>
          </cell>
          <cell r="U818">
            <v>158105.14000000001</v>
          </cell>
          <cell r="V818">
            <v>158953.32</v>
          </cell>
          <cell r="W818">
            <v>159479.07</v>
          </cell>
          <cell r="Y818">
            <v>167029.15</v>
          </cell>
          <cell r="AA818">
            <v>145168.22</v>
          </cell>
          <cell r="AJ818">
            <v>27224.006666666668</v>
          </cell>
          <cell r="AN818">
            <v>76988.809166666688</v>
          </cell>
          <cell r="AR818">
            <v>130181.35583333333</v>
          </cell>
          <cell r="AV818">
            <v>136892.10500000001</v>
          </cell>
          <cell r="AZ818">
            <v>87127.302500000005</v>
          </cell>
        </row>
        <row r="819">
          <cell r="AV819">
            <v>0</v>
          </cell>
          <cell r="AZ819">
            <v>0</v>
          </cell>
        </row>
        <row r="820">
          <cell r="AV820">
            <v>94173.208333333328</v>
          </cell>
          <cell r="AZ820">
            <v>873833.875</v>
          </cell>
        </row>
        <row r="821">
          <cell r="AV821">
            <v>0</v>
          </cell>
          <cell r="AZ821">
            <v>0</v>
          </cell>
        </row>
        <row r="822">
          <cell r="AV822">
            <v>0</v>
          </cell>
          <cell r="AZ822">
            <v>0</v>
          </cell>
        </row>
        <row r="823">
          <cell r="AV823">
            <v>0</v>
          </cell>
          <cell r="AZ823">
            <v>0</v>
          </cell>
        </row>
        <row r="824">
          <cell r="Q824">
            <v>0</v>
          </cell>
          <cell r="S824">
            <v>1776134.11</v>
          </cell>
          <cell r="U824">
            <v>3292529.36</v>
          </cell>
          <cell r="V824">
            <v>3898904.18</v>
          </cell>
          <cell r="W824">
            <v>4575129.4800000004</v>
          </cell>
          <cell r="Y824">
            <v>6861240.1100000003</v>
          </cell>
          <cell r="AA824">
            <v>8986240.3000000007</v>
          </cell>
          <cell r="AJ824">
            <v>3654979.5662499997</v>
          </cell>
          <cell r="AN824">
            <v>3736796.9866666668</v>
          </cell>
          <cell r="AR824">
            <v>4051784.8533333335</v>
          </cell>
          <cell r="AV824">
            <v>4684068.0350000001</v>
          </cell>
          <cell r="AZ824">
            <v>4391181.794999999</v>
          </cell>
        </row>
        <row r="825">
          <cell r="Q825">
            <v>178527.94</v>
          </cell>
          <cell r="S825">
            <v>168026.28</v>
          </cell>
          <cell r="U825">
            <v>157524.62</v>
          </cell>
          <cell r="V825">
            <v>152273.79</v>
          </cell>
          <cell r="W825">
            <v>147022.96</v>
          </cell>
          <cell r="Y825">
            <v>136521.29999999999</v>
          </cell>
          <cell r="AA825">
            <v>126019.64</v>
          </cell>
          <cell r="AJ825">
            <v>245689.56666666665</v>
          </cell>
          <cell r="AN825">
            <v>201400.27333333332</v>
          </cell>
          <cell r="AR825">
            <v>168753.96666666665</v>
          </cell>
          <cell r="AV825">
            <v>147022.96</v>
          </cell>
          <cell r="AZ825">
            <v>122081.52916666666</v>
          </cell>
        </row>
        <row r="826">
          <cell r="Q826">
            <v>77670.259999999995</v>
          </cell>
          <cell r="S826">
            <v>72976.62</v>
          </cell>
          <cell r="U826">
            <v>68407.78</v>
          </cell>
          <cell r="V826">
            <v>66123.360000000001</v>
          </cell>
          <cell r="W826">
            <v>63838.94</v>
          </cell>
          <cell r="Y826">
            <v>59270.1</v>
          </cell>
          <cell r="AA826">
            <v>54701.26</v>
          </cell>
          <cell r="AJ826">
            <v>105389.88166666665</v>
          </cell>
          <cell r="AN826">
            <v>87064.388333333336</v>
          </cell>
          <cell r="AR826">
            <v>73309.401666666672</v>
          </cell>
          <cell r="AV826">
            <v>63844.140000000007</v>
          </cell>
          <cell r="AZ826">
            <v>52993.145833333343</v>
          </cell>
        </row>
        <row r="827">
          <cell r="Q827">
            <v>0</v>
          </cell>
          <cell r="S827">
            <v>0</v>
          </cell>
          <cell r="U827">
            <v>0</v>
          </cell>
          <cell r="V827">
            <v>0</v>
          </cell>
          <cell r="W827">
            <v>0</v>
          </cell>
          <cell r="Y827">
            <v>0</v>
          </cell>
          <cell r="AA827">
            <v>0</v>
          </cell>
          <cell r="AJ827">
            <v>0</v>
          </cell>
          <cell r="AN827">
            <v>0</v>
          </cell>
          <cell r="AR827">
            <v>0</v>
          </cell>
          <cell r="AV827">
            <v>0</v>
          </cell>
          <cell r="AZ827">
            <v>0</v>
          </cell>
        </row>
        <row r="828">
          <cell r="Q828">
            <v>414135.74</v>
          </cell>
          <cell r="S828">
            <v>389774.82</v>
          </cell>
          <cell r="U828">
            <v>365413.9</v>
          </cell>
          <cell r="V828">
            <v>353233.44</v>
          </cell>
          <cell r="W828">
            <v>341052.98</v>
          </cell>
          <cell r="Y828">
            <v>316692.06</v>
          </cell>
          <cell r="AA828">
            <v>292331.14</v>
          </cell>
          <cell r="AJ828">
            <v>561727.12416666665</v>
          </cell>
          <cell r="AN828">
            <v>464346.5908333335</v>
          </cell>
          <cell r="AR828">
            <v>391295.40416666662</v>
          </cell>
          <cell r="AV828">
            <v>341052.98000000004</v>
          </cell>
          <cell r="AZ828">
            <v>283195.79083333333</v>
          </cell>
        </row>
        <row r="829">
          <cell r="Q829">
            <v>230333.2</v>
          </cell>
          <cell r="S829">
            <v>216784.18</v>
          </cell>
          <cell r="U829">
            <v>203235.16</v>
          </cell>
          <cell r="V829">
            <v>196460.65</v>
          </cell>
          <cell r="W829">
            <v>189686.14</v>
          </cell>
          <cell r="Y829">
            <v>176137.12</v>
          </cell>
          <cell r="AA829">
            <v>162588.1</v>
          </cell>
          <cell r="AJ829">
            <v>312420.29499999998</v>
          </cell>
          <cell r="AN829">
            <v>258259.37500000003</v>
          </cell>
          <cell r="AR829">
            <v>217629.89499999993</v>
          </cell>
          <cell r="AV829">
            <v>189686.14</v>
          </cell>
          <cell r="AZ829">
            <v>157507.22333333336</v>
          </cell>
        </row>
        <row r="830">
          <cell r="Q830">
            <v>46498.65</v>
          </cell>
          <cell r="S830">
            <v>44072.83</v>
          </cell>
          <cell r="U830">
            <v>41489.089999999997</v>
          </cell>
          <cell r="V830">
            <v>37464.15</v>
          </cell>
          <cell r="W830">
            <v>36172.28</v>
          </cell>
          <cell r="Y830">
            <v>33588.54</v>
          </cell>
          <cell r="AA830">
            <v>31004.799999999999</v>
          </cell>
          <cell r="AJ830">
            <v>51508.722916666673</v>
          </cell>
          <cell r="AN830">
            <v>49178.409166666679</v>
          </cell>
          <cell r="AR830">
            <v>43108.808750000004</v>
          </cell>
          <cell r="AV830">
            <v>37190.601249999992</v>
          </cell>
          <cell r="AZ830">
            <v>30149.778749999998</v>
          </cell>
        </row>
        <row r="831">
          <cell r="Q831">
            <v>-12647.51</v>
          </cell>
          <cell r="S831">
            <v>-11903.51</v>
          </cell>
          <cell r="U831">
            <v>-11159.51</v>
          </cell>
          <cell r="V831">
            <v>-10787.51</v>
          </cell>
          <cell r="W831">
            <v>-10415.51</v>
          </cell>
          <cell r="Y831">
            <v>-9671.51</v>
          </cell>
          <cell r="AA831">
            <v>-8927.51</v>
          </cell>
          <cell r="AJ831">
            <v>-13360.51</v>
          </cell>
          <cell r="AN831">
            <v>-12864.51</v>
          </cell>
          <cell r="AR831">
            <v>-11872.509999999997</v>
          </cell>
          <cell r="AV831">
            <v>-10415.509999999997</v>
          </cell>
          <cell r="AZ831">
            <v>-8648.5304166666665</v>
          </cell>
        </row>
        <row r="832">
          <cell r="V832">
            <v>2733.07</v>
          </cell>
          <cell r="W832">
            <v>2733.07</v>
          </cell>
          <cell r="Y832">
            <v>3442.61</v>
          </cell>
          <cell r="AA832">
            <v>3442.61</v>
          </cell>
          <cell r="AJ832">
            <v>0</v>
          </cell>
          <cell r="AN832">
            <v>0</v>
          </cell>
          <cell r="AR832">
            <v>878.50458333333336</v>
          </cell>
          <cell r="AV832">
            <v>2026.0412500000002</v>
          </cell>
          <cell r="AZ832">
            <v>3030.1358333333337</v>
          </cell>
        </row>
        <row r="833">
          <cell r="V833">
            <v>0</v>
          </cell>
          <cell r="W833">
            <v>0</v>
          </cell>
          <cell r="Y833">
            <v>0</v>
          </cell>
          <cell r="AA833">
            <v>0</v>
          </cell>
          <cell r="AJ833">
            <v>0</v>
          </cell>
          <cell r="AN833">
            <v>0</v>
          </cell>
          <cell r="AR833">
            <v>0</v>
          </cell>
          <cell r="AV833">
            <v>0</v>
          </cell>
          <cell r="AZ833">
            <v>0</v>
          </cell>
        </row>
        <row r="834">
          <cell r="AV834">
            <v>0</v>
          </cell>
          <cell r="AZ834">
            <v>0</v>
          </cell>
        </row>
        <row r="835">
          <cell r="AV835">
            <v>0</v>
          </cell>
          <cell r="AZ835">
            <v>6641.1629166666671</v>
          </cell>
        </row>
        <row r="836">
          <cell r="AV836">
            <v>0</v>
          </cell>
          <cell r="AZ836">
            <v>14465.183333333334</v>
          </cell>
        </row>
        <row r="837">
          <cell r="U837">
            <v>0</v>
          </cell>
          <cell r="V837">
            <v>0</v>
          </cell>
          <cell r="W837">
            <v>0</v>
          </cell>
          <cell r="Y837">
            <v>0</v>
          </cell>
          <cell r="AA837">
            <v>0</v>
          </cell>
          <cell r="AJ837">
            <v>0</v>
          </cell>
          <cell r="AN837">
            <v>0</v>
          </cell>
          <cell r="AR837">
            <v>0</v>
          </cell>
          <cell r="AV837">
            <v>0</v>
          </cell>
          <cell r="AZ837">
            <v>0</v>
          </cell>
        </row>
        <row r="838">
          <cell r="Q838">
            <v>144422</v>
          </cell>
          <cell r="S838">
            <v>141366</v>
          </cell>
          <cell r="U838">
            <v>138310</v>
          </cell>
          <cell r="V838">
            <v>136782</v>
          </cell>
          <cell r="W838">
            <v>135254</v>
          </cell>
          <cell r="Y838">
            <v>132198</v>
          </cell>
          <cell r="AA838">
            <v>129142</v>
          </cell>
          <cell r="AJ838">
            <v>153590</v>
          </cell>
          <cell r="AN838">
            <v>147478</v>
          </cell>
          <cell r="AR838">
            <v>141366</v>
          </cell>
          <cell r="AV838">
            <v>135254</v>
          </cell>
          <cell r="AZ838">
            <v>129142</v>
          </cell>
        </row>
        <row r="839">
          <cell r="Q839">
            <v>0</v>
          </cell>
          <cell r="S839">
            <v>0</v>
          </cell>
          <cell r="U839">
            <v>0</v>
          </cell>
          <cell r="V839">
            <v>0</v>
          </cell>
          <cell r="W839">
            <v>0</v>
          </cell>
          <cell r="Y839">
            <v>0</v>
          </cell>
          <cell r="AA839">
            <v>0</v>
          </cell>
          <cell r="AJ839">
            <v>0</v>
          </cell>
          <cell r="AN839">
            <v>0</v>
          </cell>
          <cell r="AR839">
            <v>0</v>
          </cell>
          <cell r="AV839">
            <v>0</v>
          </cell>
          <cell r="AZ839">
            <v>0</v>
          </cell>
        </row>
        <row r="840">
          <cell r="Q840">
            <v>0</v>
          </cell>
          <cell r="S840">
            <v>0</v>
          </cell>
          <cell r="U840">
            <v>0</v>
          </cell>
          <cell r="V840">
            <v>0</v>
          </cell>
          <cell r="W840">
            <v>0</v>
          </cell>
          <cell r="Y840">
            <v>0</v>
          </cell>
          <cell r="AA840">
            <v>0</v>
          </cell>
          <cell r="AJ840">
            <v>0</v>
          </cell>
          <cell r="AN840">
            <v>0</v>
          </cell>
          <cell r="AR840">
            <v>0</v>
          </cell>
          <cell r="AV840">
            <v>0</v>
          </cell>
          <cell r="AZ840">
            <v>0</v>
          </cell>
        </row>
        <row r="841">
          <cell r="Q841">
            <v>2547275.2000000002</v>
          </cell>
          <cell r="S841">
            <v>2519128.52</v>
          </cell>
          <cell r="U841">
            <v>2490981.84</v>
          </cell>
          <cell r="V841">
            <v>2476908.5</v>
          </cell>
          <cell r="W841">
            <v>2462835.16</v>
          </cell>
          <cell r="Y841">
            <v>2434688.48</v>
          </cell>
          <cell r="AA841">
            <v>2406541.7999999998</v>
          </cell>
          <cell r="AJ841">
            <v>2631715.2762500001</v>
          </cell>
          <cell r="AN841">
            <v>2575421.8929166668</v>
          </cell>
          <cell r="AR841">
            <v>2519128.5229166667</v>
          </cell>
          <cell r="AV841">
            <v>2462835.16</v>
          </cell>
          <cell r="AZ841">
            <v>2406541.8000000007</v>
          </cell>
        </row>
        <row r="842">
          <cell r="Q842">
            <v>451369.41</v>
          </cell>
          <cell r="S842">
            <v>448521.65</v>
          </cell>
          <cell r="U842">
            <v>445673.89</v>
          </cell>
          <cell r="V842">
            <v>444250.01</v>
          </cell>
          <cell r="W842">
            <v>442826.13</v>
          </cell>
          <cell r="Y842">
            <v>439978.37</v>
          </cell>
          <cell r="AA842">
            <v>437130.61</v>
          </cell>
          <cell r="AJ842">
            <v>459912.65250000008</v>
          </cell>
          <cell r="AN842">
            <v>454217.15250000008</v>
          </cell>
          <cell r="AR842">
            <v>448521.65000000008</v>
          </cell>
          <cell r="AV842">
            <v>442826.13000000012</v>
          </cell>
          <cell r="AZ842">
            <v>437130.61000000004</v>
          </cell>
        </row>
        <row r="843">
          <cell r="Q843">
            <v>4232226.6100000003</v>
          </cell>
          <cell r="S843">
            <v>4193925.91</v>
          </cell>
          <cell r="U843">
            <v>4155625.21</v>
          </cell>
          <cell r="V843">
            <v>4136474.86</v>
          </cell>
          <cell r="W843">
            <v>4117324.51</v>
          </cell>
          <cell r="Y843">
            <v>4079023.81</v>
          </cell>
          <cell r="AA843">
            <v>4040723.11</v>
          </cell>
          <cell r="AJ843">
            <v>4347128.6908333329</v>
          </cell>
          <cell r="AN843">
            <v>4270527.2975000003</v>
          </cell>
          <cell r="AR843">
            <v>4193925.9041666668</v>
          </cell>
          <cell r="AV843">
            <v>4117324.51</v>
          </cell>
          <cell r="AZ843">
            <v>4040723.11</v>
          </cell>
        </row>
        <row r="844">
          <cell r="Q844">
            <v>0</v>
          </cell>
          <cell r="S844">
            <v>0</v>
          </cell>
          <cell r="U844">
            <v>0</v>
          </cell>
          <cell r="V844">
            <v>0</v>
          </cell>
          <cell r="W844">
            <v>0</v>
          </cell>
          <cell r="Y844">
            <v>0</v>
          </cell>
          <cell r="AA844">
            <v>0</v>
          </cell>
          <cell r="AJ844">
            <v>0</v>
          </cell>
          <cell r="AN844">
            <v>0</v>
          </cell>
          <cell r="AR844">
            <v>0</v>
          </cell>
          <cell r="AV844">
            <v>0</v>
          </cell>
          <cell r="AZ844">
            <v>0</v>
          </cell>
        </row>
        <row r="845">
          <cell r="Q845">
            <v>33238.550000000003</v>
          </cell>
          <cell r="S845">
            <v>32655.41</v>
          </cell>
          <cell r="U845">
            <v>32072.27</v>
          </cell>
          <cell r="V845">
            <v>31780.7</v>
          </cell>
          <cell r="W845">
            <v>31489.13</v>
          </cell>
          <cell r="Y845">
            <v>30905.99</v>
          </cell>
          <cell r="AA845">
            <v>30322.85</v>
          </cell>
          <cell r="AJ845">
            <v>34987.950833333329</v>
          </cell>
          <cell r="AN845">
            <v>33821.677499999998</v>
          </cell>
          <cell r="AR845">
            <v>32655.404166666671</v>
          </cell>
          <cell r="AV845">
            <v>31489.129999999994</v>
          </cell>
          <cell r="AZ845">
            <v>30322.849999999995</v>
          </cell>
        </row>
        <row r="846">
          <cell r="Q846">
            <v>1008150.07</v>
          </cell>
          <cell r="S846">
            <v>1000569.99</v>
          </cell>
          <cell r="U846">
            <v>992989.91</v>
          </cell>
          <cell r="V846">
            <v>989199.87</v>
          </cell>
          <cell r="W846">
            <v>985409.83</v>
          </cell>
          <cell r="Y846">
            <v>977829.75</v>
          </cell>
          <cell r="AA846">
            <v>970249.67</v>
          </cell>
          <cell r="AJ846">
            <v>1030890.3004166665</v>
          </cell>
          <cell r="AN846">
            <v>1015730.1437499998</v>
          </cell>
          <cell r="AR846">
            <v>1000569.9870833332</v>
          </cell>
          <cell r="AV846">
            <v>985409.83000000007</v>
          </cell>
          <cell r="AZ846">
            <v>970249.67</v>
          </cell>
        </row>
        <row r="847">
          <cell r="Q847">
            <v>766111.02</v>
          </cell>
          <cell r="S847">
            <v>760350.78</v>
          </cell>
          <cell r="U847">
            <v>754590.54</v>
          </cell>
          <cell r="V847">
            <v>751710.42</v>
          </cell>
          <cell r="W847">
            <v>748830.3</v>
          </cell>
          <cell r="Y847">
            <v>743070.06</v>
          </cell>
          <cell r="AA847">
            <v>737309.82</v>
          </cell>
          <cell r="AJ847">
            <v>783391.73041666672</v>
          </cell>
          <cell r="AN847">
            <v>771871.25375000003</v>
          </cell>
          <cell r="AR847">
            <v>760350.77708333323</v>
          </cell>
          <cell r="AV847">
            <v>748830.29999999993</v>
          </cell>
          <cell r="AZ847">
            <v>737309.82</v>
          </cell>
        </row>
        <row r="848">
          <cell r="Q848">
            <v>2345797.09</v>
          </cell>
          <cell r="S848">
            <v>2328159.5099999998</v>
          </cell>
          <cell r="U848">
            <v>2310521.9300000002</v>
          </cell>
          <cell r="V848">
            <v>2301703.14</v>
          </cell>
          <cell r="W848">
            <v>2292884.35</v>
          </cell>
          <cell r="Y848">
            <v>2275246.77</v>
          </cell>
          <cell r="AA848">
            <v>2257609.19</v>
          </cell>
          <cell r="AJ848">
            <v>2398709.8204166666</v>
          </cell>
          <cell r="AN848">
            <v>2363434.6637499998</v>
          </cell>
          <cell r="AR848">
            <v>2328159.5070833336</v>
          </cell>
          <cell r="AV848">
            <v>2292884.35</v>
          </cell>
          <cell r="AZ848">
            <v>2257609.1900000004</v>
          </cell>
        </row>
        <row r="849">
          <cell r="Q849">
            <v>715934.91</v>
          </cell>
          <cell r="S849">
            <v>710551.95</v>
          </cell>
          <cell r="U849">
            <v>705168.99</v>
          </cell>
          <cell r="V849">
            <v>702477.51</v>
          </cell>
          <cell r="W849">
            <v>699786.03</v>
          </cell>
          <cell r="Y849">
            <v>694403.07</v>
          </cell>
          <cell r="AA849">
            <v>689020.11</v>
          </cell>
          <cell r="AJ849">
            <v>732083.8091666667</v>
          </cell>
          <cell r="AN849">
            <v>721317.88249999995</v>
          </cell>
          <cell r="AR849">
            <v>710551.9558333332</v>
          </cell>
          <cell r="AV849">
            <v>699786.02999999991</v>
          </cell>
          <cell r="AZ849">
            <v>689020.11</v>
          </cell>
        </row>
        <row r="850">
          <cell r="Q850">
            <v>14834.22</v>
          </cell>
          <cell r="S850">
            <v>14644.04</v>
          </cell>
          <cell r="U850">
            <v>14453.86</v>
          </cell>
          <cell r="V850">
            <v>14358.77</v>
          </cell>
          <cell r="W850">
            <v>14263.68</v>
          </cell>
          <cell r="Y850">
            <v>14073.5</v>
          </cell>
          <cell r="AA850">
            <v>13883.32</v>
          </cell>
          <cell r="AJ850">
            <v>15404.76</v>
          </cell>
          <cell r="AN850">
            <v>15024.400000000001</v>
          </cell>
          <cell r="AR850">
            <v>14644.039999999999</v>
          </cell>
          <cell r="AV850">
            <v>14263.68</v>
          </cell>
          <cell r="AZ850">
            <v>13883.32</v>
          </cell>
        </row>
        <row r="851">
          <cell r="Q851">
            <v>34612.410000000003</v>
          </cell>
          <cell r="S851">
            <v>34168.65</v>
          </cell>
          <cell r="U851">
            <v>33724.89</v>
          </cell>
          <cell r="V851">
            <v>33503.01</v>
          </cell>
          <cell r="W851">
            <v>33281.129999999997</v>
          </cell>
          <cell r="Y851">
            <v>32837.370000000003</v>
          </cell>
          <cell r="AA851">
            <v>32393.61</v>
          </cell>
          <cell r="AJ851">
            <v>35943.689999999995</v>
          </cell>
          <cell r="AN851">
            <v>35056.17</v>
          </cell>
          <cell r="AR851">
            <v>34168.65</v>
          </cell>
          <cell r="AV851">
            <v>33281.129999999997</v>
          </cell>
          <cell r="AZ851">
            <v>32393.610000000004</v>
          </cell>
        </row>
        <row r="852">
          <cell r="Q852">
            <v>0</v>
          </cell>
          <cell r="S852">
            <v>0</v>
          </cell>
          <cell r="U852">
            <v>0</v>
          </cell>
          <cell r="V852">
            <v>0</v>
          </cell>
          <cell r="W852">
            <v>0</v>
          </cell>
          <cell r="Y852">
            <v>0</v>
          </cell>
          <cell r="AA852">
            <v>0</v>
          </cell>
          <cell r="AJ852">
            <v>0</v>
          </cell>
          <cell r="AN852">
            <v>0</v>
          </cell>
          <cell r="AR852">
            <v>0</v>
          </cell>
          <cell r="AV852">
            <v>0</v>
          </cell>
          <cell r="AZ852">
            <v>0</v>
          </cell>
        </row>
        <row r="853">
          <cell r="Q853">
            <v>853971.32</v>
          </cell>
          <cell r="S853">
            <v>843557.04</v>
          </cell>
          <cell r="U853">
            <v>833142.76</v>
          </cell>
          <cell r="V853">
            <v>827935.62</v>
          </cell>
          <cell r="W853">
            <v>822728.48</v>
          </cell>
          <cell r="Y853">
            <v>812314.2</v>
          </cell>
          <cell r="AA853">
            <v>801899.92</v>
          </cell>
          <cell r="AJ853">
            <v>885214.16000000015</v>
          </cell>
          <cell r="AN853">
            <v>864385.6</v>
          </cell>
          <cell r="AR853">
            <v>843557.04</v>
          </cell>
          <cell r="AV853">
            <v>822728.48</v>
          </cell>
          <cell r="AZ853">
            <v>801899.92</v>
          </cell>
        </row>
        <row r="854">
          <cell r="Q854">
            <v>395356.79</v>
          </cell>
          <cell r="S854">
            <v>378883.59</v>
          </cell>
          <cell r="U854">
            <v>362410.39</v>
          </cell>
          <cell r="V854">
            <v>354173.79</v>
          </cell>
          <cell r="W854">
            <v>345937.19</v>
          </cell>
          <cell r="Y854">
            <v>329463.99</v>
          </cell>
          <cell r="AA854">
            <v>312990.78999999998</v>
          </cell>
          <cell r="AJ854">
            <v>444776.37291666679</v>
          </cell>
          <cell r="AN854">
            <v>411829.98958333326</v>
          </cell>
          <cell r="AR854">
            <v>378883.59291666659</v>
          </cell>
          <cell r="AV854">
            <v>345937.19</v>
          </cell>
          <cell r="AZ854">
            <v>312990.78999999998</v>
          </cell>
        </row>
        <row r="855">
          <cell r="Q855">
            <v>50188.72</v>
          </cell>
          <cell r="S855">
            <v>47614.94</v>
          </cell>
          <cell r="U855">
            <v>45041.16</v>
          </cell>
          <cell r="V855">
            <v>43754.27</v>
          </cell>
          <cell r="W855">
            <v>42467.38</v>
          </cell>
          <cell r="Y855">
            <v>39893.599999999999</v>
          </cell>
          <cell r="AA855">
            <v>37319.82</v>
          </cell>
          <cell r="AJ855">
            <v>57910.042916666665</v>
          </cell>
          <cell r="AN855">
            <v>52762.499583333345</v>
          </cell>
          <cell r="AR855">
            <v>47614.94291666666</v>
          </cell>
          <cell r="AV855">
            <v>42467.38</v>
          </cell>
          <cell r="AZ855">
            <v>37319.82</v>
          </cell>
        </row>
        <row r="856">
          <cell r="Q856">
            <v>155400.29999999999</v>
          </cell>
          <cell r="S856">
            <v>153624.32000000001</v>
          </cell>
          <cell r="U856">
            <v>151848.34</v>
          </cell>
          <cell r="V856">
            <v>150960.35</v>
          </cell>
          <cell r="W856">
            <v>150072.35999999999</v>
          </cell>
          <cell r="Y856">
            <v>148296.38</v>
          </cell>
          <cell r="AA856">
            <v>146520.4</v>
          </cell>
          <cell r="AJ856">
            <v>160728.24000000002</v>
          </cell>
          <cell r="AN856">
            <v>157176.28000000003</v>
          </cell>
          <cell r="AR856">
            <v>153624.32000000004</v>
          </cell>
          <cell r="AV856">
            <v>150072.35999999999</v>
          </cell>
          <cell r="AZ856">
            <v>146520.4</v>
          </cell>
        </row>
        <row r="857">
          <cell r="Q857">
            <v>0</v>
          </cell>
          <cell r="S857">
            <v>0</v>
          </cell>
          <cell r="U857">
            <v>0</v>
          </cell>
          <cell r="V857">
            <v>0</v>
          </cell>
          <cell r="W857">
            <v>0</v>
          </cell>
          <cell r="Y857">
            <v>0</v>
          </cell>
          <cell r="AA857">
            <v>0</v>
          </cell>
          <cell r="AJ857">
            <v>0</v>
          </cell>
          <cell r="AN857">
            <v>0</v>
          </cell>
          <cell r="AR857">
            <v>0</v>
          </cell>
          <cell r="AV857">
            <v>0</v>
          </cell>
          <cell r="AZ857">
            <v>0</v>
          </cell>
        </row>
        <row r="858">
          <cell r="Q858">
            <v>5418087.7599999998</v>
          </cell>
          <cell r="S858">
            <v>5385250.8600000003</v>
          </cell>
          <cell r="U858">
            <v>5352413.96</v>
          </cell>
          <cell r="V858">
            <v>5335995.51</v>
          </cell>
          <cell r="W858">
            <v>5319577.0599999996</v>
          </cell>
          <cell r="Y858">
            <v>5286740.16</v>
          </cell>
          <cell r="AA858">
            <v>5253903.26</v>
          </cell>
          <cell r="AJ858">
            <v>5516598.46</v>
          </cell>
          <cell r="AN858">
            <v>5450924.6600000001</v>
          </cell>
          <cell r="AR858">
            <v>5385250.8600000003</v>
          </cell>
          <cell r="AV858">
            <v>5319577.0599999996</v>
          </cell>
          <cell r="AZ858">
            <v>5253903.26</v>
          </cell>
        </row>
        <row r="859">
          <cell r="Q859">
            <v>1607202.99</v>
          </cell>
          <cell r="S859">
            <v>1575377.19</v>
          </cell>
          <cell r="U859">
            <v>1543551.39</v>
          </cell>
          <cell r="V859">
            <v>1527638.49</v>
          </cell>
          <cell r="W859">
            <v>1511725.59</v>
          </cell>
          <cell r="Y859">
            <v>1479899.79</v>
          </cell>
          <cell r="AA859">
            <v>1448073.99</v>
          </cell>
          <cell r="AJ859">
            <v>1702680.39</v>
          </cell>
          <cell r="AN859">
            <v>1639028.7899999998</v>
          </cell>
          <cell r="AR859">
            <v>1575377.1900000002</v>
          </cell>
          <cell r="AV859">
            <v>1511725.5899999999</v>
          </cell>
          <cell r="AZ859">
            <v>1448073.99</v>
          </cell>
        </row>
        <row r="860">
          <cell r="Q860">
            <v>10796919.33</v>
          </cell>
          <cell r="S860">
            <v>11980919.33</v>
          </cell>
          <cell r="U860">
            <v>12353919.33</v>
          </cell>
          <cell r="V860">
            <v>12203919.33</v>
          </cell>
          <cell r="W860">
            <v>12197919.33</v>
          </cell>
          <cell r="Y860">
            <v>12111919.33</v>
          </cell>
          <cell r="AA860">
            <v>12135919.33</v>
          </cell>
          <cell r="AJ860">
            <v>11449158.413333334</v>
          </cell>
          <cell r="AN860">
            <v>11357112.08</v>
          </cell>
          <cell r="AR860">
            <v>11629107.413333334</v>
          </cell>
          <cell r="AV860">
            <v>11982252.663333334</v>
          </cell>
          <cell r="AZ860">
            <v>11841335.996666668</v>
          </cell>
        </row>
        <row r="861">
          <cell r="Q861">
            <v>0</v>
          </cell>
          <cell r="S861">
            <v>0</v>
          </cell>
          <cell r="U861">
            <v>0</v>
          </cell>
          <cell r="V861">
            <v>0</v>
          </cell>
          <cell r="W861">
            <v>0</v>
          </cell>
          <cell r="Y861">
            <v>0</v>
          </cell>
          <cell r="AA861">
            <v>0</v>
          </cell>
          <cell r="AJ861">
            <v>0</v>
          </cell>
          <cell r="AN861">
            <v>0</v>
          </cell>
          <cell r="AR861">
            <v>0</v>
          </cell>
          <cell r="AV861">
            <v>0</v>
          </cell>
          <cell r="AZ861">
            <v>0</v>
          </cell>
        </row>
        <row r="862">
          <cell r="Q862">
            <v>0</v>
          </cell>
          <cell r="S862">
            <v>0</v>
          </cell>
          <cell r="U862">
            <v>0</v>
          </cell>
          <cell r="V862">
            <v>0</v>
          </cell>
          <cell r="W862">
            <v>0</v>
          </cell>
          <cell r="Y862">
            <v>0</v>
          </cell>
          <cell r="AA862">
            <v>0</v>
          </cell>
          <cell r="AJ862">
            <v>0</v>
          </cell>
          <cell r="AN862">
            <v>0</v>
          </cell>
          <cell r="AR862">
            <v>0</v>
          </cell>
          <cell r="AV862">
            <v>0</v>
          </cell>
          <cell r="AZ862">
            <v>0</v>
          </cell>
        </row>
        <row r="863">
          <cell r="Q863">
            <v>5328888</v>
          </cell>
          <cell r="S863">
            <v>5328888</v>
          </cell>
          <cell r="U863">
            <v>5485875</v>
          </cell>
          <cell r="V863">
            <v>5485875</v>
          </cell>
          <cell r="W863">
            <v>5390249</v>
          </cell>
          <cell r="Y863">
            <v>5390249</v>
          </cell>
          <cell r="AA863">
            <v>5445607</v>
          </cell>
          <cell r="AJ863">
            <v>5092117.625</v>
          </cell>
          <cell r="AN863">
            <v>5229164.625</v>
          </cell>
          <cell r="AR863">
            <v>5355713.916666667</v>
          </cell>
          <cell r="AV863">
            <v>5418210.125</v>
          </cell>
          <cell r="AZ863">
            <v>5200089.25</v>
          </cell>
        </row>
        <row r="864">
          <cell r="Q864">
            <v>2454000</v>
          </cell>
          <cell r="S864">
            <v>2454000</v>
          </cell>
          <cell r="U864">
            <v>2454000</v>
          </cell>
          <cell r="V864">
            <v>2454000</v>
          </cell>
          <cell r="W864">
            <v>2454000</v>
          </cell>
          <cell r="Y864">
            <v>2454000</v>
          </cell>
          <cell r="AA864">
            <v>2454000</v>
          </cell>
          <cell r="AJ864">
            <v>1911583.3333333333</v>
          </cell>
          <cell r="AN864">
            <v>2100250</v>
          </cell>
          <cell r="AR864">
            <v>2288916.6666666665</v>
          </cell>
          <cell r="AV864">
            <v>2424666.6666666665</v>
          </cell>
          <cell r="AZ864">
            <v>2117083.3333333335</v>
          </cell>
        </row>
        <row r="865">
          <cell r="Q865">
            <v>0</v>
          </cell>
          <cell r="S865">
            <v>0</v>
          </cell>
          <cell r="U865">
            <v>0</v>
          </cell>
          <cell r="V865">
            <v>0</v>
          </cell>
          <cell r="W865">
            <v>0</v>
          </cell>
          <cell r="Y865">
            <v>0</v>
          </cell>
          <cell r="AA865">
            <v>0</v>
          </cell>
          <cell r="AJ865">
            <v>0</v>
          </cell>
          <cell r="AN865">
            <v>0</v>
          </cell>
          <cell r="AR865">
            <v>0</v>
          </cell>
          <cell r="AV865">
            <v>0</v>
          </cell>
          <cell r="AZ865">
            <v>0</v>
          </cell>
        </row>
        <row r="866">
          <cell r="Q866">
            <v>1620000</v>
          </cell>
          <cell r="S866">
            <v>1518000</v>
          </cell>
          <cell r="U866">
            <v>1416000</v>
          </cell>
          <cell r="V866">
            <v>1365000</v>
          </cell>
          <cell r="W866">
            <v>1314000</v>
          </cell>
          <cell r="Y866">
            <v>1212000</v>
          </cell>
          <cell r="AA866">
            <v>1110000</v>
          </cell>
          <cell r="AJ866">
            <v>1926000</v>
          </cell>
          <cell r="AN866">
            <v>1722000</v>
          </cell>
          <cell r="AR866">
            <v>1518000</v>
          </cell>
          <cell r="AV866">
            <v>1314000</v>
          </cell>
          <cell r="AZ866">
            <v>1110000</v>
          </cell>
        </row>
        <row r="867">
          <cell r="Q867">
            <v>51319603</v>
          </cell>
          <cell r="S867">
            <v>61156640.240000002</v>
          </cell>
          <cell r="U867">
            <v>53671108.43</v>
          </cell>
          <cell r="V867">
            <v>45986258.560000002</v>
          </cell>
          <cell r="W867">
            <v>42861798.280000001</v>
          </cell>
          <cell r="Y867">
            <v>46455029.840000004</v>
          </cell>
          <cell r="AA867">
            <v>33198050.079999998</v>
          </cell>
          <cell r="AJ867">
            <v>13566287.666666666</v>
          </cell>
          <cell r="AN867">
            <v>31570324.82291666</v>
          </cell>
          <cell r="AR867">
            <v>46481724.653333329</v>
          </cell>
          <cell r="AV867">
            <v>45295664.994166665</v>
          </cell>
          <cell r="AZ867">
            <v>35547889.756250001</v>
          </cell>
        </row>
        <row r="868">
          <cell r="Q868">
            <v>412105</v>
          </cell>
          <cell r="S868">
            <v>412105</v>
          </cell>
          <cell r="U868">
            <v>412105</v>
          </cell>
          <cell r="V868">
            <v>412105</v>
          </cell>
          <cell r="W868">
            <v>412105</v>
          </cell>
          <cell r="Y868">
            <v>412105</v>
          </cell>
          <cell r="AA868">
            <v>412105</v>
          </cell>
          <cell r="AJ868">
            <v>412105</v>
          </cell>
          <cell r="AN868">
            <v>418938.33333333331</v>
          </cell>
          <cell r="AR868">
            <v>418938.33333333331</v>
          </cell>
          <cell r="AV868">
            <v>418938.33333333331</v>
          </cell>
          <cell r="AZ868">
            <v>412105</v>
          </cell>
        </row>
        <row r="869">
          <cell r="Q869">
            <v>10957.58</v>
          </cell>
          <cell r="S869">
            <v>10957.58</v>
          </cell>
          <cell r="U869">
            <v>10957.58</v>
          </cell>
          <cell r="V869">
            <v>10957.58</v>
          </cell>
          <cell r="W869">
            <v>10957.58</v>
          </cell>
          <cell r="Y869">
            <v>10957.58</v>
          </cell>
          <cell r="AA869">
            <v>0</v>
          </cell>
          <cell r="AJ869">
            <v>10957.58</v>
          </cell>
          <cell r="AN869">
            <v>10957.58</v>
          </cell>
          <cell r="AR869">
            <v>10957.58</v>
          </cell>
          <cell r="AV869">
            <v>7761.6191666666664</v>
          </cell>
          <cell r="AZ869">
            <v>4109.0924999999997</v>
          </cell>
        </row>
        <row r="870">
          <cell r="Q870">
            <v>21873416</v>
          </cell>
          <cell r="S870">
            <v>24583459.18</v>
          </cell>
          <cell r="U870">
            <v>17884000.309999999</v>
          </cell>
          <cell r="V870">
            <v>12103569.51</v>
          </cell>
          <cell r="W870">
            <v>11041233.23</v>
          </cell>
          <cell r="Y870">
            <v>11925189.720000001</v>
          </cell>
          <cell r="AA870">
            <v>8803009.2300000004</v>
          </cell>
          <cell r="AJ870">
            <v>4546441.333333333</v>
          </cell>
          <cell r="AN870">
            <v>11599413.176249998</v>
          </cell>
          <cell r="AR870">
            <v>15409380.136666665</v>
          </cell>
          <cell r="AV870">
            <v>13995143.177916666</v>
          </cell>
          <cell r="AZ870">
            <v>10087888.37125</v>
          </cell>
        </row>
        <row r="871">
          <cell r="Q871">
            <v>10470344</v>
          </cell>
          <cell r="S871">
            <v>10401686</v>
          </cell>
          <cell r="U871">
            <v>10333028</v>
          </cell>
          <cell r="V871">
            <v>10298699</v>
          </cell>
          <cell r="W871">
            <v>10264370</v>
          </cell>
          <cell r="Y871">
            <v>10195712</v>
          </cell>
          <cell r="AA871">
            <v>10127054</v>
          </cell>
          <cell r="AJ871">
            <v>10676318</v>
          </cell>
          <cell r="AN871">
            <v>10539002</v>
          </cell>
          <cell r="AR871">
            <v>10401686</v>
          </cell>
          <cell r="AV871">
            <v>10264370</v>
          </cell>
          <cell r="AZ871">
            <v>10127054</v>
          </cell>
        </row>
        <row r="872">
          <cell r="Q872">
            <v>0</v>
          </cell>
          <cell r="S872">
            <v>0</v>
          </cell>
          <cell r="U872">
            <v>0</v>
          </cell>
          <cell r="V872">
            <v>0</v>
          </cell>
          <cell r="W872">
            <v>0</v>
          </cell>
          <cell r="Y872">
            <v>0</v>
          </cell>
          <cell r="AA872">
            <v>0</v>
          </cell>
          <cell r="AJ872">
            <v>0</v>
          </cell>
          <cell r="AN872">
            <v>0</v>
          </cell>
          <cell r="AR872">
            <v>0</v>
          </cell>
          <cell r="AV872">
            <v>0</v>
          </cell>
          <cell r="AZ872">
            <v>0</v>
          </cell>
        </row>
        <row r="873">
          <cell r="Q873">
            <v>0</v>
          </cell>
          <cell r="S873">
            <v>0</v>
          </cell>
          <cell r="U873">
            <v>0</v>
          </cell>
          <cell r="V873">
            <v>0</v>
          </cell>
          <cell r="W873">
            <v>0</v>
          </cell>
          <cell r="Y873">
            <v>0</v>
          </cell>
          <cell r="AA873">
            <v>0</v>
          </cell>
          <cell r="AJ873">
            <v>21041834.5</v>
          </cell>
          <cell r="AN873">
            <v>18567887.875</v>
          </cell>
          <cell r="AR873">
            <v>2682323.5416666665</v>
          </cell>
          <cell r="AV873">
            <v>0</v>
          </cell>
          <cell r="AZ873">
            <v>0</v>
          </cell>
        </row>
        <row r="874">
          <cell r="Q874">
            <v>0</v>
          </cell>
          <cell r="S874">
            <v>0</v>
          </cell>
          <cell r="U874">
            <v>0</v>
          </cell>
          <cell r="V874">
            <v>0</v>
          </cell>
          <cell r="W874">
            <v>0</v>
          </cell>
          <cell r="Y874">
            <v>0</v>
          </cell>
          <cell r="AA874">
            <v>0</v>
          </cell>
          <cell r="AJ874">
            <v>0</v>
          </cell>
          <cell r="AN874">
            <v>0</v>
          </cell>
          <cell r="AR874">
            <v>0</v>
          </cell>
          <cell r="AV874">
            <v>0</v>
          </cell>
          <cell r="AZ874">
            <v>0</v>
          </cell>
        </row>
        <row r="875">
          <cell r="Q875">
            <v>84163082</v>
          </cell>
          <cell r="S875">
            <v>85322082</v>
          </cell>
          <cell r="U875">
            <v>86462082</v>
          </cell>
          <cell r="V875">
            <v>86872082</v>
          </cell>
          <cell r="W875">
            <v>87561082</v>
          </cell>
          <cell r="Y875">
            <v>88521082</v>
          </cell>
          <cell r="AA875">
            <v>89420041</v>
          </cell>
          <cell r="AJ875">
            <v>78708748.666666672</v>
          </cell>
          <cell r="AN875">
            <v>82151498.666666672</v>
          </cell>
          <cell r="AR875">
            <v>85085457</v>
          </cell>
          <cell r="AV875">
            <v>87313528.375</v>
          </cell>
          <cell r="AZ875">
            <v>88995389.708333328</v>
          </cell>
        </row>
        <row r="876">
          <cell r="Q876">
            <v>8428000</v>
          </cell>
          <cell r="S876">
            <v>7900000</v>
          </cell>
          <cell r="U876">
            <v>7331000</v>
          </cell>
          <cell r="V876">
            <v>7070000</v>
          </cell>
          <cell r="W876">
            <v>6799000</v>
          </cell>
          <cell r="Y876">
            <v>6239000</v>
          </cell>
          <cell r="AA876">
            <v>5686000</v>
          </cell>
          <cell r="AJ876">
            <v>9968875</v>
          </cell>
          <cell r="AN876">
            <v>8901791.666666666</v>
          </cell>
          <cell r="AR876">
            <v>7880750</v>
          </cell>
          <cell r="AV876">
            <v>6790041.666666667</v>
          </cell>
          <cell r="AZ876">
            <v>5706833.333333333</v>
          </cell>
        </row>
        <row r="877">
          <cell r="Q877">
            <v>0</v>
          </cell>
          <cell r="S877">
            <v>0</v>
          </cell>
          <cell r="U877">
            <v>0</v>
          </cell>
          <cell r="V877">
            <v>0</v>
          </cell>
          <cell r="W877">
            <v>0</v>
          </cell>
          <cell r="Y877">
            <v>0</v>
          </cell>
          <cell r="AA877">
            <v>0</v>
          </cell>
          <cell r="AJ877">
            <v>-18832.5</v>
          </cell>
          <cell r="AN877">
            <v>-9416.25</v>
          </cell>
          <cell r="AR877">
            <v>0</v>
          </cell>
          <cell r="AV877">
            <v>0</v>
          </cell>
          <cell r="AZ877">
            <v>0</v>
          </cell>
        </row>
        <row r="878">
          <cell r="Q878">
            <v>81336</v>
          </cell>
          <cell r="S878">
            <v>81336</v>
          </cell>
          <cell r="U878">
            <v>69336</v>
          </cell>
          <cell r="V878">
            <v>69336</v>
          </cell>
          <cell r="W878">
            <v>57336</v>
          </cell>
          <cell r="Y878">
            <v>57336</v>
          </cell>
          <cell r="AA878">
            <v>45336</v>
          </cell>
          <cell r="AJ878">
            <v>138877.66666666666</v>
          </cell>
          <cell r="AN878">
            <v>105461</v>
          </cell>
          <cell r="AR878">
            <v>79544.333333333328</v>
          </cell>
          <cell r="AV878">
            <v>61377.666666666664</v>
          </cell>
          <cell r="AZ878">
            <v>45711</v>
          </cell>
        </row>
        <row r="879">
          <cell r="Q879">
            <v>31824059</v>
          </cell>
          <cell r="S879">
            <v>48441511.850000001</v>
          </cell>
          <cell r="U879">
            <v>57269737.200000003</v>
          </cell>
          <cell r="V879">
            <v>53394534.020000003</v>
          </cell>
          <cell r="W879">
            <v>53534945.759999998</v>
          </cell>
          <cell r="Y879">
            <v>47911050.890000001</v>
          </cell>
          <cell r="AA879">
            <v>31772828.899999999</v>
          </cell>
          <cell r="AJ879">
            <v>5933293.9333333336</v>
          </cell>
          <cell r="AN879">
            <v>20612859.430833332</v>
          </cell>
          <cell r="AR879">
            <v>37396950.076249994</v>
          </cell>
          <cell r="AV879">
            <v>44130255.040416665</v>
          </cell>
          <cell r="AZ879">
            <v>39968882.63750001</v>
          </cell>
        </row>
        <row r="880">
          <cell r="Q880">
            <v>-118022</v>
          </cell>
          <cell r="S880">
            <v>-118022</v>
          </cell>
          <cell r="U880">
            <v>0</v>
          </cell>
          <cell r="V880">
            <v>0</v>
          </cell>
          <cell r="W880">
            <v>0</v>
          </cell>
          <cell r="Y880">
            <v>0</v>
          </cell>
          <cell r="AA880">
            <v>0</v>
          </cell>
          <cell r="AJ880">
            <v>-149599.33333333334</v>
          </cell>
          <cell r="AN880">
            <v>-173532.625</v>
          </cell>
          <cell r="AR880">
            <v>-172652.375</v>
          </cell>
          <cell r="AV880">
            <v>-24587.916666666668</v>
          </cell>
          <cell r="AZ880">
            <v>0</v>
          </cell>
        </row>
        <row r="881">
          <cell r="Q881">
            <v>0</v>
          </cell>
          <cell r="S881">
            <v>0</v>
          </cell>
          <cell r="U881">
            <v>0</v>
          </cell>
          <cell r="V881">
            <v>0</v>
          </cell>
          <cell r="W881">
            <v>0</v>
          </cell>
          <cell r="Y881">
            <v>0</v>
          </cell>
          <cell r="AA881">
            <v>0</v>
          </cell>
          <cell r="AJ881">
            <v>0</v>
          </cell>
          <cell r="AN881">
            <v>0</v>
          </cell>
          <cell r="AR881">
            <v>0</v>
          </cell>
          <cell r="AV881">
            <v>0</v>
          </cell>
          <cell r="AZ881">
            <v>0</v>
          </cell>
        </row>
        <row r="882">
          <cell r="Q882">
            <v>33855518</v>
          </cell>
          <cell r="S882">
            <v>45405962.369999997</v>
          </cell>
          <cell r="U882">
            <v>40388500.93</v>
          </cell>
          <cell r="V882">
            <v>33052637.399999999</v>
          </cell>
          <cell r="W882">
            <v>32084662.48</v>
          </cell>
          <cell r="Y882">
            <v>31770776.969999999</v>
          </cell>
          <cell r="AA882">
            <v>24082491.969999999</v>
          </cell>
          <cell r="AJ882">
            <v>5453107.4366666665</v>
          </cell>
          <cell r="AN882">
            <v>18107765.056250002</v>
          </cell>
          <cell r="AR882">
            <v>28325122.659583334</v>
          </cell>
          <cell r="AV882">
            <v>32870980.846250001</v>
          </cell>
          <cell r="AZ882">
            <v>29547765.144166667</v>
          </cell>
        </row>
        <row r="883">
          <cell r="Q883">
            <v>-65675</v>
          </cell>
          <cell r="S883">
            <v>-65675</v>
          </cell>
          <cell r="U883">
            <v>0</v>
          </cell>
          <cell r="V883">
            <v>0</v>
          </cell>
          <cell r="W883">
            <v>0</v>
          </cell>
          <cell r="Y883">
            <v>0</v>
          </cell>
          <cell r="AA883">
            <v>0</v>
          </cell>
          <cell r="AJ883">
            <v>-54035.708333333336</v>
          </cell>
          <cell r="AN883">
            <v>-67457.5</v>
          </cell>
          <cell r="AR883">
            <v>-64567.208333333336</v>
          </cell>
          <cell r="AV883">
            <v>-13682.291666666666</v>
          </cell>
          <cell r="AZ883">
            <v>0</v>
          </cell>
        </row>
        <row r="884">
          <cell r="Q884">
            <v>2716379</v>
          </cell>
          <cell r="S884">
            <v>2716379</v>
          </cell>
          <cell r="U884">
            <v>2862379</v>
          </cell>
          <cell r="V884">
            <v>2862379</v>
          </cell>
          <cell r="W884">
            <v>3135379</v>
          </cell>
          <cell r="Y884">
            <v>3135379</v>
          </cell>
          <cell r="AA884">
            <v>2955379</v>
          </cell>
          <cell r="AJ884">
            <v>2542699.5416666665</v>
          </cell>
          <cell r="AN884">
            <v>2683864.875</v>
          </cell>
          <cell r="AR884">
            <v>2784405.2083333335</v>
          </cell>
          <cell r="AV884">
            <v>2929129</v>
          </cell>
          <cell r="AZ884">
            <v>3022129</v>
          </cell>
        </row>
        <row r="885">
          <cell r="Q885">
            <v>235348</v>
          </cell>
          <cell r="S885">
            <v>235348</v>
          </cell>
          <cell r="U885">
            <v>282348</v>
          </cell>
          <cell r="V885">
            <v>282348</v>
          </cell>
          <cell r="W885">
            <v>409348</v>
          </cell>
          <cell r="Y885">
            <v>409348</v>
          </cell>
          <cell r="AA885">
            <v>483348</v>
          </cell>
          <cell r="AJ885">
            <v>232889.66666666666</v>
          </cell>
          <cell r="AN885">
            <v>241223</v>
          </cell>
          <cell r="AR885">
            <v>287056.33333333331</v>
          </cell>
          <cell r="AV885">
            <v>366848</v>
          </cell>
          <cell r="AZ885">
            <v>470848</v>
          </cell>
        </row>
        <row r="886">
          <cell r="AV886">
            <v>0</v>
          </cell>
          <cell r="AZ886">
            <v>13375</v>
          </cell>
        </row>
        <row r="887">
          <cell r="Q887">
            <v>0</v>
          </cell>
          <cell r="S887">
            <v>0</v>
          </cell>
          <cell r="U887">
            <v>0</v>
          </cell>
          <cell r="V887">
            <v>0</v>
          </cell>
          <cell r="W887">
            <v>0</v>
          </cell>
          <cell r="Y887">
            <v>0</v>
          </cell>
          <cell r="AA887">
            <v>0</v>
          </cell>
          <cell r="AJ887">
            <v>120250</v>
          </cell>
          <cell r="AN887">
            <v>52250</v>
          </cell>
          <cell r="AR887">
            <v>12250</v>
          </cell>
          <cell r="AV887">
            <v>0</v>
          </cell>
          <cell r="AZ887">
            <v>0</v>
          </cell>
        </row>
        <row r="888">
          <cell r="AV888">
            <v>0</v>
          </cell>
          <cell r="AZ888">
            <v>0</v>
          </cell>
        </row>
        <row r="889">
          <cell r="Q889">
            <v>0</v>
          </cell>
          <cell r="S889">
            <v>0</v>
          </cell>
          <cell r="U889">
            <v>0</v>
          </cell>
          <cell r="V889">
            <v>0</v>
          </cell>
          <cell r="W889">
            <v>0</v>
          </cell>
          <cell r="Y889">
            <v>0</v>
          </cell>
          <cell r="AA889">
            <v>0</v>
          </cell>
          <cell r="AJ889">
            <v>26442.333333333332</v>
          </cell>
          <cell r="AN889">
            <v>17245</v>
          </cell>
          <cell r="AR889">
            <v>8047.666666666667</v>
          </cell>
          <cell r="AV889">
            <v>0</v>
          </cell>
          <cell r="AZ889">
            <v>0</v>
          </cell>
        </row>
        <row r="890">
          <cell r="Q890">
            <v>0</v>
          </cell>
          <cell r="S890">
            <v>0</v>
          </cell>
          <cell r="U890">
            <v>0</v>
          </cell>
          <cell r="V890">
            <v>0</v>
          </cell>
          <cell r="W890">
            <v>0</v>
          </cell>
          <cell r="Y890">
            <v>0</v>
          </cell>
          <cell r="AA890">
            <v>0</v>
          </cell>
          <cell r="AJ890">
            <v>0</v>
          </cell>
          <cell r="AN890">
            <v>0</v>
          </cell>
          <cell r="AR890">
            <v>0</v>
          </cell>
          <cell r="AV890">
            <v>0</v>
          </cell>
          <cell r="AZ890">
            <v>0</v>
          </cell>
        </row>
        <row r="891">
          <cell r="Q891">
            <v>10615233</v>
          </cell>
          <cell r="S891">
            <v>10615233</v>
          </cell>
          <cell r="U891">
            <v>10490233</v>
          </cell>
          <cell r="V891">
            <v>10490233</v>
          </cell>
          <cell r="W891">
            <v>10261233</v>
          </cell>
          <cell r="Y891">
            <v>10261233</v>
          </cell>
          <cell r="AA891">
            <v>10550233</v>
          </cell>
          <cell r="AJ891">
            <v>10022368.916666666</v>
          </cell>
          <cell r="AN891">
            <v>10320415.25</v>
          </cell>
          <cell r="AR891">
            <v>10429919.916666666</v>
          </cell>
          <cell r="AV891">
            <v>10488608</v>
          </cell>
          <cell r="AZ891">
            <v>10610608</v>
          </cell>
        </row>
        <row r="892">
          <cell r="Q892">
            <v>1471718</v>
          </cell>
          <cell r="S892">
            <v>1471718</v>
          </cell>
          <cell r="U892">
            <v>1348718</v>
          </cell>
          <cell r="V892">
            <v>1348718</v>
          </cell>
          <cell r="W892">
            <v>1225718</v>
          </cell>
          <cell r="Y892">
            <v>1225718</v>
          </cell>
          <cell r="AA892">
            <v>1102718</v>
          </cell>
          <cell r="AJ892">
            <v>1551676.3333333333</v>
          </cell>
          <cell r="AN892">
            <v>1507968</v>
          </cell>
          <cell r="AR892">
            <v>1413634.6666666667</v>
          </cell>
          <cell r="AV892">
            <v>1266718</v>
          </cell>
          <cell r="AZ892">
            <v>1102718</v>
          </cell>
        </row>
        <row r="893">
          <cell r="Q893">
            <v>1235000</v>
          </cell>
          <cell r="S893">
            <v>1235000</v>
          </cell>
          <cell r="U893">
            <v>1235000</v>
          </cell>
          <cell r="V893">
            <v>1235000</v>
          </cell>
          <cell r="W893">
            <v>1235000</v>
          </cell>
          <cell r="Y893">
            <v>1235000</v>
          </cell>
          <cell r="AA893">
            <v>1235000</v>
          </cell>
          <cell r="AJ893">
            <v>51458.333333333336</v>
          </cell>
          <cell r="AN893">
            <v>463125</v>
          </cell>
          <cell r="AR893">
            <v>874791.66666666663</v>
          </cell>
          <cell r="AV893">
            <v>1235000</v>
          </cell>
          <cell r="AZ893">
            <v>1235000</v>
          </cell>
        </row>
        <row r="894">
          <cell r="Q894">
            <v>0</v>
          </cell>
          <cell r="S894">
            <v>0</v>
          </cell>
          <cell r="U894">
            <v>0</v>
          </cell>
          <cell r="V894">
            <v>0</v>
          </cell>
          <cell r="W894">
            <v>0</v>
          </cell>
          <cell r="Y894">
            <v>0</v>
          </cell>
          <cell r="AA894">
            <v>0</v>
          </cell>
          <cell r="AJ894">
            <v>0</v>
          </cell>
          <cell r="AN894">
            <v>0</v>
          </cell>
          <cell r="AR894">
            <v>0</v>
          </cell>
          <cell r="AV894">
            <v>0</v>
          </cell>
          <cell r="AZ894">
            <v>0</v>
          </cell>
        </row>
        <row r="895">
          <cell r="Q895">
            <v>0</v>
          </cell>
          <cell r="S895">
            <v>0</v>
          </cell>
          <cell r="U895">
            <v>0</v>
          </cell>
          <cell r="V895">
            <v>0</v>
          </cell>
          <cell r="W895">
            <v>0</v>
          </cell>
          <cell r="Y895">
            <v>0</v>
          </cell>
          <cell r="AA895">
            <v>0</v>
          </cell>
          <cell r="AJ895">
            <v>0</v>
          </cell>
          <cell r="AN895">
            <v>0</v>
          </cell>
          <cell r="AR895">
            <v>0</v>
          </cell>
          <cell r="AV895">
            <v>0</v>
          </cell>
          <cell r="AZ895">
            <v>0</v>
          </cell>
        </row>
        <row r="896">
          <cell r="Q896">
            <v>1595730</v>
          </cell>
          <cell r="S896">
            <v>1595730</v>
          </cell>
          <cell r="U896">
            <v>0</v>
          </cell>
          <cell r="V896">
            <v>0</v>
          </cell>
          <cell r="W896">
            <v>0</v>
          </cell>
          <cell r="Y896">
            <v>0</v>
          </cell>
          <cell r="AA896">
            <v>0</v>
          </cell>
          <cell r="AJ896">
            <v>1143743.6666666667</v>
          </cell>
          <cell r="AN896">
            <v>1174501.25</v>
          </cell>
          <cell r="AR896">
            <v>796450.70833333337</v>
          </cell>
          <cell r="AV896">
            <v>332443.75</v>
          </cell>
          <cell r="AZ896">
            <v>0</v>
          </cell>
        </row>
        <row r="897">
          <cell r="Q897">
            <v>0</v>
          </cell>
          <cell r="S897">
            <v>0</v>
          </cell>
          <cell r="U897">
            <v>0</v>
          </cell>
          <cell r="V897">
            <v>0</v>
          </cell>
          <cell r="W897">
            <v>0</v>
          </cell>
          <cell r="Y897">
            <v>0</v>
          </cell>
          <cell r="AA897">
            <v>0</v>
          </cell>
          <cell r="AJ897">
            <v>17054.625</v>
          </cell>
          <cell r="AN897">
            <v>12985.125</v>
          </cell>
          <cell r="AR897">
            <v>4620.416666666667</v>
          </cell>
          <cell r="AV897">
            <v>0</v>
          </cell>
          <cell r="AZ897">
            <v>0</v>
          </cell>
        </row>
        <row r="898">
          <cell r="Q898">
            <v>1369000</v>
          </cell>
          <cell r="S898">
            <v>1369000</v>
          </cell>
          <cell r="U898">
            <v>1294000</v>
          </cell>
          <cell r="V898">
            <v>1294000</v>
          </cell>
          <cell r="W898">
            <v>1238000</v>
          </cell>
          <cell r="Y898">
            <v>1238000</v>
          </cell>
          <cell r="AA898">
            <v>1163000</v>
          </cell>
          <cell r="AJ898">
            <v>1619500</v>
          </cell>
          <cell r="AN898">
            <v>1606500</v>
          </cell>
          <cell r="AR898">
            <v>1429291.6666666667</v>
          </cell>
          <cell r="AV898">
            <v>1241833.3333333333</v>
          </cell>
          <cell r="AZ898">
            <v>1053375</v>
          </cell>
        </row>
        <row r="899">
          <cell r="U899">
            <v>1614443</v>
          </cell>
          <cell r="V899">
            <v>1614443</v>
          </cell>
          <cell r="W899">
            <v>1530937</v>
          </cell>
          <cell r="Y899">
            <v>1530937</v>
          </cell>
          <cell r="AA899">
            <v>1447431</v>
          </cell>
          <cell r="AJ899">
            <v>0</v>
          </cell>
          <cell r="AN899">
            <v>201805.375</v>
          </cell>
          <cell r="AR899">
            <v>722555.95833333337</v>
          </cell>
          <cell r="AV899">
            <v>1205032.9583333333</v>
          </cell>
          <cell r="AZ899">
            <v>1447431</v>
          </cell>
        </row>
        <row r="900">
          <cell r="AA900">
            <v>241945</v>
          </cell>
          <cell r="AR900">
            <v>0</v>
          </cell>
          <cell r="AV900">
            <v>70567.291666666672</v>
          </cell>
          <cell r="AZ900">
            <v>151215.625</v>
          </cell>
        </row>
        <row r="901">
          <cell r="Q901">
            <v>0</v>
          </cell>
          <cell r="S901">
            <v>0</v>
          </cell>
          <cell r="U901">
            <v>0</v>
          </cell>
          <cell r="V901">
            <v>0</v>
          </cell>
          <cell r="W901">
            <v>0</v>
          </cell>
          <cell r="Y901">
            <v>0</v>
          </cell>
          <cell r="AA901">
            <v>0</v>
          </cell>
          <cell r="AJ901">
            <v>0</v>
          </cell>
          <cell r="AN901">
            <v>0</v>
          </cell>
          <cell r="AR901">
            <v>0</v>
          </cell>
          <cell r="AV901">
            <v>0</v>
          </cell>
          <cell r="AZ901">
            <v>0</v>
          </cell>
        </row>
        <row r="902">
          <cell r="Q902">
            <v>-122602</v>
          </cell>
          <cell r="S902">
            <v>-122602</v>
          </cell>
          <cell r="U902">
            <v>0</v>
          </cell>
          <cell r="V902">
            <v>0</v>
          </cell>
          <cell r="W902">
            <v>0</v>
          </cell>
          <cell r="Y902">
            <v>0</v>
          </cell>
          <cell r="AA902">
            <v>0</v>
          </cell>
          <cell r="AJ902">
            <v>-64958.666666666664</v>
          </cell>
          <cell r="AN902">
            <v>-88144.125</v>
          </cell>
          <cell r="AR902">
            <v>-84224.375</v>
          </cell>
          <cell r="AV902">
            <v>-25542.083333333332</v>
          </cell>
          <cell r="AZ902">
            <v>0</v>
          </cell>
        </row>
        <row r="903">
          <cell r="Q903">
            <v>0</v>
          </cell>
          <cell r="S903">
            <v>0</v>
          </cell>
          <cell r="U903">
            <v>0</v>
          </cell>
          <cell r="V903">
            <v>0</v>
          </cell>
          <cell r="W903">
            <v>0</v>
          </cell>
          <cell r="Y903">
            <v>0</v>
          </cell>
          <cell r="AA903">
            <v>0</v>
          </cell>
          <cell r="AJ903">
            <v>0</v>
          </cell>
          <cell r="AN903">
            <v>0</v>
          </cell>
          <cell r="AR903">
            <v>0</v>
          </cell>
          <cell r="AV903">
            <v>0</v>
          </cell>
          <cell r="AZ903">
            <v>0</v>
          </cell>
        </row>
        <row r="904">
          <cell r="Q904">
            <v>-215214</v>
          </cell>
          <cell r="S904">
            <v>-215214</v>
          </cell>
          <cell r="U904">
            <v>0</v>
          </cell>
          <cell r="V904">
            <v>0</v>
          </cell>
          <cell r="W904">
            <v>0</v>
          </cell>
          <cell r="Y904">
            <v>0</v>
          </cell>
          <cell r="AA904">
            <v>0</v>
          </cell>
          <cell r="AJ904">
            <v>-66793.5</v>
          </cell>
          <cell r="AN904">
            <v>-107338.125</v>
          </cell>
          <cell r="AR904">
            <v>-96820.25</v>
          </cell>
          <cell r="AV904">
            <v>-44836.25</v>
          </cell>
          <cell r="AZ904">
            <v>0</v>
          </cell>
        </row>
        <row r="905">
          <cell r="Q905">
            <v>0</v>
          </cell>
          <cell r="S905">
            <v>0</v>
          </cell>
          <cell r="U905">
            <v>0</v>
          </cell>
          <cell r="V905">
            <v>0</v>
          </cell>
          <cell r="W905">
            <v>0</v>
          </cell>
          <cell r="Y905">
            <v>0</v>
          </cell>
          <cell r="AA905">
            <v>0</v>
          </cell>
          <cell r="AJ905">
            <v>0</v>
          </cell>
          <cell r="AN905">
            <v>0</v>
          </cell>
          <cell r="AR905">
            <v>0</v>
          </cell>
          <cell r="AV905">
            <v>0</v>
          </cell>
          <cell r="AZ905">
            <v>0</v>
          </cell>
        </row>
        <row r="906">
          <cell r="Q906">
            <v>2461388</v>
          </cell>
          <cell r="S906">
            <v>2880388</v>
          </cell>
          <cell r="U906">
            <v>3365388</v>
          </cell>
          <cell r="V906">
            <v>3348388</v>
          </cell>
          <cell r="W906">
            <v>3346388</v>
          </cell>
          <cell r="Y906">
            <v>3504388</v>
          </cell>
          <cell r="AA906">
            <v>11137388</v>
          </cell>
          <cell r="AJ906">
            <v>1175805.0833333333</v>
          </cell>
          <cell r="AN906">
            <v>1953211.75</v>
          </cell>
          <cell r="AR906">
            <v>2811951.75</v>
          </cell>
          <cell r="AV906">
            <v>5458513</v>
          </cell>
          <cell r="AZ906">
            <v>9448763</v>
          </cell>
        </row>
        <row r="907">
          <cell r="Q907">
            <v>0</v>
          </cell>
          <cell r="S907">
            <v>0</v>
          </cell>
          <cell r="U907">
            <v>0</v>
          </cell>
          <cell r="V907">
            <v>0</v>
          </cell>
          <cell r="W907">
            <v>0</v>
          </cell>
          <cell r="Y907">
            <v>0</v>
          </cell>
          <cell r="AA907">
            <v>0</v>
          </cell>
          <cell r="AJ907">
            <v>0</v>
          </cell>
          <cell r="AN907">
            <v>0</v>
          </cell>
          <cell r="AR907">
            <v>0</v>
          </cell>
          <cell r="AV907">
            <v>0</v>
          </cell>
          <cell r="AZ907">
            <v>0</v>
          </cell>
        </row>
        <row r="908">
          <cell r="Q908">
            <v>0</v>
          </cell>
          <cell r="S908">
            <v>0</v>
          </cell>
          <cell r="U908">
            <v>0</v>
          </cell>
          <cell r="V908">
            <v>0</v>
          </cell>
          <cell r="W908">
            <v>0</v>
          </cell>
          <cell r="Y908">
            <v>0</v>
          </cell>
          <cell r="AA908">
            <v>0</v>
          </cell>
          <cell r="AJ908">
            <v>0</v>
          </cell>
          <cell r="AN908">
            <v>0</v>
          </cell>
          <cell r="AR908">
            <v>0</v>
          </cell>
          <cell r="AV908">
            <v>0</v>
          </cell>
          <cell r="AZ908">
            <v>0</v>
          </cell>
        </row>
        <row r="909">
          <cell r="Q909">
            <v>0</v>
          </cell>
          <cell r="S909">
            <v>0</v>
          </cell>
          <cell r="U909">
            <v>0</v>
          </cell>
          <cell r="V909">
            <v>0</v>
          </cell>
          <cell r="W909">
            <v>0</v>
          </cell>
          <cell r="Y909">
            <v>0</v>
          </cell>
          <cell r="AA909">
            <v>0</v>
          </cell>
          <cell r="AJ909">
            <v>0</v>
          </cell>
          <cell r="AN909">
            <v>0</v>
          </cell>
          <cell r="AR909">
            <v>0</v>
          </cell>
          <cell r="AV909">
            <v>0</v>
          </cell>
          <cell r="AZ909">
            <v>0</v>
          </cell>
        </row>
        <row r="910">
          <cell r="Q910">
            <v>0</v>
          </cell>
          <cell r="S910">
            <v>0</v>
          </cell>
          <cell r="U910">
            <v>0</v>
          </cell>
          <cell r="V910">
            <v>0</v>
          </cell>
          <cell r="W910">
            <v>138460</v>
          </cell>
          <cell r="Y910">
            <v>138460</v>
          </cell>
          <cell r="AA910">
            <v>211549</v>
          </cell>
          <cell r="AJ910">
            <v>0</v>
          </cell>
          <cell r="AN910">
            <v>0</v>
          </cell>
          <cell r="AR910">
            <v>28845.833333333332</v>
          </cell>
          <cell r="AV910">
            <v>99254.958333333328</v>
          </cell>
          <cell r="AZ910">
            <v>211995.125</v>
          </cell>
        </row>
        <row r="911">
          <cell r="Q911">
            <v>0</v>
          </cell>
          <cell r="S911">
            <v>0</v>
          </cell>
          <cell r="U911">
            <v>0</v>
          </cell>
          <cell r="V911">
            <v>0</v>
          </cell>
          <cell r="W911">
            <v>0</v>
          </cell>
          <cell r="Y911">
            <v>0</v>
          </cell>
          <cell r="AA911">
            <v>0</v>
          </cell>
          <cell r="AJ911">
            <v>0</v>
          </cell>
          <cell r="AN911">
            <v>0</v>
          </cell>
          <cell r="AR911">
            <v>0</v>
          </cell>
          <cell r="AV911">
            <v>0</v>
          </cell>
          <cell r="AZ911">
            <v>0</v>
          </cell>
        </row>
        <row r="912">
          <cell r="Q912">
            <v>0</v>
          </cell>
          <cell r="S912">
            <v>0</v>
          </cell>
          <cell r="U912">
            <v>0</v>
          </cell>
          <cell r="V912">
            <v>0</v>
          </cell>
          <cell r="W912">
            <v>0</v>
          </cell>
          <cell r="Y912">
            <v>0</v>
          </cell>
          <cell r="AA912">
            <v>0</v>
          </cell>
          <cell r="AJ912">
            <v>-154658.70833333334</v>
          </cell>
          <cell r="AN912">
            <v>-100864.375</v>
          </cell>
          <cell r="AR912">
            <v>-47070.041666666664</v>
          </cell>
          <cell r="AV912">
            <v>0</v>
          </cell>
          <cell r="AZ912">
            <v>0</v>
          </cell>
        </row>
        <row r="913">
          <cell r="Q913">
            <v>5227770</v>
          </cell>
          <cell r="S913">
            <v>5227770</v>
          </cell>
          <cell r="U913">
            <v>863426</v>
          </cell>
          <cell r="V913">
            <v>863426</v>
          </cell>
          <cell r="W913">
            <v>863426</v>
          </cell>
          <cell r="Y913">
            <v>863426</v>
          </cell>
          <cell r="AA913">
            <v>426</v>
          </cell>
          <cell r="AJ913">
            <v>3554394.2083333335</v>
          </cell>
          <cell r="AN913">
            <v>3523917.375</v>
          </cell>
          <cell r="AR913">
            <v>2773613.25</v>
          </cell>
          <cell r="AV913">
            <v>1520956</v>
          </cell>
          <cell r="AZ913">
            <v>323997.75</v>
          </cell>
        </row>
        <row r="914">
          <cell r="Q914">
            <v>0</v>
          </cell>
          <cell r="S914">
            <v>0</v>
          </cell>
          <cell r="U914">
            <v>0</v>
          </cell>
          <cell r="V914">
            <v>0</v>
          </cell>
          <cell r="W914">
            <v>0</v>
          </cell>
          <cell r="Y914">
            <v>0</v>
          </cell>
          <cell r="AA914">
            <v>0</v>
          </cell>
          <cell r="AJ914">
            <v>0</v>
          </cell>
          <cell r="AN914">
            <v>0</v>
          </cell>
          <cell r="AR914">
            <v>0</v>
          </cell>
          <cell r="AV914">
            <v>0</v>
          </cell>
          <cell r="AZ914">
            <v>0</v>
          </cell>
        </row>
        <row r="915">
          <cell r="Q915">
            <v>0</v>
          </cell>
          <cell r="S915">
            <v>0</v>
          </cell>
          <cell r="U915">
            <v>0</v>
          </cell>
          <cell r="V915">
            <v>0</v>
          </cell>
          <cell r="W915">
            <v>0</v>
          </cell>
          <cell r="Y915">
            <v>0</v>
          </cell>
          <cell r="AA915">
            <v>0</v>
          </cell>
          <cell r="AJ915">
            <v>0</v>
          </cell>
          <cell r="AN915">
            <v>0</v>
          </cell>
          <cell r="AR915">
            <v>0</v>
          </cell>
          <cell r="AV915">
            <v>0</v>
          </cell>
          <cell r="AZ915">
            <v>0</v>
          </cell>
        </row>
        <row r="916">
          <cell r="Q916">
            <v>0</v>
          </cell>
          <cell r="S916">
            <v>0</v>
          </cell>
          <cell r="U916">
            <v>0</v>
          </cell>
          <cell r="V916">
            <v>0</v>
          </cell>
          <cell r="W916">
            <v>0</v>
          </cell>
          <cell r="Y916">
            <v>0</v>
          </cell>
          <cell r="AA916">
            <v>0</v>
          </cell>
          <cell r="AJ916">
            <v>0</v>
          </cell>
          <cell r="AN916">
            <v>0</v>
          </cell>
          <cell r="AR916">
            <v>0</v>
          </cell>
          <cell r="AV916">
            <v>0</v>
          </cell>
          <cell r="AZ916">
            <v>0</v>
          </cell>
        </row>
        <row r="917">
          <cell r="Q917">
            <v>159437</v>
          </cell>
          <cell r="S917">
            <v>159437</v>
          </cell>
          <cell r="U917">
            <v>159437</v>
          </cell>
          <cell r="V917">
            <v>159437</v>
          </cell>
          <cell r="W917">
            <v>159437</v>
          </cell>
          <cell r="Y917">
            <v>159437</v>
          </cell>
          <cell r="AA917">
            <v>159437</v>
          </cell>
          <cell r="AJ917">
            <v>159437</v>
          </cell>
          <cell r="AN917">
            <v>159437</v>
          </cell>
          <cell r="AR917">
            <v>159437</v>
          </cell>
          <cell r="AV917">
            <v>159437</v>
          </cell>
          <cell r="AZ917">
            <v>159437</v>
          </cell>
        </row>
        <row r="918">
          <cell r="Q918">
            <v>1732586</v>
          </cell>
          <cell r="S918">
            <v>1725586</v>
          </cell>
          <cell r="U918">
            <v>1696586</v>
          </cell>
          <cell r="V918">
            <v>1694586</v>
          </cell>
          <cell r="W918">
            <v>1696586</v>
          </cell>
          <cell r="Y918">
            <v>200586</v>
          </cell>
          <cell r="AA918">
            <v>49586</v>
          </cell>
          <cell r="AJ918">
            <v>1050044.3333333333</v>
          </cell>
          <cell r="AN918">
            <v>1369544.3333333333</v>
          </cell>
          <cell r="AR918">
            <v>1469252.6666666667</v>
          </cell>
          <cell r="AV918">
            <v>989252.66666666663</v>
          </cell>
          <cell r="AZ918">
            <v>431586</v>
          </cell>
        </row>
        <row r="919">
          <cell r="Q919">
            <v>0</v>
          </cell>
          <cell r="S919">
            <v>0</v>
          </cell>
          <cell r="U919">
            <v>0</v>
          </cell>
          <cell r="V919">
            <v>0</v>
          </cell>
          <cell r="W919">
            <v>0</v>
          </cell>
          <cell r="Y919">
            <v>0</v>
          </cell>
          <cell r="AA919">
            <v>0</v>
          </cell>
          <cell r="AJ919">
            <v>0</v>
          </cell>
          <cell r="AN919">
            <v>0</v>
          </cell>
          <cell r="AR919">
            <v>0</v>
          </cell>
          <cell r="AV919">
            <v>0</v>
          </cell>
          <cell r="AZ919">
            <v>0</v>
          </cell>
        </row>
        <row r="920">
          <cell r="Q920">
            <v>0</v>
          </cell>
          <cell r="S920">
            <v>0</v>
          </cell>
          <cell r="U920">
            <v>0</v>
          </cell>
          <cell r="V920">
            <v>0</v>
          </cell>
          <cell r="W920">
            <v>0</v>
          </cell>
          <cell r="Y920">
            <v>0</v>
          </cell>
          <cell r="AA920">
            <v>0</v>
          </cell>
          <cell r="AJ920">
            <v>0</v>
          </cell>
          <cell r="AN920">
            <v>0</v>
          </cell>
          <cell r="AR920">
            <v>0</v>
          </cell>
          <cell r="AV920">
            <v>0</v>
          </cell>
          <cell r="AZ920">
            <v>0</v>
          </cell>
        </row>
        <row r="921">
          <cell r="Q921">
            <v>199681</v>
          </cell>
          <cell r="S921">
            <v>198437</v>
          </cell>
          <cell r="U921">
            <v>197193</v>
          </cell>
          <cell r="V921">
            <v>196571</v>
          </cell>
          <cell r="W921">
            <v>195949</v>
          </cell>
          <cell r="Y921">
            <v>194705</v>
          </cell>
          <cell r="AA921">
            <v>193461</v>
          </cell>
          <cell r="AJ921">
            <v>203413</v>
          </cell>
          <cell r="AN921">
            <v>200925</v>
          </cell>
          <cell r="AR921">
            <v>198437</v>
          </cell>
          <cell r="AV921">
            <v>195949</v>
          </cell>
          <cell r="AZ921">
            <v>193461</v>
          </cell>
        </row>
        <row r="922">
          <cell r="Q922">
            <v>0</v>
          </cell>
          <cell r="S922">
            <v>0</v>
          </cell>
          <cell r="U922">
            <v>0</v>
          </cell>
          <cell r="V922">
            <v>0</v>
          </cell>
          <cell r="W922">
            <v>0</v>
          </cell>
          <cell r="Y922">
            <v>0</v>
          </cell>
          <cell r="AA922">
            <v>0</v>
          </cell>
          <cell r="AJ922">
            <v>0</v>
          </cell>
          <cell r="AN922">
            <v>0</v>
          </cell>
          <cell r="AR922">
            <v>0</v>
          </cell>
          <cell r="AV922">
            <v>0</v>
          </cell>
          <cell r="AZ922">
            <v>0</v>
          </cell>
        </row>
        <row r="923">
          <cell r="Q923">
            <v>0</v>
          </cell>
          <cell r="S923">
            <v>0</v>
          </cell>
          <cell r="U923">
            <v>0</v>
          </cell>
          <cell r="V923">
            <v>0</v>
          </cell>
          <cell r="W923">
            <v>0</v>
          </cell>
          <cell r="Y923">
            <v>0</v>
          </cell>
          <cell r="AA923">
            <v>0</v>
          </cell>
          <cell r="AJ923">
            <v>0</v>
          </cell>
          <cell r="AN923">
            <v>0</v>
          </cell>
          <cell r="AR923">
            <v>0</v>
          </cell>
          <cell r="AV923">
            <v>0</v>
          </cell>
          <cell r="AZ923">
            <v>0</v>
          </cell>
        </row>
        <row r="924">
          <cell r="Q924">
            <v>0</v>
          </cell>
          <cell r="S924">
            <v>0</v>
          </cell>
          <cell r="U924">
            <v>0</v>
          </cell>
          <cell r="V924">
            <v>0</v>
          </cell>
          <cell r="W924">
            <v>0</v>
          </cell>
          <cell r="Y924">
            <v>0</v>
          </cell>
          <cell r="AA924">
            <v>0</v>
          </cell>
          <cell r="AJ924">
            <v>0</v>
          </cell>
          <cell r="AN924">
            <v>0</v>
          </cell>
          <cell r="AR924">
            <v>0</v>
          </cell>
          <cell r="AV924">
            <v>0</v>
          </cell>
          <cell r="AZ924">
            <v>0</v>
          </cell>
        </row>
        <row r="925">
          <cell r="Q925">
            <v>0</v>
          </cell>
          <cell r="S925">
            <v>2042000</v>
          </cell>
          <cell r="U925">
            <v>0</v>
          </cell>
          <cell r="V925">
            <v>0</v>
          </cell>
          <cell r="W925">
            <v>0</v>
          </cell>
          <cell r="Y925">
            <v>0</v>
          </cell>
          <cell r="AA925">
            <v>0</v>
          </cell>
          <cell r="AJ925">
            <v>428220.41666666669</v>
          </cell>
          <cell r="AN925">
            <v>340333.33333333331</v>
          </cell>
          <cell r="AR925">
            <v>340333.33333333331</v>
          </cell>
          <cell r="AV925">
            <v>340333.33333333331</v>
          </cell>
          <cell r="AZ925">
            <v>0</v>
          </cell>
        </row>
        <row r="926">
          <cell r="Q926">
            <v>1366935</v>
          </cell>
          <cell r="S926">
            <v>1366935</v>
          </cell>
          <cell r="U926">
            <v>1458935</v>
          </cell>
          <cell r="V926">
            <v>1458935</v>
          </cell>
          <cell r="W926">
            <v>1551935</v>
          </cell>
          <cell r="Y926">
            <v>1551935</v>
          </cell>
          <cell r="AA926">
            <v>1527054</v>
          </cell>
          <cell r="AJ926">
            <v>1138726.6666666667</v>
          </cell>
          <cell r="AN926">
            <v>1265810</v>
          </cell>
          <cell r="AR926">
            <v>1395601.6666666667</v>
          </cell>
          <cell r="AV926">
            <v>1496918.125</v>
          </cell>
          <cell r="AZ926">
            <v>1581166.125</v>
          </cell>
        </row>
        <row r="927">
          <cell r="Q927">
            <v>74353376.010000005</v>
          </cell>
          <cell r="S927">
            <v>74098718.989999995</v>
          </cell>
          <cell r="U927">
            <v>73789151.870000005</v>
          </cell>
          <cell r="V927">
            <v>73648095.829999998</v>
          </cell>
          <cell r="W927">
            <v>75464120.290000007</v>
          </cell>
          <cell r="Y927">
            <v>75182008.209999993</v>
          </cell>
          <cell r="AA927">
            <v>74899896.129999995</v>
          </cell>
          <cell r="AJ927">
            <v>1319589.4854166668</v>
          </cell>
          <cell r="AN927">
            <v>27526346.314583335</v>
          </cell>
          <cell r="AR927">
            <v>53058570.285000004</v>
          </cell>
          <cell r="AV927">
            <v>74075215.957499996</v>
          </cell>
          <cell r="AZ927">
            <v>70113242.11833334</v>
          </cell>
        </row>
        <row r="928">
          <cell r="Q928">
            <v>0</v>
          </cell>
          <cell r="S928">
            <v>0</v>
          </cell>
          <cell r="U928">
            <v>0</v>
          </cell>
          <cell r="V928">
            <v>0</v>
          </cell>
          <cell r="W928">
            <v>0</v>
          </cell>
          <cell r="Y928">
            <v>0</v>
          </cell>
          <cell r="AA928">
            <v>0</v>
          </cell>
          <cell r="AJ928">
            <v>154750</v>
          </cell>
          <cell r="AN928">
            <v>8083.333333333333</v>
          </cell>
          <cell r="AR928">
            <v>0</v>
          </cell>
          <cell r="AV928">
            <v>0</v>
          </cell>
          <cell r="AZ928">
            <v>0</v>
          </cell>
        </row>
        <row r="929">
          <cell r="Q929">
            <v>3494503.35</v>
          </cell>
          <cell r="S929">
            <v>3409645.45</v>
          </cell>
          <cell r="U929">
            <v>3324787.55</v>
          </cell>
          <cell r="V929">
            <v>3282358.6</v>
          </cell>
          <cell r="W929">
            <v>3239929.65</v>
          </cell>
          <cell r="Y929">
            <v>3155071.75</v>
          </cell>
          <cell r="AA929">
            <v>3070213.85</v>
          </cell>
          <cell r="AJ929">
            <v>3639339.105833333</v>
          </cell>
          <cell r="AN929">
            <v>3511240.0924999998</v>
          </cell>
          <cell r="AR929">
            <v>3379453.519166667</v>
          </cell>
          <cell r="AV929">
            <v>3249237.6020833333</v>
          </cell>
          <cell r="AZ929">
            <v>3156660.1520833336</v>
          </cell>
        </row>
        <row r="930">
          <cell r="Q930">
            <v>954274</v>
          </cell>
          <cell r="S930">
            <v>954274</v>
          </cell>
          <cell r="U930">
            <v>870274</v>
          </cell>
          <cell r="V930">
            <v>870274</v>
          </cell>
          <cell r="W930">
            <v>786274</v>
          </cell>
          <cell r="Y930">
            <v>786274</v>
          </cell>
          <cell r="AA930">
            <v>702274</v>
          </cell>
          <cell r="AJ930">
            <v>1360482.3333333333</v>
          </cell>
          <cell r="AN930">
            <v>1125774</v>
          </cell>
          <cell r="AR930">
            <v>943149</v>
          </cell>
          <cell r="AV930">
            <v>814399</v>
          </cell>
          <cell r="AZ930">
            <v>703399</v>
          </cell>
        </row>
        <row r="931">
          <cell r="Q931">
            <v>96250</v>
          </cell>
          <cell r="S931">
            <v>96425</v>
          </cell>
          <cell r="U931">
            <v>128916.67</v>
          </cell>
          <cell r="V931">
            <v>130841.67</v>
          </cell>
          <cell r="W931">
            <v>-547283.32999999996</v>
          </cell>
          <cell r="Y931">
            <v>-543433.32999999996</v>
          </cell>
          <cell r="AA931">
            <v>-539583.32999999996</v>
          </cell>
          <cell r="AJ931">
            <v>-1215282.658333333</v>
          </cell>
          <cell r="AN931">
            <v>-739666.68374999997</v>
          </cell>
          <cell r="AR931">
            <v>-403204.87041666667</v>
          </cell>
          <cell r="AV931">
            <v>-255290.97</v>
          </cell>
          <cell r="AZ931">
            <v>-627457.63666666672</v>
          </cell>
        </row>
        <row r="932">
          <cell r="Q932">
            <v>1381423</v>
          </cell>
          <cell r="S932">
            <v>1463746</v>
          </cell>
          <cell r="U932">
            <v>1581933</v>
          </cell>
          <cell r="V932">
            <v>1640334</v>
          </cell>
          <cell r="W932">
            <v>1688301</v>
          </cell>
          <cell r="Y932">
            <v>1753991</v>
          </cell>
          <cell r="AA932">
            <v>1813536</v>
          </cell>
          <cell r="AJ932">
            <v>1056798.4166666667</v>
          </cell>
          <cell r="AN932">
            <v>1278858.25</v>
          </cell>
          <cell r="AR932">
            <v>1479677.7083333333</v>
          </cell>
          <cell r="AV932">
            <v>1657387.9583333333</v>
          </cell>
          <cell r="AZ932">
            <v>1803008.0416666667</v>
          </cell>
        </row>
        <row r="933">
          <cell r="Q933">
            <v>-121881</v>
          </cell>
          <cell r="S933">
            <v>-121881</v>
          </cell>
          <cell r="U933">
            <v>-121881</v>
          </cell>
          <cell r="V933">
            <v>-121881</v>
          </cell>
          <cell r="W933">
            <v>-121881</v>
          </cell>
          <cell r="Y933">
            <v>-121881</v>
          </cell>
          <cell r="AA933">
            <v>0</v>
          </cell>
          <cell r="AJ933">
            <v>-121881</v>
          </cell>
          <cell r="AN933">
            <v>-121881</v>
          </cell>
          <cell r="AR933">
            <v>-121881</v>
          </cell>
          <cell r="AV933">
            <v>-96489.125</v>
          </cell>
          <cell r="AZ933">
            <v>-55862.125</v>
          </cell>
        </row>
        <row r="934">
          <cell r="Q934">
            <v>0</v>
          </cell>
          <cell r="S934">
            <v>0</v>
          </cell>
          <cell r="U934">
            <v>0</v>
          </cell>
          <cell r="V934">
            <v>0</v>
          </cell>
          <cell r="W934">
            <v>0</v>
          </cell>
          <cell r="Y934">
            <v>0</v>
          </cell>
          <cell r="AA934">
            <v>0</v>
          </cell>
          <cell r="AJ934">
            <v>-3824755.2916666665</v>
          </cell>
          <cell r="AN934">
            <v>-2494405.625</v>
          </cell>
          <cell r="AR934">
            <v>-1164055.9583333333</v>
          </cell>
          <cell r="AV934">
            <v>0</v>
          </cell>
          <cell r="AZ934">
            <v>0</v>
          </cell>
        </row>
        <row r="935">
          <cell r="Q935">
            <v>0</v>
          </cell>
          <cell r="S935">
            <v>0</v>
          </cell>
          <cell r="U935">
            <v>0</v>
          </cell>
          <cell r="V935">
            <v>0</v>
          </cell>
          <cell r="W935">
            <v>0</v>
          </cell>
          <cell r="Y935">
            <v>0</v>
          </cell>
          <cell r="AA935">
            <v>0</v>
          </cell>
          <cell r="AJ935">
            <v>0</v>
          </cell>
          <cell r="AN935">
            <v>0</v>
          </cell>
          <cell r="AR935">
            <v>0</v>
          </cell>
          <cell r="AV935">
            <v>0</v>
          </cell>
          <cell r="AZ935">
            <v>0</v>
          </cell>
        </row>
        <row r="936">
          <cell r="Q936">
            <v>0</v>
          </cell>
          <cell r="S936">
            <v>0</v>
          </cell>
          <cell r="U936">
            <v>0</v>
          </cell>
          <cell r="V936">
            <v>0</v>
          </cell>
          <cell r="W936">
            <v>0</v>
          </cell>
          <cell r="Y936">
            <v>0</v>
          </cell>
          <cell r="AA936">
            <v>0</v>
          </cell>
          <cell r="AJ936">
            <v>1890149.3333333333</v>
          </cell>
          <cell r="AN936">
            <v>1405557</v>
          </cell>
          <cell r="AR936">
            <v>156173</v>
          </cell>
          <cell r="AV936">
            <v>0</v>
          </cell>
          <cell r="AZ936">
            <v>0</v>
          </cell>
        </row>
        <row r="937">
          <cell r="Q937">
            <v>6523000</v>
          </cell>
          <cell r="S937">
            <v>6615000</v>
          </cell>
          <cell r="U937">
            <v>6707000</v>
          </cell>
          <cell r="V937">
            <v>6753000</v>
          </cell>
          <cell r="W937">
            <v>6248000</v>
          </cell>
          <cell r="Y937">
            <v>6156000</v>
          </cell>
          <cell r="AA937">
            <v>6064000</v>
          </cell>
          <cell r="AJ937">
            <v>6592750</v>
          </cell>
          <cell r="AN937">
            <v>6594000</v>
          </cell>
          <cell r="AR937">
            <v>6532041.666666667</v>
          </cell>
          <cell r="AV937">
            <v>6358708.333333333</v>
          </cell>
          <cell r="AZ937">
            <v>6123875</v>
          </cell>
        </row>
        <row r="938">
          <cell r="Q938">
            <v>25990278</v>
          </cell>
          <cell r="S938">
            <v>35025278</v>
          </cell>
          <cell r="U938">
            <v>40451278</v>
          </cell>
          <cell r="V938">
            <v>42127278</v>
          </cell>
          <cell r="W938">
            <v>44567278</v>
          </cell>
          <cell r="Y938">
            <v>42083278</v>
          </cell>
          <cell r="AA938">
            <v>40738312</v>
          </cell>
          <cell r="AJ938">
            <v>16761145.625</v>
          </cell>
          <cell r="AN938">
            <v>24648092.291666668</v>
          </cell>
          <cell r="AR938">
            <v>32603788.958333332</v>
          </cell>
          <cell r="AV938">
            <v>39865844.041666664</v>
          </cell>
          <cell r="AZ938">
            <v>43543179.375</v>
          </cell>
        </row>
        <row r="939">
          <cell r="Q939">
            <v>184000</v>
          </cell>
          <cell r="S939">
            <v>557000</v>
          </cell>
          <cell r="U939">
            <v>602000</v>
          </cell>
          <cell r="V939">
            <v>596000</v>
          </cell>
          <cell r="W939">
            <v>773000</v>
          </cell>
          <cell r="Y939">
            <v>759000</v>
          </cell>
          <cell r="AA939">
            <v>745000</v>
          </cell>
          <cell r="AJ939">
            <v>47000</v>
          </cell>
          <cell r="AN939">
            <v>192083.33333333334</v>
          </cell>
          <cell r="AR939">
            <v>426708.33333333331</v>
          </cell>
          <cell r="AV939">
            <v>628000</v>
          </cell>
          <cell r="AZ939">
            <v>722750</v>
          </cell>
        </row>
        <row r="940">
          <cell r="Q940">
            <v>230000</v>
          </cell>
          <cell r="S940">
            <v>230000</v>
          </cell>
          <cell r="U940">
            <v>407000</v>
          </cell>
          <cell r="V940">
            <v>407000</v>
          </cell>
          <cell r="W940">
            <v>54000</v>
          </cell>
          <cell r="Y940">
            <v>54000</v>
          </cell>
          <cell r="AA940">
            <v>417000</v>
          </cell>
          <cell r="AJ940">
            <v>9583.3333333333339</v>
          </cell>
          <cell r="AN940">
            <v>93625</v>
          </cell>
          <cell r="AR940">
            <v>155750</v>
          </cell>
          <cell r="AV940">
            <v>258625</v>
          </cell>
          <cell r="AZ940">
            <v>206458.33333333334</v>
          </cell>
        </row>
        <row r="941">
          <cell r="S941">
            <v>835000</v>
          </cell>
          <cell r="U941">
            <v>1420000</v>
          </cell>
          <cell r="V941">
            <v>1711000</v>
          </cell>
          <cell r="W941">
            <v>2002000</v>
          </cell>
          <cell r="Y941">
            <v>2583000</v>
          </cell>
          <cell r="AA941">
            <v>3162000</v>
          </cell>
          <cell r="AJ941">
            <v>0</v>
          </cell>
          <cell r="AN941">
            <v>267916.66666666669</v>
          </cell>
          <cell r="AR941">
            <v>935208.33333333337</v>
          </cell>
          <cell r="AV941">
            <v>1988208.3333333333</v>
          </cell>
          <cell r="AZ941">
            <v>3140625</v>
          </cell>
        </row>
        <row r="942">
          <cell r="Q942">
            <v>0</v>
          </cell>
          <cell r="S942">
            <v>0</v>
          </cell>
          <cell r="U942">
            <v>0</v>
          </cell>
          <cell r="V942">
            <v>0</v>
          </cell>
          <cell r="W942">
            <v>0</v>
          </cell>
          <cell r="Y942">
            <v>0</v>
          </cell>
          <cell r="AA942">
            <v>0</v>
          </cell>
          <cell r="AJ942">
            <v>0</v>
          </cell>
          <cell r="AN942">
            <v>0</v>
          </cell>
          <cell r="AR942">
            <v>0</v>
          </cell>
          <cell r="AV942">
            <v>0</v>
          </cell>
          <cell r="AZ942">
            <v>0</v>
          </cell>
        </row>
        <row r="943">
          <cell r="Q943">
            <v>1929324</v>
          </cell>
          <cell r="S943">
            <v>1929324</v>
          </cell>
          <cell r="U943">
            <v>2205324</v>
          </cell>
          <cell r="V943">
            <v>2205324</v>
          </cell>
          <cell r="W943">
            <v>2478324</v>
          </cell>
          <cell r="Y943">
            <v>2478324</v>
          </cell>
          <cell r="AA943">
            <v>2807324</v>
          </cell>
          <cell r="AJ943">
            <v>1587074</v>
          </cell>
          <cell r="AN943">
            <v>1808324</v>
          </cell>
          <cell r="AR943">
            <v>2071240.6666666667</v>
          </cell>
          <cell r="AV943">
            <v>2401324</v>
          </cell>
          <cell r="AZ943">
            <v>2739824</v>
          </cell>
        </row>
        <row r="944">
          <cell r="Q944">
            <v>931000</v>
          </cell>
          <cell r="S944">
            <v>847000</v>
          </cell>
          <cell r="U944">
            <v>763000</v>
          </cell>
          <cell r="V944">
            <v>721000</v>
          </cell>
          <cell r="W944">
            <v>679000</v>
          </cell>
          <cell r="Y944">
            <v>595000</v>
          </cell>
          <cell r="AA944">
            <v>511000</v>
          </cell>
          <cell r="AJ944">
            <v>292791.66666666669</v>
          </cell>
          <cell r="AN944">
            <v>575125</v>
          </cell>
          <cell r="AR944">
            <v>801458.33333333337</v>
          </cell>
          <cell r="AV944">
            <v>678500</v>
          </cell>
          <cell r="AZ944">
            <v>509166.66666666669</v>
          </cell>
        </row>
        <row r="945">
          <cell r="AV945">
            <v>0</v>
          </cell>
          <cell r="AZ945">
            <v>0</v>
          </cell>
        </row>
        <row r="946">
          <cell r="Q946">
            <v>0</v>
          </cell>
          <cell r="S946">
            <v>0</v>
          </cell>
          <cell r="U946">
            <v>0</v>
          </cell>
          <cell r="V946">
            <v>0</v>
          </cell>
          <cell r="W946">
            <v>0</v>
          </cell>
          <cell r="Y946">
            <v>0</v>
          </cell>
          <cell r="AA946">
            <v>0</v>
          </cell>
          <cell r="AJ946">
            <v>0</v>
          </cell>
          <cell r="AN946">
            <v>0</v>
          </cell>
          <cell r="AR946">
            <v>0</v>
          </cell>
          <cell r="AV946">
            <v>0</v>
          </cell>
          <cell r="AZ946">
            <v>0</v>
          </cell>
        </row>
        <row r="947">
          <cell r="Q947">
            <v>0</v>
          </cell>
          <cell r="S947">
            <v>0</v>
          </cell>
          <cell r="U947">
            <v>0</v>
          </cell>
          <cell r="V947">
            <v>0</v>
          </cell>
          <cell r="W947">
            <v>0</v>
          </cell>
          <cell r="Y947">
            <v>0</v>
          </cell>
          <cell r="AA947">
            <v>0</v>
          </cell>
          <cell r="AJ947">
            <v>0</v>
          </cell>
          <cell r="AN947">
            <v>0</v>
          </cell>
          <cell r="AR947">
            <v>0</v>
          </cell>
          <cell r="AV947">
            <v>0</v>
          </cell>
          <cell r="AZ947">
            <v>0</v>
          </cell>
        </row>
        <row r="948">
          <cell r="Q948">
            <v>3880000</v>
          </cell>
          <cell r="S948">
            <v>4164000</v>
          </cell>
          <cell r="U948">
            <v>4761000</v>
          </cell>
          <cell r="V948">
            <v>4908000</v>
          </cell>
          <cell r="W948">
            <v>4965000</v>
          </cell>
          <cell r="Y948">
            <v>5223000</v>
          </cell>
          <cell r="AA948">
            <v>5425000</v>
          </cell>
          <cell r="AJ948">
            <v>3476666.6666666665</v>
          </cell>
          <cell r="AN948">
            <v>3937125</v>
          </cell>
          <cell r="AR948">
            <v>4440208.333333333</v>
          </cell>
          <cell r="AV948">
            <v>4823208.333333333</v>
          </cell>
          <cell r="AZ948">
            <v>5045708.333333333</v>
          </cell>
        </row>
        <row r="949">
          <cell r="Q949">
            <v>0</v>
          </cell>
          <cell r="S949">
            <v>0</v>
          </cell>
          <cell r="U949">
            <v>0</v>
          </cell>
          <cell r="V949">
            <v>0</v>
          </cell>
          <cell r="W949">
            <v>0</v>
          </cell>
          <cell r="Y949">
            <v>0</v>
          </cell>
          <cell r="AA949">
            <v>0</v>
          </cell>
          <cell r="AJ949">
            <v>0</v>
          </cell>
          <cell r="AN949">
            <v>0</v>
          </cell>
          <cell r="AR949">
            <v>0</v>
          </cell>
          <cell r="AV949">
            <v>0</v>
          </cell>
          <cell r="AZ949">
            <v>0</v>
          </cell>
        </row>
        <row r="950">
          <cell r="Q950">
            <v>-3196034</v>
          </cell>
          <cell r="S950">
            <v>-3196034</v>
          </cell>
          <cell r="U950">
            <v>-3294034</v>
          </cell>
          <cell r="V950">
            <v>-3294034</v>
          </cell>
          <cell r="W950">
            <v>-3382034</v>
          </cell>
          <cell r="Y950">
            <v>-3382034</v>
          </cell>
          <cell r="AA950">
            <v>-3542034</v>
          </cell>
          <cell r="AJ950">
            <v>-2536450.6666666665</v>
          </cell>
          <cell r="AN950">
            <v>-2867284</v>
          </cell>
          <cell r="AR950">
            <v>-3140909</v>
          </cell>
          <cell r="AV950">
            <v>-3392117.3333333335</v>
          </cell>
          <cell r="AZ950">
            <v>-3708534</v>
          </cell>
        </row>
        <row r="951">
          <cell r="Q951">
            <v>0</v>
          </cell>
          <cell r="S951">
            <v>0</v>
          </cell>
          <cell r="U951">
            <v>0</v>
          </cell>
          <cell r="V951">
            <v>0</v>
          </cell>
          <cell r="W951">
            <v>0</v>
          </cell>
          <cell r="Y951">
            <v>0</v>
          </cell>
          <cell r="AA951">
            <v>0</v>
          </cell>
          <cell r="AJ951">
            <v>-678112.83333333337</v>
          </cell>
          <cell r="AN951">
            <v>-442247.5</v>
          </cell>
          <cell r="AR951">
            <v>-206382.16666666666</v>
          </cell>
          <cell r="AV951">
            <v>0</v>
          </cell>
          <cell r="AZ951">
            <v>0</v>
          </cell>
        </row>
        <row r="952">
          <cell r="Q952">
            <v>0</v>
          </cell>
          <cell r="S952">
            <v>0</v>
          </cell>
          <cell r="U952">
            <v>0</v>
          </cell>
          <cell r="V952">
            <v>0</v>
          </cell>
          <cell r="W952">
            <v>0</v>
          </cell>
          <cell r="Y952">
            <v>0</v>
          </cell>
          <cell r="AA952">
            <v>0</v>
          </cell>
          <cell r="AJ952">
            <v>-18216.583333333332</v>
          </cell>
          <cell r="AN952">
            <v>-2335.9166666666665</v>
          </cell>
          <cell r="AR952">
            <v>1544.75</v>
          </cell>
          <cell r="AV952">
            <v>0</v>
          </cell>
          <cell r="AZ952">
            <v>0</v>
          </cell>
        </row>
        <row r="953">
          <cell r="Q953">
            <v>0</v>
          </cell>
          <cell r="S953">
            <v>0</v>
          </cell>
          <cell r="U953">
            <v>0</v>
          </cell>
          <cell r="V953">
            <v>0</v>
          </cell>
          <cell r="W953">
            <v>0</v>
          </cell>
          <cell r="Y953">
            <v>0</v>
          </cell>
          <cell r="AA953">
            <v>0</v>
          </cell>
          <cell r="AJ953">
            <v>0</v>
          </cell>
          <cell r="AN953">
            <v>0</v>
          </cell>
          <cell r="AR953">
            <v>0</v>
          </cell>
          <cell r="AV953">
            <v>0</v>
          </cell>
          <cell r="AZ953">
            <v>0</v>
          </cell>
        </row>
        <row r="954">
          <cell r="AR954">
            <v>0</v>
          </cell>
          <cell r="AV954">
            <v>6750</v>
          </cell>
          <cell r="AZ954">
            <v>115916.66666666667</v>
          </cell>
        </row>
        <row r="955">
          <cell r="Q955">
            <v>36000</v>
          </cell>
          <cell r="S955">
            <v>36000</v>
          </cell>
          <cell r="U955">
            <v>1000</v>
          </cell>
          <cell r="V955">
            <v>1000</v>
          </cell>
          <cell r="W955">
            <v>1000</v>
          </cell>
          <cell r="Y955">
            <v>1000</v>
          </cell>
          <cell r="AA955">
            <v>1000</v>
          </cell>
          <cell r="AJ955">
            <v>19500</v>
          </cell>
          <cell r="AN955">
            <v>24875</v>
          </cell>
          <cell r="AR955">
            <v>19208.333333333332</v>
          </cell>
          <cell r="AV955">
            <v>8291.6666666666661</v>
          </cell>
          <cell r="AZ955">
            <v>1000</v>
          </cell>
        </row>
        <row r="956">
          <cell r="Q956">
            <v>7474</v>
          </cell>
          <cell r="S956">
            <v>7474</v>
          </cell>
          <cell r="U956">
            <v>7474</v>
          </cell>
          <cell r="V956">
            <v>7474</v>
          </cell>
          <cell r="W956">
            <v>7474</v>
          </cell>
          <cell r="Y956">
            <v>7474</v>
          </cell>
          <cell r="AA956">
            <v>7474</v>
          </cell>
          <cell r="AJ956">
            <v>7474</v>
          </cell>
          <cell r="AN956">
            <v>7474</v>
          </cell>
          <cell r="AR956">
            <v>7474</v>
          </cell>
          <cell r="AV956">
            <v>7474</v>
          </cell>
          <cell r="AZ956">
            <v>7474</v>
          </cell>
        </row>
        <row r="957">
          <cell r="Q957">
            <v>35000</v>
          </cell>
          <cell r="S957">
            <v>35000</v>
          </cell>
          <cell r="U957">
            <v>35000</v>
          </cell>
          <cell r="V957">
            <v>35000</v>
          </cell>
          <cell r="W957">
            <v>35000</v>
          </cell>
          <cell r="Y957">
            <v>35000</v>
          </cell>
          <cell r="AA957">
            <v>35000</v>
          </cell>
          <cell r="AJ957">
            <v>35000</v>
          </cell>
          <cell r="AN957">
            <v>35000</v>
          </cell>
          <cell r="AR957">
            <v>35000</v>
          </cell>
          <cell r="AV957">
            <v>35000</v>
          </cell>
          <cell r="AZ957">
            <v>35000</v>
          </cell>
        </row>
        <row r="958">
          <cell r="Q958">
            <v>680967</v>
          </cell>
          <cell r="S958">
            <v>722967</v>
          </cell>
          <cell r="U958">
            <v>764967</v>
          </cell>
          <cell r="V958">
            <v>785967</v>
          </cell>
          <cell r="W958">
            <v>806967</v>
          </cell>
          <cell r="Y958">
            <v>848967</v>
          </cell>
          <cell r="AA958">
            <v>743967</v>
          </cell>
          <cell r="AJ958">
            <v>519342</v>
          </cell>
          <cell r="AN958">
            <v>607008.66666666663</v>
          </cell>
          <cell r="AR958">
            <v>704008.66666666663</v>
          </cell>
          <cell r="AV958">
            <v>763342</v>
          </cell>
          <cell r="AZ958">
            <v>787675.33333333337</v>
          </cell>
        </row>
        <row r="959">
          <cell r="Q959">
            <v>2133338</v>
          </cell>
          <cell r="S959">
            <v>2133338</v>
          </cell>
          <cell r="U959">
            <v>2134338</v>
          </cell>
          <cell r="V959">
            <v>2135338</v>
          </cell>
          <cell r="W959">
            <v>2134338</v>
          </cell>
          <cell r="Y959">
            <v>2136338</v>
          </cell>
          <cell r="AA959">
            <v>1810338</v>
          </cell>
          <cell r="AJ959">
            <v>1922835.5</v>
          </cell>
          <cell r="AN959">
            <v>2021937.1666666667</v>
          </cell>
          <cell r="AR959">
            <v>2121580.5</v>
          </cell>
          <cell r="AV959">
            <v>2040088</v>
          </cell>
          <cell r="AZ959">
            <v>1934046.3333333333</v>
          </cell>
        </row>
        <row r="960">
          <cell r="Q960">
            <v>139202</v>
          </cell>
          <cell r="S960">
            <v>139202</v>
          </cell>
          <cell r="U960">
            <v>139202</v>
          </cell>
          <cell r="V960">
            <v>139202</v>
          </cell>
          <cell r="W960">
            <v>139202</v>
          </cell>
          <cell r="Y960">
            <v>139202</v>
          </cell>
          <cell r="AA960">
            <v>266202</v>
          </cell>
          <cell r="AJ960">
            <v>155132.45833333334</v>
          </cell>
          <cell r="AN960">
            <v>147518.125</v>
          </cell>
          <cell r="AR960">
            <v>139903.79166666666</v>
          </cell>
          <cell r="AV960">
            <v>179160.33333333334</v>
          </cell>
          <cell r="AZ960">
            <v>244827</v>
          </cell>
        </row>
        <row r="961">
          <cell r="Q961">
            <v>-6093906</v>
          </cell>
          <cell r="S961">
            <v>-6432906</v>
          </cell>
          <cell r="U961">
            <v>-6452906</v>
          </cell>
          <cell r="V961">
            <v>-6723906</v>
          </cell>
          <cell r="W961">
            <v>-7238906</v>
          </cell>
          <cell r="Y961">
            <v>-7766906</v>
          </cell>
          <cell r="AA961">
            <v>-8420922</v>
          </cell>
          <cell r="AJ961">
            <v>-5163906</v>
          </cell>
          <cell r="AN961">
            <v>-5773114.333333333</v>
          </cell>
          <cell r="AR961">
            <v>-6422947.666666667</v>
          </cell>
          <cell r="AV961">
            <v>-7285494</v>
          </cell>
          <cell r="AZ961">
            <v>-8186457.666666667</v>
          </cell>
        </row>
        <row r="962">
          <cell r="Q962">
            <v>-1446794</v>
          </cell>
          <cell r="S962">
            <v>-1446794</v>
          </cell>
          <cell r="U962">
            <v>-1446794</v>
          </cell>
          <cell r="V962">
            <v>-1446794</v>
          </cell>
          <cell r="W962">
            <v>-1493492</v>
          </cell>
          <cell r="Y962">
            <v>-1493492</v>
          </cell>
          <cell r="AA962">
            <v>-1488493</v>
          </cell>
          <cell r="AJ962">
            <v>897535.875</v>
          </cell>
          <cell r="AN962">
            <v>36046.208333333336</v>
          </cell>
          <cell r="AR962">
            <v>-843790.95833333337</v>
          </cell>
          <cell r="AV962">
            <v>-1468398.5416666667</v>
          </cell>
          <cell r="AZ962">
            <v>-1285075.75</v>
          </cell>
        </row>
        <row r="963">
          <cell r="Q963">
            <v>-1001251</v>
          </cell>
          <cell r="S963">
            <v>-1001251</v>
          </cell>
          <cell r="U963">
            <v>-1001251</v>
          </cell>
          <cell r="V963">
            <v>-1001251</v>
          </cell>
          <cell r="W963">
            <v>-1033568</v>
          </cell>
          <cell r="Y963">
            <v>-1033568</v>
          </cell>
          <cell r="AA963">
            <v>-1029895</v>
          </cell>
          <cell r="AJ963">
            <v>621138.04166666663</v>
          </cell>
          <cell r="AN963">
            <v>24945.708333333332</v>
          </cell>
          <cell r="AR963">
            <v>-583943.91666666663</v>
          </cell>
          <cell r="AV963">
            <v>-1016148.875</v>
          </cell>
          <cell r="AZ963">
            <v>-889280.625</v>
          </cell>
        </row>
        <row r="964">
          <cell r="AV964">
            <v>0</v>
          </cell>
          <cell r="AZ964">
            <v>208609.375</v>
          </cell>
        </row>
        <row r="965">
          <cell r="Q965">
            <v>7233570.6699999999</v>
          </cell>
          <cell r="S965">
            <v>-1871992.83</v>
          </cell>
          <cell r="U965">
            <v>-3810468.23</v>
          </cell>
          <cell r="V965">
            <v>370044.73</v>
          </cell>
          <cell r="W965">
            <v>2976301.14</v>
          </cell>
          <cell r="Y965">
            <v>14606652.279999999</v>
          </cell>
          <cell r="AA965">
            <v>13233601.25</v>
          </cell>
          <cell r="AJ965">
            <v>5148837.5920833331</v>
          </cell>
          <cell r="AN965">
            <v>5422389.5954166679</v>
          </cell>
          <cell r="AR965">
            <v>6099499.949583333</v>
          </cell>
          <cell r="AV965">
            <v>5621682.5687500006</v>
          </cell>
          <cell r="AZ965">
            <v>6980216.5983333318</v>
          </cell>
        </row>
        <row r="966">
          <cell r="Q966">
            <v>-5075464.66</v>
          </cell>
          <cell r="S966">
            <v>-15787748.949999999</v>
          </cell>
          <cell r="U966">
            <v>-36829632.399999999</v>
          </cell>
          <cell r="V966">
            <v>-54265222.630000003</v>
          </cell>
          <cell r="W966">
            <v>-44238808.340000004</v>
          </cell>
          <cell r="Y966">
            <v>-62527416.759999998</v>
          </cell>
          <cell r="AA966">
            <v>-13696864.16</v>
          </cell>
          <cell r="AJ966">
            <v>-32215928.649583329</v>
          </cell>
          <cell r="AN966">
            <v>-22105349.710416663</v>
          </cell>
          <cell r="AR966">
            <v>-29849405.99208333</v>
          </cell>
          <cell r="AV966">
            <v>-32087718.329583336</v>
          </cell>
          <cell r="AZ966">
            <v>-24000273.387499992</v>
          </cell>
        </row>
        <row r="967">
          <cell r="Q967">
            <v>-281931.78999999998</v>
          </cell>
          <cell r="S967">
            <v>-314892.08</v>
          </cell>
          <cell r="U967">
            <v>-435170</v>
          </cell>
          <cell r="V967">
            <v>-542193.28</v>
          </cell>
          <cell r="W967">
            <v>-259804.71</v>
          </cell>
          <cell r="Y967">
            <v>-522191.78</v>
          </cell>
          <cell r="AA967">
            <v>19088.14</v>
          </cell>
          <cell r="AJ967">
            <v>-1451400.5875000001</v>
          </cell>
          <cell r="AN967">
            <v>-1158072.6504166664</v>
          </cell>
          <cell r="AR967">
            <v>-593029.29375000007</v>
          </cell>
          <cell r="AV967">
            <v>-331940.9891666667</v>
          </cell>
          <cell r="AZ967">
            <v>-223901.06166666665</v>
          </cell>
        </row>
        <row r="968">
          <cell r="Q968">
            <v>460454.54</v>
          </cell>
          <cell r="S968">
            <v>491402.36</v>
          </cell>
          <cell r="U968">
            <v>470171.39</v>
          </cell>
          <cell r="V968">
            <v>459651.08</v>
          </cell>
          <cell r="W968">
            <v>435706.43</v>
          </cell>
          <cell r="Y968">
            <v>470288.68</v>
          </cell>
          <cell r="AA968">
            <v>318460.46000000002</v>
          </cell>
          <cell r="AJ968">
            <v>456280.96416666679</v>
          </cell>
          <cell r="AN968">
            <v>449395.71458333335</v>
          </cell>
          <cell r="AR968">
            <v>454853.06583333336</v>
          </cell>
          <cell r="AV968">
            <v>445566.3808333333</v>
          </cell>
          <cell r="AZ968">
            <v>418654.15625</v>
          </cell>
        </row>
        <row r="969">
          <cell r="Q969">
            <v>4835239.6100000003</v>
          </cell>
          <cell r="S969">
            <v>2769704.31</v>
          </cell>
          <cell r="U969">
            <v>1214743.29</v>
          </cell>
          <cell r="V969">
            <v>835515.83</v>
          </cell>
          <cell r="W969">
            <v>627316.38</v>
          </cell>
          <cell r="Y969">
            <v>209330.4</v>
          </cell>
          <cell r="AA969">
            <v>7565252.5099999998</v>
          </cell>
          <cell r="AJ969">
            <v>2994689.3866666667</v>
          </cell>
          <cell r="AN969">
            <v>2249509.3529166663</v>
          </cell>
          <cell r="AR969">
            <v>2316910.1816666662</v>
          </cell>
          <cell r="AV969">
            <v>2574045.6820833334</v>
          </cell>
          <cell r="AZ969">
            <v>2787392.8170833336</v>
          </cell>
        </row>
        <row r="970">
          <cell r="Q970">
            <v>-16063776.470000001</v>
          </cell>
          <cell r="S970">
            <v>-9126128.6699999999</v>
          </cell>
          <cell r="U970">
            <v>-3851318.22</v>
          </cell>
          <cell r="V970">
            <v>-2513360.83</v>
          </cell>
          <cell r="W970">
            <v>-1736238.67</v>
          </cell>
          <cell r="Y970">
            <v>-194546.38</v>
          </cell>
          <cell r="AA970">
            <v>-66586398.020000003</v>
          </cell>
          <cell r="AJ970">
            <v>-15000079.814166667</v>
          </cell>
          <cell r="AN970">
            <v>-8408858.4875000007</v>
          </cell>
          <cell r="AR970">
            <v>-7505948.1625000006</v>
          </cell>
          <cell r="AV970">
            <v>-16095840.709583335</v>
          </cell>
          <cell r="AZ970">
            <v>-23561772.892500002</v>
          </cell>
        </row>
        <row r="971">
          <cell r="W971">
            <v>-20701303.469999999</v>
          </cell>
          <cell r="Y971">
            <v>-19528681.640000001</v>
          </cell>
          <cell r="AA971">
            <v>-17456473.41</v>
          </cell>
          <cell r="AJ971">
            <v>0</v>
          </cell>
          <cell r="AN971">
            <v>0</v>
          </cell>
          <cell r="AR971">
            <v>-4221542.4991666665</v>
          </cell>
          <cell r="AV971">
            <v>-9840085.6583333332</v>
          </cell>
          <cell r="AZ971">
            <v>-12385835.354583336</v>
          </cell>
        </row>
        <row r="972">
          <cell r="Q972">
            <v>8967750072.1800022</v>
          </cell>
          <cell r="S972">
            <v>8796799245.090004</v>
          </cell>
          <cell r="U972">
            <v>8544073521.8700094</v>
          </cell>
          <cell r="V972">
            <v>8443211198.1600037</v>
          </cell>
          <cell r="W972">
            <v>8402764384.1999969</v>
          </cell>
          <cell r="Y972">
            <v>8586482260.5900087</v>
          </cell>
          <cell r="AA972">
            <v>8619310602.7900047</v>
          </cell>
          <cell r="AJ972">
            <v>7962404785.0204191</v>
          </cell>
          <cell r="AN972">
            <v>8288180862.1062527</v>
          </cell>
          <cell r="AR972">
            <v>8498242242.4287472</v>
          </cell>
          <cell r="AV972">
            <v>8671515549.4954205</v>
          </cell>
          <cell r="AZ972">
            <v>8673305475.4054203</v>
          </cell>
        </row>
        <row r="973">
          <cell r="Q973">
            <v>-859037900</v>
          </cell>
          <cell r="S973">
            <v>0</v>
          </cell>
          <cell r="U973">
            <v>0</v>
          </cell>
          <cell r="V973">
            <v>0</v>
          </cell>
          <cell r="W973">
            <v>0</v>
          </cell>
          <cell r="Y973">
            <v>0</v>
          </cell>
          <cell r="AA973">
            <v>0</v>
          </cell>
          <cell r="AJ973">
            <v>-859037900</v>
          </cell>
          <cell r="AN973">
            <v>-680071670.83333337</v>
          </cell>
          <cell r="AR973">
            <v>-393725704.16666669</v>
          </cell>
          <cell r="AV973">
            <v>-107379737.5</v>
          </cell>
          <cell r="AZ973">
            <v>0</v>
          </cell>
        </row>
        <row r="974">
          <cell r="Q974">
            <v>0</v>
          </cell>
          <cell r="S974">
            <v>-859037.91</v>
          </cell>
          <cell r="U974">
            <v>-859037.91</v>
          </cell>
          <cell r="V974">
            <v>-859037.91</v>
          </cell>
          <cell r="W974">
            <v>-859037.91</v>
          </cell>
          <cell r="Y974">
            <v>-859037.91</v>
          </cell>
          <cell r="AA974">
            <v>-859037.91</v>
          </cell>
          <cell r="AJ974">
            <v>0</v>
          </cell>
          <cell r="AN974">
            <v>-178966.23124999998</v>
          </cell>
          <cell r="AR974">
            <v>-465312.20124999998</v>
          </cell>
          <cell r="AV974">
            <v>-751658.17125000001</v>
          </cell>
          <cell r="AZ974">
            <v>-859037.91</v>
          </cell>
        </row>
        <row r="975">
          <cell r="Q975">
            <v>-1000</v>
          </cell>
          <cell r="S975">
            <v>-1000</v>
          </cell>
          <cell r="U975">
            <v>-1000</v>
          </cell>
          <cell r="V975">
            <v>-1000</v>
          </cell>
          <cell r="W975">
            <v>0</v>
          </cell>
          <cell r="Y975">
            <v>0</v>
          </cell>
          <cell r="AA975">
            <v>0</v>
          </cell>
          <cell r="AJ975">
            <v>-1000</v>
          </cell>
          <cell r="AN975">
            <v>-1000</v>
          </cell>
          <cell r="AR975">
            <v>-791.66666666666663</v>
          </cell>
          <cell r="AV975">
            <v>-458.33333333333331</v>
          </cell>
          <cell r="AZ975">
            <v>-125</v>
          </cell>
        </row>
        <row r="976">
          <cell r="Q976">
            <v>-122847945.22</v>
          </cell>
          <cell r="S976">
            <v>-122847945.22</v>
          </cell>
          <cell r="U976">
            <v>-122847945.22</v>
          </cell>
          <cell r="V976">
            <v>-122847945.22</v>
          </cell>
          <cell r="W976">
            <v>-122847945.22</v>
          </cell>
          <cell r="Y976">
            <v>-122847945.22</v>
          </cell>
          <cell r="AA976">
            <v>-122847945.22</v>
          </cell>
          <cell r="AJ976">
            <v>-122847945.22000001</v>
          </cell>
          <cell r="AN976">
            <v>-122847945.22000001</v>
          </cell>
          <cell r="AR976">
            <v>-122847945.22000001</v>
          </cell>
          <cell r="AV976">
            <v>-122847945.22000001</v>
          </cell>
          <cell r="AZ976">
            <v>-122847945.22000001</v>
          </cell>
        </row>
        <row r="977">
          <cell r="Q977">
            <v>-338395484.31</v>
          </cell>
          <cell r="S977">
            <v>-338395484.31</v>
          </cell>
          <cell r="U977">
            <v>-338395484.31</v>
          </cell>
          <cell r="V977">
            <v>-338395484.31</v>
          </cell>
          <cell r="W977">
            <v>-338395484.31</v>
          </cell>
          <cell r="Y977">
            <v>-338395484.31</v>
          </cell>
          <cell r="AA977">
            <v>-338395484.31</v>
          </cell>
          <cell r="AJ977">
            <v>-338395484.31</v>
          </cell>
          <cell r="AN977">
            <v>-338395484.31</v>
          </cell>
          <cell r="AR977">
            <v>-338395484.31</v>
          </cell>
          <cell r="AV977">
            <v>-338395484.31</v>
          </cell>
          <cell r="AZ977">
            <v>-338395484.31</v>
          </cell>
        </row>
        <row r="978">
          <cell r="Q978">
            <v>-16901820.34</v>
          </cell>
          <cell r="S978">
            <v>-16901820.34</v>
          </cell>
          <cell r="U978">
            <v>-16901820.34</v>
          </cell>
          <cell r="V978">
            <v>-16901820.34</v>
          </cell>
          <cell r="W978">
            <v>-16901820.34</v>
          </cell>
          <cell r="Y978">
            <v>-16901820.34</v>
          </cell>
          <cell r="AA978">
            <v>-16901820.34</v>
          </cell>
          <cell r="AJ978">
            <v>-16901820.34</v>
          </cell>
          <cell r="AN978">
            <v>-16901820.34</v>
          </cell>
          <cell r="AR978">
            <v>-16901820.34</v>
          </cell>
          <cell r="AV978">
            <v>-16901820.34</v>
          </cell>
          <cell r="AZ978">
            <v>-16901820.34</v>
          </cell>
        </row>
        <row r="979">
          <cell r="Q979">
            <v>-337.5</v>
          </cell>
          <cell r="S979">
            <v>0</v>
          </cell>
          <cell r="U979">
            <v>0</v>
          </cell>
          <cell r="V979">
            <v>0</v>
          </cell>
          <cell r="W979">
            <v>0</v>
          </cell>
          <cell r="Y979">
            <v>0</v>
          </cell>
          <cell r="AA979">
            <v>0</v>
          </cell>
          <cell r="AJ979">
            <v>-337.5</v>
          </cell>
          <cell r="AN979">
            <v>-267.1875</v>
          </cell>
          <cell r="AR979">
            <v>-154.6875</v>
          </cell>
          <cell r="AV979">
            <v>-42.1875</v>
          </cell>
          <cell r="AZ979">
            <v>0</v>
          </cell>
        </row>
        <row r="980">
          <cell r="Q980">
            <v>-820586865.84000003</v>
          </cell>
          <cell r="S980">
            <v>-2470564779.1599998</v>
          </cell>
          <cell r="U980">
            <v>-2491360451.8000002</v>
          </cell>
          <cell r="V980">
            <v>-2491360451.8000002</v>
          </cell>
          <cell r="W980">
            <v>-2487705116.4699998</v>
          </cell>
          <cell r="Y980">
            <v>-2487705116.4699998</v>
          </cell>
          <cell r="AA980">
            <v>-2487705116.4699998</v>
          </cell>
          <cell r="AJ980">
            <v>-820453035.04541683</v>
          </cell>
          <cell r="AN980">
            <v>-1166905248.2841668</v>
          </cell>
          <cell r="AR980">
            <v>-1723094353.3258331</v>
          </cell>
          <cell r="AV980">
            <v>-2278800807.5312505</v>
          </cell>
          <cell r="AZ980">
            <v>-2488162033.38625</v>
          </cell>
        </row>
        <row r="981">
          <cell r="Q981">
            <v>-3655335.33</v>
          </cell>
          <cell r="S981">
            <v>0</v>
          </cell>
          <cell r="U981">
            <v>0</v>
          </cell>
          <cell r="V981">
            <v>0</v>
          </cell>
          <cell r="W981">
            <v>0</v>
          </cell>
          <cell r="Y981">
            <v>0</v>
          </cell>
          <cell r="AA981">
            <v>0</v>
          </cell>
          <cell r="AJ981">
            <v>-2552258.5341666662</v>
          </cell>
          <cell r="AN981">
            <v>-2260201.13625</v>
          </cell>
          <cell r="AR981">
            <v>-1481353.6929166669</v>
          </cell>
          <cell r="AV981">
            <v>-456916.91625000001</v>
          </cell>
          <cell r="AZ981">
            <v>0</v>
          </cell>
        </row>
        <row r="982">
          <cell r="Q982">
            <v>0</v>
          </cell>
          <cell r="S982">
            <v>0</v>
          </cell>
          <cell r="U982">
            <v>0</v>
          </cell>
          <cell r="V982">
            <v>0</v>
          </cell>
          <cell r="W982">
            <v>0</v>
          </cell>
          <cell r="Y982">
            <v>0</v>
          </cell>
          <cell r="AA982">
            <v>0</v>
          </cell>
          <cell r="AJ982">
            <v>-76338.63416666667</v>
          </cell>
          <cell r="AN982">
            <v>-20819.627499999999</v>
          </cell>
          <cell r="AR982">
            <v>0</v>
          </cell>
          <cell r="AV982">
            <v>0</v>
          </cell>
          <cell r="AZ982">
            <v>0</v>
          </cell>
        </row>
        <row r="983">
          <cell r="Q983">
            <v>-64675</v>
          </cell>
          <cell r="S983">
            <v>-64675</v>
          </cell>
          <cell r="U983">
            <v>-491575</v>
          </cell>
          <cell r="V983">
            <v>-491575</v>
          </cell>
          <cell r="W983">
            <v>-491575</v>
          </cell>
          <cell r="Y983">
            <v>-491575</v>
          </cell>
          <cell r="AA983">
            <v>-491575</v>
          </cell>
          <cell r="AJ983">
            <v>-53938.541666666664</v>
          </cell>
          <cell r="AN983">
            <v>-116173.125</v>
          </cell>
          <cell r="AR983">
            <v>-260218.125</v>
          </cell>
          <cell r="AV983">
            <v>-402637.5</v>
          </cell>
          <cell r="AZ983">
            <v>-491575</v>
          </cell>
        </row>
        <row r="984">
          <cell r="Q984">
            <v>-689543.36</v>
          </cell>
          <cell r="S984">
            <v>0</v>
          </cell>
          <cell r="U984">
            <v>0</v>
          </cell>
          <cell r="V984">
            <v>0</v>
          </cell>
          <cell r="W984">
            <v>0</v>
          </cell>
          <cell r="Y984">
            <v>0</v>
          </cell>
          <cell r="AA984">
            <v>0</v>
          </cell>
          <cell r="AJ984">
            <v>-1077572.7308333332</v>
          </cell>
          <cell r="AN984">
            <v>-450399.61833333335</v>
          </cell>
          <cell r="AR984">
            <v>-285944.16499999998</v>
          </cell>
          <cell r="AV984">
            <v>-86192.92</v>
          </cell>
          <cell r="AZ984">
            <v>0</v>
          </cell>
        </row>
        <row r="985">
          <cell r="Q985">
            <v>-399333813.91000003</v>
          </cell>
          <cell r="S985">
            <v>-13872593.67</v>
          </cell>
          <cell r="U985">
            <v>-13872593.67</v>
          </cell>
          <cell r="V985">
            <v>-13872593.67</v>
          </cell>
          <cell r="W985">
            <v>0</v>
          </cell>
          <cell r="Y985">
            <v>0</v>
          </cell>
          <cell r="AA985">
            <v>0</v>
          </cell>
          <cell r="AJ985">
            <v>-261383220.17125002</v>
          </cell>
          <cell r="AN985">
            <v>-190334739.32875001</v>
          </cell>
          <cell r="AR985">
            <v>-115017657.38958336</v>
          </cell>
          <cell r="AV985">
            <v>-53661245.395416677</v>
          </cell>
          <cell r="AZ985">
            <v>-1734074.20875</v>
          </cell>
        </row>
        <row r="986">
          <cell r="Q986">
            <v>2148854.7200000002</v>
          </cell>
          <cell r="S986">
            <v>2148854.7200000002</v>
          </cell>
          <cell r="U986">
            <v>2148854.7200000002</v>
          </cell>
          <cell r="V986">
            <v>2148854.7200000002</v>
          </cell>
          <cell r="W986">
            <v>2148854.7200000002</v>
          </cell>
          <cell r="Y986">
            <v>2148854.7200000002</v>
          </cell>
          <cell r="AA986">
            <v>2148854.7200000002</v>
          </cell>
          <cell r="AJ986">
            <v>2148854.7199999997</v>
          </cell>
          <cell r="AN986">
            <v>2148854.7199999997</v>
          </cell>
          <cell r="AR986">
            <v>2148854.7199999997</v>
          </cell>
          <cell r="AV986">
            <v>2148854.7199999997</v>
          </cell>
          <cell r="AZ986">
            <v>2148854.7199999997</v>
          </cell>
        </row>
        <row r="987">
          <cell r="Q987">
            <v>0</v>
          </cell>
          <cell r="S987">
            <v>0</v>
          </cell>
          <cell r="U987">
            <v>0</v>
          </cell>
          <cell r="V987">
            <v>0</v>
          </cell>
          <cell r="W987">
            <v>0</v>
          </cell>
          <cell r="Y987">
            <v>0</v>
          </cell>
          <cell r="AA987">
            <v>0</v>
          </cell>
          <cell r="AJ987">
            <v>0</v>
          </cell>
          <cell r="AN987">
            <v>0</v>
          </cell>
          <cell r="AR987">
            <v>0</v>
          </cell>
          <cell r="AV987">
            <v>0</v>
          </cell>
          <cell r="AZ987">
            <v>0</v>
          </cell>
        </row>
        <row r="988">
          <cell r="Q988">
            <v>4985024.68</v>
          </cell>
          <cell r="S988">
            <v>4985024.68</v>
          </cell>
          <cell r="U988">
            <v>4985024.68</v>
          </cell>
          <cell r="V988">
            <v>4985024.68</v>
          </cell>
          <cell r="W988">
            <v>4985024.68</v>
          </cell>
          <cell r="Y988">
            <v>4985024.68</v>
          </cell>
          <cell r="AA988">
            <v>4985024.68</v>
          </cell>
          <cell r="AJ988">
            <v>4985024.68</v>
          </cell>
          <cell r="AN988">
            <v>4985024.68</v>
          </cell>
          <cell r="AR988">
            <v>4985024.68</v>
          </cell>
          <cell r="AV988">
            <v>4985024.68</v>
          </cell>
          <cell r="AZ988">
            <v>4985024.68</v>
          </cell>
        </row>
        <row r="989">
          <cell r="Q989">
            <v>0</v>
          </cell>
          <cell r="S989">
            <v>0</v>
          </cell>
          <cell r="U989">
            <v>0</v>
          </cell>
          <cell r="V989">
            <v>0</v>
          </cell>
          <cell r="W989">
            <v>0</v>
          </cell>
          <cell r="Y989">
            <v>0</v>
          </cell>
          <cell r="AA989">
            <v>0</v>
          </cell>
          <cell r="AJ989">
            <v>0</v>
          </cell>
          <cell r="AN989">
            <v>0</v>
          </cell>
          <cell r="AR989">
            <v>0</v>
          </cell>
          <cell r="AV989">
            <v>0</v>
          </cell>
          <cell r="AZ989">
            <v>0</v>
          </cell>
        </row>
        <row r="990">
          <cell r="Q990">
            <v>-6573245</v>
          </cell>
          <cell r="S990">
            <v>-6573245</v>
          </cell>
          <cell r="U990">
            <v>-6573245</v>
          </cell>
          <cell r="V990">
            <v>-6573245</v>
          </cell>
          <cell r="W990">
            <v>-6573245</v>
          </cell>
          <cell r="Y990">
            <v>-6573245</v>
          </cell>
          <cell r="AA990">
            <v>-6573245</v>
          </cell>
          <cell r="AJ990">
            <v>-6532226.416666667</v>
          </cell>
          <cell r="AN990">
            <v>-6546493.75</v>
          </cell>
          <cell r="AR990">
            <v>-6560761.083333333</v>
          </cell>
          <cell r="AV990">
            <v>-6574360.5</v>
          </cell>
          <cell r="AZ990">
            <v>-6583284.5</v>
          </cell>
        </row>
        <row r="991">
          <cell r="Q991">
            <v>-1739242</v>
          </cell>
          <cell r="S991">
            <v>-1739242</v>
          </cell>
          <cell r="U991">
            <v>-1739242</v>
          </cell>
          <cell r="V991">
            <v>-1739242</v>
          </cell>
          <cell r="W991">
            <v>-1739242</v>
          </cell>
          <cell r="Y991">
            <v>-1739242</v>
          </cell>
          <cell r="AA991">
            <v>-1739242</v>
          </cell>
          <cell r="AJ991">
            <v>-1521866.125</v>
          </cell>
          <cell r="AN991">
            <v>-1597475.125</v>
          </cell>
          <cell r="AR991">
            <v>-1673084.125</v>
          </cell>
          <cell r="AV991">
            <v>-1740792.0833333333</v>
          </cell>
          <cell r="AZ991">
            <v>-1753192.75</v>
          </cell>
        </row>
        <row r="992">
          <cell r="Q992">
            <v>6912845.0599999996</v>
          </cell>
          <cell r="S992">
            <v>10437623.67</v>
          </cell>
          <cell r="U992">
            <v>10437623.67</v>
          </cell>
          <cell r="V992">
            <v>10437623.67</v>
          </cell>
          <cell r="W992">
            <v>-389541.3</v>
          </cell>
          <cell r="Y992">
            <v>-389541.3</v>
          </cell>
          <cell r="AA992">
            <v>-389541.3</v>
          </cell>
          <cell r="AJ992">
            <v>6684363.654583334</v>
          </cell>
          <cell r="AN992">
            <v>7940905.487916667</v>
          </cell>
          <cell r="AR992">
            <v>6860172.3225000007</v>
          </cell>
          <cell r="AV992">
            <v>4426043.5358333355</v>
          </cell>
          <cell r="AZ992">
            <v>1077470.5337499997</v>
          </cell>
        </row>
        <row r="993">
          <cell r="Q993">
            <v>3524778.61</v>
          </cell>
          <cell r="S993">
            <v>389541.3</v>
          </cell>
          <cell r="U993">
            <v>389541.3</v>
          </cell>
          <cell r="V993">
            <v>389541.3</v>
          </cell>
          <cell r="W993">
            <v>389541.3</v>
          </cell>
          <cell r="Y993">
            <v>389541.3</v>
          </cell>
          <cell r="AA993">
            <v>389541.3</v>
          </cell>
          <cell r="AJ993">
            <v>1987892.3058333334</v>
          </cell>
          <cell r="AN993">
            <v>1740548.6425000001</v>
          </cell>
          <cell r="AR993">
            <v>1316670.5370833336</v>
          </cell>
          <cell r="AV993">
            <v>509657.38624999992</v>
          </cell>
          <cell r="AZ993">
            <v>275925.08749999997</v>
          </cell>
        </row>
        <row r="994">
          <cell r="Q994">
            <v>-457744180.39999998</v>
          </cell>
          <cell r="S994">
            <v>-474639899.95999998</v>
          </cell>
          <cell r="U994">
            <v>-474534261.32999998</v>
          </cell>
          <cell r="V994">
            <v>-474534261.32999998</v>
          </cell>
          <cell r="W994">
            <v>-473362627.68000001</v>
          </cell>
          <cell r="Y994">
            <v>-473362627.68000001</v>
          </cell>
          <cell r="AA994">
            <v>-473529059.11000001</v>
          </cell>
          <cell r="AJ994">
            <v>-453396578.04874992</v>
          </cell>
          <cell r="AN994">
            <v>-462612865.03624994</v>
          </cell>
          <cell r="AR994">
            <v>-468663179.15125006</v>
          </cell>
          <cell r="AV994">
            <v>-473403798.09541655</v>
          </cell>
          <cell r="AZ994">
            <v>-467835715.61250001</v>
          </cell>
        </row>
        <row r="995">
          <cell r="Q995">
            <v>-162735518.78</v>
          </cell>
          <cell r="S995">
            <v>-56437884.909999996</v>
          </cell>
          <cell r="U995">
            <v>-100880469.02</v>
          </cell>
          <cell r="V995">
            <v>-122522352.84</v>
          </cell>
          <cell r="W995">
            <v>-128754095.34</v>
          </cell>
          <cell r="Y995">
            <v>-112535516.01000001</v>
          </cell>
          <cell r="AA995">
            <v>-123167336.86</v>
          </cell>
          <cell r="AJ995">
            <v>-108509176.89708306</v>
          </cell>
          <cell r="AN995">
            <v>-106257854.54833323</v>
          </cell>
          <cell r="AR995">
            <v>-107686617.54416661</v>
          </cell>
          <cell r="AV995">
            <v>-109306416.5425</v>
          </cell>
          <cell r="AZ995">
            <v>-86532721.430416659</v>
          </cell>
        </row>
        <row r="996">
          <cell r="Q996">
            <v>0</v>
          </cell>
          <cell r="S996">
            <v>0</v>
          </cell>
          <cell r="U996">
            <v>0</v>
          </cell>
          <cell r="V996">
            <v>0</v>
          </cell>
          <cell r="W996">
            <v>0</v>
          </cell>
          <cell r="Y996">
            <v>0</v>
          </cell>
          <cell r="AA996">
            <v>0</v>
          </cell>
          <cell r="AJ996">
            <v>0</v>
          </cell>
          <cell r="AN996">
            <v>0</v>
          </cell>
          <cell r="AR996">
            <v>0</v>
          </cell>
          <cell r="AV996">
            <v>0</v>
          </cell>
          <cell r="AZ996">
            <v>0</v>
          </cell>
        </row>
        <row r="997">
          <cell r="Q997">
            <v>0</v>
          </cell>
          <cell r="S997">
            <v>0</v>
          </cell>
          <cell r="U997">
            <v>0</v>
          </cell>
          <cell r="V997">
            <v>0</v>
          </cell>
          <cell r="W997">
            <v>0</v>
          </cell>
          <cell r="Y997">
            <v>0</v>
          </cell>
          <cell r="AA997">
            <v>0</v>
          </cell>
          <cell r="AJ997">
            <v>0</v>
          </cell>
          <cell r="AN997">
            <v>0</v>
          </cell>
          <cell r="AR997">
            <v>0</v>
          </cell>
          <cell r="AV997">
            <v>0</v>
          </cell>
          <cell r="AZ997">
            <v>0</v>
          </cell>
        </row>
        <row r="998">
          <cell r="Q998">
            <v>0</v>
          </cell>
          <cell r="S998">
            <v>0</v>
          </cell>
          <cell r="U998">
            <v>0</v>
          </cell>
          <cell r="V998">
            <v>0</v>
          </cell>
          <cell r="W998">
            <v>0</v>
          </cell>
          <cell r="Y998">
            <v>0</v>
          </cell>
          <cell r="AA998">
            <v>0</v>
          </cell>
          <cell r="AJ998">
            <v>0</v>
          </cell>
          <cell r="AN998">
            <v>0</v>
          </cell>
          <cell r="AR998">
            <v>0</v>
          </cell>
          <cell r="AV998">
            <v>0</v>
          </cell>
          <cell r="AZ998">
            <v>0</v>
          </cell>
        </row>
        <row r="999">
          <cell r="Q999">
            <v>0</v>
          </cell>
          <cell r="S999">
            <v>0</v>
          </cell>
          <cell r="U999">
            <v>0</v>
          </cell>
          <cell r="V999">
            <v>0</v>
          </cell>
          <cell r="W999">
            <v>0</v>
          </cell>
          <cell r="Y999">
            <v>0</v>
          </cell>
          <cell r="AA999">
            <v>0</v>
          </cell>
          <cell r="AJ999">
            <v>0</v>
          </cell>
          <cell r="AN999">
            <v>0</v>
          </cell>
          <cell r="AR999">
            <v>0</v>
          </cell>
          <cell r="AV999">
            <v>0</v>
          </cell>
          <cell r="AZ999">
            <v>0</v>
          </cell>
        </row>
        <row r="1000">
          <cell r="Q1000">
            <v>145840136.72</v>
          </cell>
          <cell r="S1000">
            <v>32419622.25</v>
          </cell>
          <cell r="U1000">
            <v>90419622.25</v>
          </cell>
          <cell r="V1000">
            <v>90419622.25</v>
          </cell>
          <cell r="W1000">
            <v>146421670.81</v>
          </cell>
          <cell r="Y1000">
            <v>159259952.75</v>
          </cell>
          <cell r="AA1000">
            <v>173019624.81999999</v>
          </cell>
          <cell r="AJ1000">
            <v>83498784.754583344</v>
          </cell>
          <cell r="AN1000">
            <v>88940348.365833342</v>
          </cell>
          <cell r="AR1000">
            <v>104800571.96375</v>
          </cell>
          <cell r="AV1000">
            <v>120551427.40208334</v>
          </cell>
          <cell r="AZ1000">
            <v>119660380.71541667</v>
          </cell>
        </row>
        <row r="1001">
          <cell r="Q1001">
            <v>5848610</v>
          </cell>
          <cell r="S1001">
            <v>5848610</v>
          </cell>
          <cell r="U1001">
            <v>5848610</v>
          </cell>
          <cell r="V1001">
            <v>5848610</v>
          </cell>
          <cell r="W1001">
            <v>5848610</v>
          </cell>
          <cell r="Y1001">
            <v>5848610</v>
          </cell>
          <cell r="AA1001">
            <v>5848610</v>
          </cell>
          <cell r="AJ1001">
            <v>4630149.583333333</v>
          </cell>
          <cell r="AN1001">
            <v>5848610</v>
          </cell>
          <cell r="AR1001">
            <v>5848610</v>
          </cell>
          <cell r="AV1001">
            <v>5848610</v>
          </cell>
          <cell r="AZ1001">
            <v>5848610</v>
          </cell>
        </row>
        <row r="1002">
          <cell r="AV1002">
            <v>0</v>
          </cell>
          <cell r="AZ1002">
            <v>0</v>
          </cell>
        </row>
        <row r="1003">
          <cell r="Q1003">
            <v>77562549.519999996</v>
          </cell>
          <cell r="S1003">
            <v>77562549.519999996</v>
          </cell>
          <cell r="U1003">
            <v>77562549.519999996</v>
          </cell>
          <cell r="V1003">
            <v>77562549.519999996</v>
          </cell>
          <cell r="W1003">
            <v>77562549.519999996</v>
          </cell>
          <cell r="Y1003">
            <v>77562549.519999996</v>
          </cell>
          <cell r="AA1003">
            <v>77562549.519999996</v>
          </cell>
          <cell r="AJ1003">
            <v>77562549.519999996</v>
          </cell>
          <cell r="AN1003">
            <v>77562549.519999996</v>
          </cell>
          <cell r="AR1003">
            <v>77562549.519999996</v>
          </cell>
          <cell r="AV1003">
            <v>77562549.519999996</v>
          </cell>
          <cell r="AZ1003">
            <v>77562549.519999996</v>
          </cell>
        </row>
        <row r="1004">
          <cell r="Q1004">
            <v>1755001.25</v>
          </cell>
          <cell r="S1004">
            <v>1755001.25</v>
          </cell>
          <cell r="U1004">
            <v>1755001.25</v>
          </cell>
          <cell r="V1004">
            <v>1755001.25</v>
          </cell>
          <cell r="W1004">
            <v>1755001.25</v>
          </cell>
          <cell r="Y1004">
            <v>1755001.25</v>
          </cell>
          <cell r="AA1004">
            <v>1755001.25</v>
          </cell>
          <cell r="AJ1004">
            <v>1755001.25</v>
          </cell>
          <cell r="AN1004">
            <v>1755001.25</v>
          </cell>
          <cell r="AR1004">
            <v>1755001.25</v>
          </cell>
          <cell r="AV1004">
            <v>1755001.25</v>
          </cell>
          <cell r="AZ1004">
            <v>1755001.25</v>
          </cell>
        </row>
        <row r="1005">
          <cell r="Q1005">
            <v>1471103.62</v>
          </cell>
          <cell r="S1005">
            <v>1471103.62</v>
          </cell>
          <cell r="U1005">
            <v>1471103.62</v>
          </cell>
          <cell r="V1005">
            <v>1471103.62</v>
          </cell>
          <cell r="W1005">
            <v>1471103.62</v>
          </cell>
          <cell r="Y1005">
            <v>1471103.62</v>
          </cell>
          <cell r="AA1005">
            <v>1471103.62</v>
          </cell>
          <cell r="AJ1005">
            <v>1471103.6200000003</v>
          </cell>
          <cell r="AN1005">
            <v>1471103.6200000003</v>
          </cell>
          <cell r="AR1005">
            <v>1471103.6200000003</v>
          </cell>
          <cell r="AV1005">
            <v>1471103.6200000003</v>
          </cell>
          <cell r="AZ1005">
            <v>1471103.6200000003</v>
          </cell>
        </row>
        <row r="1006">
          <cell r="Q1006">
            <v>16359946.109999999</v>
          </cell>
          <cell r="S1006">
            <v>16359946.109999999</v>
          </cell>
          <cell r="U1006">
            <v>16359946.109999999</v>
          </cell>
          <cell r="V1006">
            <v>16359946.109999999</v>
          </cell>
          <cell r="W1006">
            <v>16359946.109999999</v>
          </cell>
          <cell r="Y1006">
            <v>16359946.109999999</v>
          </cell>
          <cell r="AA1006">
            <v>16359946.109999999</v>
          </cell>
          <cell r="AJ1006">
            <v>16359946.110000005</v>
          </cell>
          <cell r="AN1006">
            <v>16359946.110000005</v>
          </cell>
          <cell r="AR1006">
            <v>16359946.110000005</v>
          </cell>
          <cell r="AV1006">
            <v>16359946.110000005</v>
          </cell>
          <cell r="AZ1006">
            <v>16359946.110000005</v>
          </cell>
        </row>
        <row r="1007">
          <cell r="Q1007">
            <v>0</v>
          </cell>
          <cell r="S1007">
            <v>0</v>
          </cell>
          <cell r="U1007">
            <v>0</v>
          </cell>
          <cell r="V1007">
            <v>0</v>
          </cell>
          <cell r="W1007">
            <v>0</v>
          </cell>
          <cell r="Y1007">
            <v>0</v>
          </cell>
          <cell r="AA1007">
            <v>0</v>
          </cell>
          <cell r="AJ1007">
            <v>0</v>
          </cell>
          <cell r="AN1007">
            <v>0</v>
          </cell>
          <cell r="AR1007">
            <v>0</v>
          </cell>
          <cell r="AV1007">
            <v>0</v>
          </cell>
          <cell r="AZ1007">
            <v>0</v>
          </cell>
        </row>
        <row r="1008">
          <cell r="Q1008">
            <v>-4608449</v>
          </cell>
          <cell r="S1008">
            <v>-4608449</v>
          </cell>
          <cell r="U1008">
            <v>-4799887</v>
          </cell>
          <cell r="V1008">
            <v>-4799887</v>
          </cell>
          <cell r="W1008">
            <v>-6047751</v>
          </cell>
          <cell r="Y1008">
            <v>-6047751</v>
          </cell>
          <cell r="AA1008">
            <v>-5966059</v>
          </cell>
          <cell r="AJ1008">
            <v>-5675191.291666667</v>
          </cell>
          <cell r="AN1008">
            <v>-4776103</v>
          </cell>
          <cell r="AR1008">
            <v>-4364060.75</v>
          </cell>
          <cell r="AV1008">
            <v>-5406847.541666667</v>
          </cell>
          <cell r="AZ1008">
            <v>-5775281.625</v>
          </cell>
        </row>
        <row r="1009">
          <cell r="Q1009">
            <v>27619177.09</v>
          </cell>
          <cell r="S1009">
            <v>27619177.09</v>
          </cell>
          <cell r="U1009">
            <v>27704976.460000001</v>
          </cell>
          <cell r="V1009">
            <v>27704976.460000001</v>
          </cell>
          <cell r="W1009">
            <v>27781206.809999999</v>
          </cell>
          <cell r="Y1009">
            <v>27781206.809999999</v>
          </cell>
          <cell r="AA1009">
            <v>27865946.239999998</v>
          </cell>
          <cell r="AJ1009">
            <v>27525459.834583338</v>
          </cell>
          <cell r="AN1009">
            <v>27559107.521249998</v>
          </cell>
          <cell r="AR1009">
            <v>27655349.199583333</v>
          </cell>
          <cell r="AV1009">
            <v>27888155.790416669</v>
          </cell>
          <cell r="AZ1009">
            <v>28953169.518750001</v>
          </cell>
        </row>
        <row r="1010">
          <cell r="Q1010">
            <v>-20782555</v>
          </cell>
          <cell r="S1010">
            <v>-20782555</v>
          </cell>
          <cell r="U1010">
            <v>-20782555</v>
          </cell>
          <cell r="V1010">
            <v>-20782555</v>
          </cell>
          <cell r="W1010">
            <v>-20782555</v>
          </cell>
          <cell r="Y1010">
            <v>-20782555</v>
          </cell>
          <cell r="AA1010">
            <v>-20782555</v>
          </cell>
          <cell r="AJ1010">
            <v>-20782555</v>
          </cell>
          <cell r="AN1010">
            <v>-20782555</v>
          </cell>
          <cell r="AR1010">
            <v>-20782555</v>
          </cell>
          <cell r="AV1010">
            <v>-20782555</v>
          </cell>
          <cell r="AZ1010">
            <v>-20782555</v>
          </cell>
        </row>
        <row r="1011">
          <cell r="Q1011">
            <v>20782555</v>
          </cell>
          <cell r="S1011">
            <v>20782555</v>
          </cell>
          <cell r="U1011">
            <v>20782555</v>
          </cell>
          <cell r="V1011">
            <v>20782555</v>
          </cell>
          <cell r="W1011">
            <v>20782555</v>
          </cell>
          <cell r="Y1011">
            <v>20782555</v>
          </cell>
          <cell r="AA1011">
            <v>20782555</v>
          </cell>
          <cell r="AJ1011">
            <v>20782555</v>
          </cell>
          <cell r="AN1011">
            <v>20782555</v>
          </cell>
          <cell r="AR1011">
            <v>20782555</v>
          </cell>
          <cell r="AV1011">
            <v>20782555</v>
          </cell>
          <cell r="AZ1011">
            <v>20782555</v>
          </cell>
        </row>
        <row r="1012">
          <cell r="Q1012">
            <v>119514654</v>
          </cell>
          <cell r="S1012">
            <v>177542047.13</v>
          </cell>
          <cell r="U1012">
            <v>192559011.84999999</v>
          </cell>
          <cell r="V1012">
            <v>181303067.56</v>
          </cell>
          <cell r="W1012">
            <v>181545494.40000001</v>
          </cell>
          <cell r="Y1012">
            <v>181235804.25</v>
          </cell>
          <cell r="AA1012">
            <v>181235804.25999999</v>
          </cell>
          <cell r="AJ1012">
            <v>-21838831.18041667</v>
          </cell>
          <cell r="AN1012">
            <v>31565161.664583329</v>
          </cell>
          <cell r="AR1012">
            <v>123916975.46208334</v>
          </cell>
          <cell r="AV1012">
            <v>188856111.81833336</v>
          </cell>
          <cell r="AZ1012">
            <v>225871490.92458335</v>
          </cell>
        </row>
        <row r="1013">
          <cell r="Q1013">
            <v>-7225932</v>
          </cell>
          <cell r="S1013">
            <v>-15852435.24</v>
          </cell>
          <cell r="U1013">
            <v>-24867336.440000001</v>
          </cell>
          <cell r="V1013">
            <v>-26846172.100000001</v>
          </cell>
          <cell r="W1013">
            <v>-29396199.109999999</v>
          </cell>
          <cell r="Y1013">
            <v>-56529387.890000001</v>
          </cell>
          <cell r="AA1013">
            <v>-82377328.109999999</v>
          </cell>
          <cell r="AJ1013">
            <v>-19981691.94458333</v>
          </cell>
          <cell r="AN1013">
            <v>-16073177.287500001</v>
          </cell>
          <cell r="AR1013">
            <v>-18659430.854583334</v>
          </cell>
          <cell r="AV1013">
            <v>-50022192.499583334</v>
          </cell>
          <cell r="AZ1013">
            <v>-100630824.56541668</v>
          </cell>
        </row>
        <row r="1014">
          <cell r="Q1014">
            <v>0</v>
          </cell>
          <cell r="S1014">
            <v>0</v>
          </cell>
          <cell r="U1014">
            <v>0</v>
          </cell>
          <cell r="V1014">
            <v>0</v>
          </cell>
          <cell r="W1014">
            <v>0</v>
          </cell>
          <cell r="Y1014">
            <v>0</v>
          </cell>
          <cell r="AA1014">
            <v>0</v>
          </cell>
          <cell r="AJ1014">
            <v>0</v>
          </cell>
          <cell r="AN1014">
            <v>0</v>
          </cell>
          <cell r="AR1014">
            <v>0</v>
          </cell>
          <cell r="AV1014">
            <v>0</v>
          </cell>
          <cell r="AZ1014">
            <v>0</v>
          </cell>
        </row>
        <row r="1015">
          <cell r="Q1015">
            <v>0</v>
          </cell>
          <cell r="S1015">
            <v>0</v>
          </cell>
          <cell r="U1015">
            <v>0</v>
          </cell>
          <cell r="V1015">
            <v>0</v>
          </cell>
          <cell r="W1015">
            <v>0</v>
          </cell>
          <cell r="Y1015">
            <v>0</v>
          </cell>
          <cell r="AA1015">
            <v>0</v>
          </cell>
          <cell r="AJ1015">
            <v>0</v>
          </cell>
          <cell r="AN1015">
            <v>0</v>
          </cell>
          <cell r="AR1015">
            <v>0</v>
          </cell>
          <cell r="AV1015">
            <v>0</v>
          </cell>
          <cell r="AZ1015">
            <v>0</v>
          </cell>
        </row>
        <row r="1016">
          <cell r="Q1016">
            <v>0</v>
          </cell>
          <cell r="S1016">
            <v>0</v>
          </cell>
          <cell r="U1016">
            <v>0</v>
          </cell>
          <cell r="V1016">
            <v>0</v>
          </cell>
          <cell r="W1016">
            <v>0</v>
          </cell>
          <cell r="Y1016">
            <v>0</v>
          </cell>
          <cell r="AA1016">
            <v>0</v>
          </cell>
          <cell r="AJ1016">
            <v>0</v>
          </cell>
          <cell r="AN1016">
            <v>0</v>
          </cell>
          <cell r="AR1016">
            <v>0</v>
          </cell>
          <cell r="AV1016">
            <v>0</v>
          </cell>
          <cell r="AZ1016">
            <v>0</v>
          </cell>
        </row>
        <row r="1017">
          <cell r="Q1017">
            <v>-13859690</v>
          </cell>
          <cell r="S1017">
            <v>-13859690</v>
          </cell>
          <cell r="U1017">
            <v>-13859690</v>
          </cell>
          <cell r="V1017">
            <v>-13859690</v>
          </cell>
          <cell r="W1017">
            <v>-13859690</v>
          </cell>
          <cell r="Y1017">
            <v>-13859690</v>
          </cell>
          <cell r="AA1017">
            <v>-13859690</v>
          </cell>
          <cell r="AJ1017">
            <v>-13859690</v>
          </cell>
          <cell r="AN1017">
            <v>-13859690</v>
          </cell>
          <cell r="AR1017">
            <v>-13859690</v>
          </cell>
          <cell r="AV1017">
            <v>-13859690</v>
          </cell>
          <cell r="AZ1017">
            <v>-13859690</v>
          </cell>
        </row>
        <row r="1018">
          <cell r="Q1018">
            <v>1156163</v>
          </cell>
          <cell r="S1018">
            <v>1233155</v>
          </cell>
          <cell r="U1018">
            <v>1310147</v>
          </cell>
          <cell r="V1018">
            <v>1348643</v>
          </cell>
          <cell r="W1018">
            <v>1387139</v>
          </cell>
          <cell r="Y1018">
            <v>1464131</v>
          </cell>
          <cell r="AA1018">
            <v>1541123</v>
          </cell>
          <cell r="AJ1018">
            <v>925187</v>
          </cell>
          <cell r="AN1018">
            <v>1079171</v>
          </cell>
          <cell r="AR1018">
            <v>1233155</v>
          </cell>
          <cell r="AV1018">
            <v>1387139</v>
          </cell>
          <cell r="AZ1018">
            <v>1541123</v>
          </cell>
        </row>
        <row r="1019">
          <cell r="Q1019">
            <v>20210214</v>
          </cell>
          <cell r="S1019">
            <v>20082704</v>
          </cell>
          <cell r="U1019">
            <v>19955194</v>
          </cell>
          <cell r="V1019">
            <v>19891439</v>
          </cell>
          <cell r="W1019">
            <v>19827684</v>
          </cell>
          <cell r="Y1019">
            <v>19700174</v>
          </cell>
          <cell r="AA1019">
            <v>19572664</v>
          </cell>
          <cell r="AJ1019">
            <v>20592744</v>
          </cell>
          <cell r="AN1019">
            <v>20337724</v>
          </cell>
          <cell r="AR1019">
            <v>20082704</v>
          </cell>
          <cell r="AV1019">
            <v>19827684</v>
          </cell>
          <cell r="AZ1019">
            <v>19572664</v>
          </cell>
        </row>
        <row r="1020">
          <cell r="Q1020">
            <v>416406</v>
          </cell>
          <cell r="S1020">
            <v>416406</v>
          </cell>
          <cell r="U1020">
            <v>416406</v>
          </cell>
          <cell r="V1020">
            <v>416406</v>
          </cell>
          <cell r="W1020">
            <v>416406</v>
          </cell>
          <cell r="Y1020">
            <v>416406</v>
          </cell>
          <cell r="AA1020">
            <v>416406</v>
          </cell>
          <cell r="AJ1020">
            <v>416406</v>
          </cell>
          <cell r="AN1020">
            <v>416406</v>
          </cell>
          <cell r="AR1020">
            <v>416406</v>
          </cell>
          <cell r="AV1020">
            <v>416406</v>
          </cell>
          <cell r="AZ1020">
            <v>416406</v>
          </cell>
        </row>
        <row r="1021">
          <cell r="Q1021">
            <v>-31686</v>
          </cell>
          <cell r="S1021">
            <v>-33996</v>
          </cell>
          <cell r="U1021">
            <v>-36306</v>
          </cell>
          <cell r="V1021">
            <v>-37461</v>
          </cell>
          <cell r="W1021">
            <v>-38616</v>
          </cell>
          <cell r="Y1021">
            <v>-40926</v>
          </cell>
          <cell r="AA1021">
            <v>-43236</v>
          </cell>
          <cell r="AJ1021">
            <v>-24756</v>
          </cell>
          <cell r="AN1021">
            <v>-29376</v>
          </cell>
          <cell r="AR1021">
            <v>-33996</v>
          </cell>
          <cell r="AV1021">
            <v>-38616</v>
          </cell>
          <cell r="AZ1021">
            <v>-43236</v>
          </cell>
        </row>
        <row r="1022">
          <cell r="Q1022">
            <v>212438217</v>
          </cell>
          <cell r="S1022">
            <v>211710625.5</v>
          </cell>
          <cell r="U1022">
            <v>210826148</v>
          </cell>
          <cell r="V1022">
            <v>210423130.75</v>
          </cell>
          <cell r="W1022">
            <v>215611769.5</v>
          </cell>
          <cell r="Y1022">
            <v>214805735</v>
          </cell>
          <cell r="AA1022">
            <v>213999700.5</v>
          </cell>
          <cell r="AJ1022">
            <v>3770255.6108333319</v>
          </cell>
          <cell r="AN1022">
            <v>78646703.640833333</v>
          </cell>
          <cell r="AR1022">
            <v>151595914.41083333</v>
          </cell>
          <cell r="AV1022">
            <v>211643472.70833334</v>
          </cell>
          <cell r="AZ1022">
            <v>200323547.51166666</v>
          </cell>
        </row>
        <row r="1023">
          <cell r="Q1023">
            <v>-74353376.010000005</v>
          </cell>
          <cell r="S1023">
            <v>-74098718.989999995</v>
          </cell>
          <cell r="U1023">
            <v>-73789151.870000005</v>
          </cell>
          <cell r="V1023">
            <v>-73648095.829999998</v>
          </cell>
          <cell r="W1023">
            <v>-75464120.290000007</v>
          </cell>
          <cell r="Y1023">
            <v>-75182008.209999993</v>
          </cell>
          <cell r="AA1023">
            <v>-74899896.129999995</v>
          </cell>
          <cell r="AJ1023">
            <v>-1319589.4854166668</v>
          </cell>
          <cell r="AN1023">
            <v>-27526346.314583335</v>
          </cell>
          <cell r="AR1023">
            <v>-53058570.285000004</v>
          </cell>
          <cell r="AV1023">
            <v>-74075215.957499996</v>
          </cell>
          <cell r="AZ1023">
            <v>-70113242.11833334</v>
          </cell>
        </row>
        <row r="1024">
          <cell r="Q1024">
            <v>9984295</v>
          </cell>
          <cell r="S1024">
            <v>9741843.8399999999</v>
          </cell>
          <cell r="U1024">
            <v>9499392.6799999997</v>
          </cell>
          <cell r="V1024">
            <v>9378167.0999999996</v>
          </cell>
          <cell r="W1024">
            <v>9256941.5199999996</v>
          </cell>
          <cell r="Y1024">
            <v>9014490.3599999994</v>
          </cell>
          <cell r="AA1024">
            <v>8772039.1999999993</v>
          </cell>
          <cell r="AJ1024">
            <v>10398111.648333333</v>
          </cell>
          <cell r="AN1024">
            <v>10032114.375000002</v>
          </cell>
          <cell r="AR1024">
            <v>9655581.2216666676</v>
          </cell>
          <cell r="AV1024">
            <v>9283535.6850000005</v>
          </cell>
          <cell r="AZ1024">
            <v>9019028.7916666642</v>
          </cell>
        </row>
        <row r="1025">
          <cell r="Q1025">
            <v>-3494503.35</v>
          </cell>
          <cell r="S1025">
            <v>-3409645.45</v>
          </cell>
          <cell r="U1025">
            <v>-3324787.55</v>
          </cell>
          <cell r="V1025">
            <v>-3282358.6</v>
          </cell>
          <cell r="W1025">
            <v>-3239929.65</v>
          </cell>
          <cell r="Y1025">
            <v>-3155071.75</v>
          </cell>
          <cell r="AA1025">
            <v>-3070213.85</v>
          </cell>
          <cell r="AJ1025">
            <v>-3639339.105833333</v>
          </cell>
          <cell r="AN1025">
            <v>-3511240.0924999998</v>
          </cell>
          <cell r="AR1025">
            <v>-3379453.519166667</v>
          </cell>
          <cell r="AV1025">
            <v>-3249237.6020833333</v>
          </cell>
          <cell r="AZ1025">
            <v>-3156660.1520833336</v>
          </cell>
        </row>
        <row r="1026">
          <cell r="Q1026">
            <v>-1282000</v>
          </cell>
          <cell r="S1026">
            <v>-1281500</v>
          </cell>
          <cell r="U1026">
            <v>-1188666.67</v>
          </cell>
          <cell r="V1026">
            <v>-1165333.3400000001</v>
          </cell>
          <cell r="W1026">
            <v>-3085000.01</v>
          </cell>
          <cell r="Y1026">
            <v>-3038333.35</v>
          </cell>
          <cell r="AA1026">
            <v>-2991666.69</v>
          </cell>
          <cell r="AJ1026">
            <v>-6372902.7683333345</v>
          </cell>
          <cell r="AN1026">
            <v>-4501999.9929166669</v>
          </cell>
          <cell r="AR1026">
            <v>-3068125.0029166662</v>
          </cell>
          <cell r="AV1026">
            <v>-2238583.3433333333</v>
          </cell>
          <cell r="AZ1026">
            <v>-3042041.6787499995</v>
          </cell>
        </row>
        <row r="1027">
          <cell r="Q1027">
            <v>-96250</v>
          </cell>
          <cell r="S1027">
            <v>-96425</v>
          </cell>
          <cell r="U1027">
            <v>-128916.67</v>
          </cell>
          <cell r="V1027">
            <v>-130841.67</v>
          </cell>
          <cell r="W1027">
            <v>547283.32999999996</v>
          </cell>
          <cell r="Y1027">
            <v>543433.32999999996</v>
          </cell>
          <cell r="AA1027">
            <v>539583.32999999996</v>
          </cell>
          <cell r="AJ1027">
            <v>1215282.658333333</v>
          </cell>
          <cell r="AN1027">
            <v>739666.68374999997</v>
          </cell>
          <cell r="AR1027">
            <v>403204.87041666667</v>
          </cell>
          <cell r="AV1027">
            <v>255290.97</v>
          </cell>
          <cell r="AZ1027">
            <v>627457.63666666672</v>
          </cell>
        </row>
        <row r="1028">
          <cell r="Q1028">
            <v>-572523</v>
          </cell>
          <cell r="S1028">
            <v>-572523</v>
          </cell>
          <cell r="U1028">
            <v>0</v>
          </cell>
          <cell r="V1028">
            <v>0</v>
          </cell>
          <cell r="W1028">
            <v>0</v>
          </cell>
          <cell r="Y1028">
            <v>0</v>
          </cell>
          <cell r="AA1028">
            <v>0</v>
          </cell>
          <cell r="AJ1028">
            <v>-6588.125</v>
          </cell>
          <cell r="AN1028">
            <v>-152157.125</v>
          </cell>
          <cell r="AR1028">
            <v>-268242.375</v>
          </cell>
          <cell r="AV1028">
            <v>-119275.625</v>
          </cell>
          <cell r="AZ1028">
            <v>0</v>
          </cell>
        </row>
        <row r="1029">
          <cell r="AR1029">
            <v>0</v>
          </cell>
          <cell r="AV1029">
            <v>-5912398.0629166663</v>
          </cell>
          <cell r="AZ1029">
            <v>-18652449.327500001</v>
          </cell>
        </row>
        <row r="1030">
          <cell r="Q1030">
            <v>0</v>
          </cell>
          <cell r="S1030">
            <v>0</v>
          </cell>
          <cell r="U1030">
            <v>0</v>
          </cell>
          <cell r="V1030">
            <v>0</v>
          </cell>
          <cell r="W1030">
            <v>0</v>
          </cell>
          <cell r="Y1030">
            <v>0</v>
          </cell>
          <cell r="AA1030">
            <v>0</v>
          </cell>
          <cell r="AJ1030">
            <v>0</v>
          </cell>
          <cell r="AN1030">
            <v>0</v>
          </cell>
          <cell r="AR1030">
            <v>0</v>
          </cell>
          <cell r="AV1030">
            <v>0</v>
          </cell>
          <cell r="AZ1030">
            <v>0</v>
          </cell>
        </row>
        <row r="1031">
          <cell r="Q1031">
            <v>-25000000</v>
          </cell>
          <cell r="S1031">
            <v>-25000000</v>
          </cell>
          <cell r="U1031">
            <v>-25000000</v>
          </cell>
          <cell r="V1031">
            <v>-25000000</v>
          </cell>
          <cell r="W1031">
            <v>-25000000</v>
          </cell>
          <cell r="Y1031">
            <v>-25000000</v>
          </cell>
          <cell r="AA1031">
            <v>-25000000</v>
          </cell>
          <cell r="AJ1031">
            <v>-25000000</v>
          </cell>
          <cell r="AN1031">
            <v>-25000000</v>
          </cell>
          <cell r="AR1031">
            <v>-25000000</v>
          </cell>
          <cell r="AV1031">
            <v>-25000000</v>
          </cell>
          <cell r="AZ1031">
            <v>-25000000</v>
          </cell>
        </row>
        <row r="1032">
          <cell r="Q1032">
            <v>0</v>
          </cell>
          <cell r="S1032">
            <v>0</v>
          </cell>
          <cell r="U1032">
            <v>0</v>
          </cell>
          <cell r="V1032">
            <v>0</v>
          </cell>
          <cell r="W1032">
            <v>0</v>
          </cell>
          <cell r="Y1032">
            <v>0</v>
          </cell>
          <cell r="AA1032">
            <v>0</v>
          </cell>
          <cell r="AJ1032">
            <v>-2187500</v>
          </cell>
          <cell r="AN1032">
            <v>-1020833.3333333334</v>
          </cell>
          <cell r="AR1032">
            <v>0</v>
          </cell>
          <cell r="AV1032">
            <v>0</v>
          </cell>
          <cell r="AZ1032">
            <v>0</v>
          </cell>
        </row>
        <row r="1033">
          <cell r="Q1033">
            <v>-3000000</v>
          </cell>
          <cell r="S1033">
            <v>-3000000</v>
          </cell>
          <cell r="U1033">
            <v>-3000000</v>
          </cell>
          <cell r="V1033">
            <v>-3000000</v>
          </cell>
          <cell r="W1033">
            <v>-3000000</v>
          </cell>
          <cell r="Y1033">
            <v>-3000000</v>
          </cell>
          <cell r="AA1033">
            <v>-3000000</v>
          </cell>
          <cell r="AJ1033">
            <v>-3000000</v>
          </cell>
          <cell r="AN1033">
            <v>-3000000</v>
          </cell>
          <cell r="AR1033">
            <v>-3000000</v>
          </cell>
          <cell r="AV1033">
            <v>-3000000</v>
          </cell>
          <cell r="AZ1033">
            <v>-3000000</v>
          </cell>
        </row>
        <row r="1034">
          <cell r="Q1034">
            <v>0</v>
          </cell>
          <cell r="S1034">
            <v>0</v>
          </cell>
          <cell r="U1034">
            <v>0</v>
          </cell>
          <cell r="V1034">
            <v>0</v>
          </cell>
          <cell r="W1034">
            <v>0</v>
          </cell>
          <cell r="Y1034">
            <v>0</v>
          </cell>
          <cell r="AA1034">
            <v>0</v>
          </cell>
          <cell r="AJ1034">
            <v>-625000</v>
          </cell>
          <cell r="AN1034">
            <v>-291666.66666666669</v>
          </cell>
          <cell r="AR1034">
            <v>0</v>
          </cell>
          <cell r="AV1034">
            <v>0</v>
          </cell>
          <cell r="AZ1034">
            <v>0</v>
          </cell>
        </row>
        <row r="1035">
          <cell r="Q1035">
            <v>0</v>
          </cell>
          <cell r="S1035">
            <v>0</v>
          </cell>
          <cell r="U1035">
            <v>0</v>
          </cell>
          <cell r="V1035">
            <v>0</v>
          </cell>
          <cell r="W1035">
            <v>0</v>
          </cell>
          <cell r="Y1035">
            <v>0</v>
          </cell>
          <cell r="AA1035">
            <v>0</v>
          </cell>
          <cell r="AJ1035">
            <v>0</v>
          </cell>
          <cell r="AN1035">
            <v>0</v>
          </cell>
          <cell r="AR1035">
            <v>0</v>
          </cell>
          <cell r="AV1035">
            <v>0</v>
          </cell>
          <cell r="AZ1035">
            <v>0</v>
          </cell>
        </row>
        <row r="1036">
          <cell r="Q1036">
            <v>0</v>
          </cell>
          <cell r="S1036">
            <v>0</v>
          </cell>
          <cell r="U1036">
            <v>0</v>
          </cell>
          <cell r="V1036">
            <v>0</v>
          </cell>
          <cell r="W1036">
            <v>0</v>
          </cell>
          <cell r="Y1036">
            <v>0</v>
          </cell>
          <cell r="AA1036">
            <v>0</v>
          </cell>
          <cell r="AJ1036">
            <v>0</v>
          </cell>
          <cell r="AN1036">
            <v>0</v>
          </cell>
          <cell r="AR1036">
            <v>0</v>
          </cell>
          <cell r="AV1036">
            <v>0</v>
          </cell>
          <cell r="AZ1036">
            <v>0</v>
          </cell>
        </row>
        <row r="1037">
          <cell r="Q1037">
            <v>-10000000</v>
          </cell>
          <cell r="S1037">
            <v>-10000000</v>
          </cell>
          <cell r="U1037">
            <v>-10000000</v>
          </cell>
          <cell r="V1037">
            <v>-10000000</v>
          </cell>
          <cell r="W1037">
            <v>-10000000</v>
          </cell>
          <cell r="Y1037">
            <v>-10000000</v>
          </cell>
          <cell r="AA1037">
            <v>-10000000</v>
          </cell>
          <cell r="AJ1037">
            <v>-10000000</v>
          </cell>
          <cell r="AN1037">
            <v>-10000000</v>
          </cell>
          <cell r="AR1037">
            <v>-10000000</v>
          </cell>
          <cell r="AV1037">
            <v>-10000000</v>
          </cell>
          <cell r="AZ1037">
            <v>-10000000</v>
          </cell>
        </row>
        <row r="1038">
          <cell r="Q1038">
            <v>0</v>
          </cell>
          <cell r="S1038">
            <v>0</v>
          </cell>
          <cell r="U1038">
            <v>0</v>
          </cell>
          <cell r="V1038">
            <v>0</v>
          </cell>
          <cell r="W1038">
            <v>0</v>
          </cell>
          <cell r="Y1038">
            <v>0</v>
          </cell>
          <cell r="AA1038">
            <v>0</v>
          </cell>
          <cell r="AJ1038">
            <v>0</v>
          </cell>
          <cell r="AN1038">
            <v>0</v>
          </cell>
          <cell r="AR1038">
            <v>0</v>
          </cell>
          <cell r="AV1038">
            <v>0</v>
          </cell>
          <cell r="AZ1038">
            <v>0</v>
          </cell>
        </row>
        <row r="1039">
          <cell r="Q1039">
            <v>0</v>
          </cell>
          <cell r="S1039">
            <v>0</v>
          </cell>
          <cell r="U1039">
            <v>0</v>
          </cell>
          <cell r="V1039">
            <v>0</v>
          </cell>
          <cell r="W1039">
            <v>0</v>
          </cell>
          <cell r="Y1039">
            <v>0</v>
          </cell>
          <cell r="AA1039">
            <v>0</v>
          </cell>
          <cell r="AJ1039">
            <v>0</v>
          </cell>
          <cell r="AN1039">
            <v>0</v>
          </cell>
          <cell r="AR1039">
            <v>0</v>
          </cell>
          <cell r="AV1039">
            <v>0</v>
          </cell>
          <cell r="AZ1039">
            <v>0</v>
          </cell>
        </row>
        <row r="1040">
          <cell r="Q1040">
            <v>0</v>
          </cell>
          <cell r="S1040">
            <v>0</v>
          </cell>
          <cell r="U1040">
            <v>0</v>
          </cell>
          <cell r="V1040">
            <v>0</v>
          </cell>
          <cell r="W1040">
            <v>0</v>
          </cell>
          <cell r="Y1040">
            <v>0</v>
          </cell>
          <cell r="AA1040">
            <v>0</v>
          </cell>
          <cell r="AJ1040">
            <v>0</v>
          </cell>
          <cell r="AN1040">
            <v>0</v>
          </cell>
          <cell r="AR1040">
            <v>0</v>
          </cell>
          <cell r="AV1040">
            <v>0</v>
          </cell>
          <cell r="AZ1040">
            <v>0</v>
          </cell>
        </row>
        <row r="1041">
          <cell r="Q1041">
            <v>0</v>
          </cell>
          <cell r="S1041">
            <v>0</v>
          </cell>
          <cell r="U1041">
            <v>0</v>
          </cell>
          <cell r="V1041">
            <v>0</v>
          </cell>
          <cell r="W1041">
            <v>0</v>
          </cell>
          <cell r="Y1041">
            <v>0</v>
          </cell>
          <cell r="AA1041">
            <v>0</v>
          </cell>
          <cell r="AJ1041">
            <v>0</v>
          </cell>
          <cell r="AN1041">
            <v>0</v>
          </cell>
          <cell r="AR1041">
            <v>0</v>
          </cell>
          <cell r="AV1041">
            <v>0</v>
          </cell>
          <cell r="AZ1041">
            <v>0</v>
          </cell>
        </row>
        <row r="1042">
          <cell r="Q1042">
            <v>0</v>
          </cell>
          <cell r="S1042">
            <v>0</v>
          </cell>
          <cell r="U1042">
            <v>0</v>
          </cell>
          <cell r="V1042">
            <v>0</v>
          </cell>
          <cell r="W1042">
            <v>0</v>
          </cell>
          <cell r="Y1042">
            <v>0</v>
          </cell>
          <cell r="AA1042">
            <v>0</v>
          </cell>
          <cell r="AJ1042">
            <v>0</v>
          </cell>
          <cell r="AN1042">
            <v>0</v>
          </cell>
          <cell r="AR1042">
            <v>0</v>
          </cell>
          <cell r="AV1042">
            <v>0</v>
          </cell>
          <cell r="AZ1042">
            <v>0</v>
          </cell>
        </row>
        <row r="1043">
          <cell r="Q1043">
            <v>-7000000</v>
          </cell>
          <cell r="S1043">
            <v>-7000000</v>
          </cell>
          <cell r="U1043">
            <v>-7000000</v>
          </cell>
          <cell r="V1043">
            <v>-7000000</v>
          </cell>
          <cell r="W1043">
            <v>-7000000</v>
          </cell>
          <cell r="Y1043">
            <v>-7000000</v>
          </cell>
          <cell r="AA1043">
            <v>-7000000</v>
          </cell>
          <cell r="AJ1043">
            <v>-7000000</v>
          </cell>
          <cell r="AN1043">
            <v>-7000000</v>
          </cell>
          <cell r="AR1043">
            <v>-7000000</v>
          </cell>
          <cell r="AV1043">
            <v>-7000000</v>
          </cell>
          <cell r="AZ1043">
            <v>-7000000</v>
          </cell>
        </row>
        <row r="1044">
          <cell r="Q1044">
            <v>-10000000</v>
          </cell>
          <cell r="S1044">
            <v>-10000000</v>
          </cell>
          <cell r="U1044">
            <v>-10000000</v>
          </cell>
          <cell r="V1044">
            <v>-10000000</v>
          </cell>
          <cell r="W1044">
            <v>-10000000</v>
          </cell>
          <cell r="Y1044">
            <v>-10000000</v>
          </cell>
          <cell r="AA1044">
            <v>-10000000</v>
          </cell>
          <cell r="AJ1044">
            <v>-10000000</v>
          </cell>
          <cell r="AN1044">
            <v>-10000000</v>
          </cell>
          <cell r="AR1044">
            <v>-10000000</v>
          </cell>
          <cell r="AV1044">
            <v>-10000000</v>
          </cell>
          <cell r="AZ1044">
            <v>-10000000</v>
          </cell>
        </row>
        <row r="1045">
          <cell r="Q1045">
            <v>-2000000</v>
          </cell>
          <cell r="S1045">
            <v>-2000000</v>
          </cell>
          <cell r="U1045">
            <v>-2000000</v>
          </cell>
          <cell r="V1045">
            <v>-2000000</v>
          </cell>
          <cell r="W1045">
            <v>-2000000</v>
          </cell>
          <cell r="Y1045">
            <v>-2000000</v>
          </cell>
          <cell r="AA1045">
            <v>-2000000</v>
          </cell>
          <cell r="AJ1045">
            <v>-2000000</v>
          </cell>
          <cell r="AN1045">
            <v>-2000000</v>
          </cell>
          <cell r="AR1045">
            <v>-2000000</v>
          </cell>
          <cell r="AV1045">
            <v>-2000000</v>
          </cell>
          <cell r="AZ1045">
            <v>-2000000</v>
          </cell>
        </row>
        <row r="1046">
          <cell r="Q1046">
            <v>-3000000</v>
          </cell>
          <cell r="S1046">
            <v>-3000000</v>
          </cell>
          <cell r="U1046">
            <v>-3000000</v>
          </cell>
          <cell r="V1046">
            <v>-3000000</v>
          </cell>
          <cell r="W1046">
            <v>-3000000</v>
          </cell>
          <cell r="Y1046">
            <v>-3000000</v>
          </cell>
          <cell r="AA1046">
            <v>-3000000</v>
          </cell>
          <cell r="AJ1046">
            <v>-3000000</v>
          </cell>
          <cell r="AN1046">
            <v>-3000000</v>
          </cell>
          <cell r="AR1046">
            <v>-3000000</v>
          </cell>
          <cell r="AV1046">
            <v>-2875000</v>
          </cell>
          <cell r="AZ1046">
            <v>-1875000</v>
          </cell>
        </row>
        <row r="1047">
          <cell r="Q1047">
            <v>-5000000</v>
          </cell>
          <cell r="S1047">
            <v>-5000000</v>
          </cell>
          <cell r="U1047">
            <v>-5000000</v>
          </cell>
          <cell r="V1047">
            <v>-5000000</v>
          </cell>
          <cell r="W1047">
            <v>-5000000</v>
          </cell>
          <cell r="Y1047">
            <v>-5000000</v>
          </cell>
          <cell r="AA1047">
            <v>-5000000</v>
          </cell>
          <cell r="AJ1047">
            <v>-5000000</v>
          </cell>
          <cell r="AN1047">
            <v>-5000000</v>
          </cell>
          <cell r="AR1047">
            <v>-5000000</v>
          </cell>
          <cell r="AV1047">
            <v>-4791666.666666667</v>
          </cell>
          <cell r="AZ1047">
            <v>-3125000</v>
          </cell>
        </row>
        <row r="1048">
          <cell r="Q1048">
            <v>-15000000</v>
          </cell>
          <cell r="S1048">
            <v>-15000000</v>
          </cell>
          <cell r="U1048">
            <v>-15000000</v>
          </cell>
          <cell r="V1048">
            <v>-15000000</v>
          </cell>
          <cell r="W1048">
            <v>-15000000</v>
          </cell>
          <cell r="Y1048">
            <v>-15000000</v>
          </cell>
          <cell r="AA1048">
            <v>-15000000</v>
          </cell>
          <cell r="AJ1048">
            <v>-15000000</v>
          </cell>
          <cell r="AN1048">
            <v>-15000000</v>
          </cell>
          <cell r="AR1048">
            <v>-15000000</v>
          </cell>
          <cell r="AV1048">
            <v>-15000000</v>
          </cell>
          <cell r="AZ1048">
            <v>-15000000</v>
          </cell>
        </row>
        <row r="1049">
          <cell r="Q1049">
            <v>0</v>
          </cell>
          <cell r="S1049">
            <v>0</v>
          </cell>
          <cell r="U1049">
            <v>0</v>
          </cell>
          <cell r="V1049">
            <v>0</v>
          </cell>
          <cell r="W1049">
            <v>0</v>
          </cell>
          <cell r="Y1049">
            <v>0</v>
          </cell>
          <cell r="AA1049">
            <v>0</v>
          </cell>
          <cell r="AJ1049">
            <v>0</v>
          </cell>
          <cell r="AN1049">
            <v>0</v>
          </cell>
          <cell r="AR1049">
            <v>0</v>
          </cell>
          <cell r="AV1049">
            <v>0</v>
          </cell>
          <cell r="AZ1049">
            <v>0</v>
          </cell>
        </row>
        <row r="1050">
          <cell r="Q1050">
            <v>-2000000</v>
          </cell>
          <cell r="S1050">
            <v>-2000000</v>
          </cell>
          <cell r="U1050">
            <v>-2000000</v>
          </cell>
          <cell r="V1050">
            <v>-2000000</v>
          </cell>
          <cell r="W1050">
            <v>-2000000</v>
          </cell>
          <cell r="Y1050">
            <v>-2000000</v>
          </cell>
          <cell r="AA1050">
            <v>-2000000</v>
          </cell>
          <cell r="AJ1050">
            <v>-2000000</v>
          </cell>
          <cell r="AN1050">
            <v>-2000000</v>
          </cell>
          <cell r="AR1050">
            <v>-2000000</v>
          </cell>
          <cell r="AV1050">
            <v>-2000000</v>
          </cell>
          <cell r="AZ1050">
            <v>-2000000</v>
          </cell>
        </row>
        <row r="1051">
          <cell r="Q1051">
            <v>0</v>
          </cell>
          <cell r="S1051">
            <v>0</v>
          </cell>
          <cell r="U1051">
            <v>0</v>
          </cell>
          <cell r="V1051">
            <v>0</v>
          </cell>
          <cell r="W1051">
            <v>0</v>
          </cell>
          <cell r="Y1051">
            <v>0</v>
          </cell>
          <cell r="AA1051">
            <v>0</v>
          </cell>
          <cell r="AJ1051">
            <v>0</v>
          </cell>
          <cell r="AN1051">
            <v>0</v>
          </cell>
          <cell r="AR1051">
            <v>0</v>
          </cell>
          <cell r="AV1051">
            <v>0</v>
          </cell>
          <cell r="AZ1051">
            <v>0</v>
          </cell>
        </row>
        <row r="1052">
          <cell r="Q1052">
            <v>0</v>
          </cell>
          <cell r="S1052">
            <v>0</v>
          </cell>
          <cell r="U1052">
            <v>0</v>
          </cell>
          <cell r="V1052">
            <v>0</v>
          </cell>
          <cell r="W1052">
            <v>0</v>
          </cell>
          <cell r="Y1052">
            <v>0</v>
          </cell>
          <cell r="AA1052">
            <v>0</v>
          </cell>
          <cell r="AJ1052">
            <v>0</v>
          </cell>
          <cell r="AN1052">
            <v>0</v>
          </cell>
          <cell r="AR1052">
            <v>0</v>
          </cell>
          <cell r="AV1052">
            <v>0</v>
          </cell>
          <cell r="AZ1052">
            <v>0</v>
          </cell>
        </row>
        <row r="1053">
          <cell r="Q1053">
            <v>0</v>
          </cell>
          <cell r="S1053">
            <v>0</v>
          </cell>
          <cell r="U1053">
            <v>0</v>
          </cell>
          <cell r="V1053">
            <v>0</v>
          </cell>
          <cell r="W1053">
            <v>0</v>
          </cell>
          <cell r="Y1053">
            <v>0</v>
          </cell>
          <cell r="AA1053">
            <v>0</v>
          </cell>
          <cell r="AJ1053">
            <v>0</v>
          </cell>
          <cell r="AN1053">
            <v>0</v>
          </cell>
          <cell r="AR1053">
            <v>0</v>
          </cell>
          <cell r="AV1053">
            <v>0</v>
          </cell>
          <cell r="AZ1053">
            <v>0</v>
          </cell>
        </row>
        <row r="1054">
          <cell r="Q1054">
            <v>0</v>
          </cell>
          <cell r="S1054">
            <v>0</v>
          </cell>
          <cell r="U1054">
            <v>0</v>
          </cell>
          <cell r="V1054">
            <v>0</v>
          </cell>
          <cell r="W1054">
            <v>0</v>
          </cell>
          <cell r="Y1054">
            <v>0</v>
          </cell>
          <cell r="AA1054">
            <v>0</v>
          </cell>
          <cell r="AJ1054">
            <v>0</v>
          </cell>
          <cell r="AN1054">
            <v>0</v>
          </cell>
          <cell r="AR1054">
            <v>0</v>
          </cell>
          <cell r="AV1054">
            <v>0</v>
          </cell>
          <cell r="AZ1054">
            <v>0</v>
          </cell>
        </row>
        <row r="1055">
          <cell r="Q1055">
            <v>0</v>
          </cell>
          <cell r="S1055">
            <v>0</v>
          </cell>
          <cell r="U1055">
            <v>0</v>
          </cell>
          <cell r="V1055">
            <v>0</v>
          </cell>
          <cell r="W1055">
            <v>0</v>
          </cell>
          <cell r="Y1055">
            <v>0</v>
          </cell>
          <cell r="AA1055">
            <v>0</v>
          </cell>
          <cell r="AJ1055">
            <v>0</v>
          </cell>
          <cell r="AN1055">
            <v>0</v>
          </cell>
          <cell r="AR1055">
            <v>0</v>
          </cell>
          <cell r="AV1055">
            <v>0</v>
          </cell>
          <cell r="AZ1055">
            <v>0</v>
          </cell>
        </row>
        <row r="1056">
          <cell r="Q1056">
            <v>0</v>
          </cell>
          <cell r="S1056">
            <v>0</v>
          </cell>
          <cell r="U1056">
            <v>0</v>
          </cell>
          <cell r="V1056">
            <v>0</v>
          </cell>
          <cell r="W1056">
            <v>0</v>
          </cell>
          <cell r="Y1056">
            <v>0</v>
          </cell>
          <cell r="AA1056">
            <v>0</v>
          </cell>
          <cell r="AJ1056">
            <v>0</v>
          </cell>
          <cell r="AN1056">
            <v>0</v>
          </cell>
          <cell r="AR1056">
            <v>0</v>
          </cell>
          <cell r="AV1056">
            <v>0</v>
          </cell>
          <cell r="AZ1056">
            <v>0</v>
          </cell>
        </row>
        <row r="1057">
          <cell r="Q1057">
            <v>0</v>
          </cell>
          <cell r="S1057">
            <v>0</v>
          </cell>
          <cell r="U1057">
            <v>0</v>
          </cell>
          <cell r="V1057">
            <v>0</v>
          </cell>
          <cell r="W1057">
            <v>0</v>
          </cell>
          <cell r="Y1057">
            <v>0</v>
          </cell>
          <cell r="AA1057">
            <v>0</v>
          </cell>
          <cell r="AJ1057">
            <v>0</v>
          </cell>
          <cell r="AN1057">
            <v>0</v>
          </cell>
          <cell r="AR1057">
            <v>0</v>
          </cell>
          <cell r="AV1057">
            <v>0</v>
          </cell>
          <cell r="AZ1057">
            <v>0</v>
          </cell>
        </row>
        <row r="1058">
          <cell r="Q1058">
            <v>-300000000</v>
          </cell>
          <cell r="S1058">
            <v>-300000000</v>
          </cell>
          <cell r="U1058">
            <v>-300000000</v>
          </cell>
          <cell r="V1058">
            <v>-300000000</v>
          </cell>
          <cell r="W1058">
            <v>-300000000</v>
          </cell>
          <cell r="Y1058">
            <v>-300000000</v>
          </cell>
          <cell r="AA1058">
            <v>-300000000</v>
          </cell>
          <cell r="AJ1058">
            <v>-300000000</v>
          </cell>
          <cell r="AN1058">
            <v>-300000000</v>
          </cell>
          <cell r="AR1058">
            <v>-300000000</v>
          </cell>
          <cell r="AV1058">
            <v>-300000000</v>
          </cell>
          <cell r="AZ1058">
            <v>-300000000</v>
          </cell>
        </row>
        <row r="1059">
          <cell r="Q1059">
            <v>-200000000</v>
          </cell>
          <cell r="S1059">
            <v>-200000000</v>
          </cell>
          <cell r="U1059">
            <v>-200000000</v>
          </cell>
          <cell r="V1059">
            <v>-200000000</v>
          </cell>
          <cell r="W1059">
            <v>-200000000</v>
          </cell>
          <cell r="Y1059">
            <v>-200000000</v>
          </cell>
          <cell r="AA1059">
            <v>-200000000</v>
          </cell>
          <cell r="AJ1059">
            <v>-200000000</v>
          </cell>
          <cell r="AN1059">
            <v>-200000000</v>
          </cell>
          <cell r="AR1059">
            <v>-200000000</v>
          </cell>
          <cell r="AV1059">
            <v>-200000000</v>
          </cell>
          <cell r="AZ1059">
            <v>-200000000</v>
          </cell>
        </row>
        <row r="1060">
          <cell r="Q1060">
            <v>-150000000</v>
          </cell>
          <cell r="S1060">
            <v>-150000000</v>
          </cell>
          <cell r="U1060">
            <v>0</v>
          </cell>
          <cell r="V1060">
            <v>0</v>
          </cell>
          <cell r="W1060">
            <v>0</v>
          </cell>
          <cell r="Y1060">
            <v>0</v>
          </cell>
          <cell r="AA1060">
            <v>0</v>
          </cell>
          <cell r="AJ1060">
            <v>-150000000</v>
          </cell>
          <cell r="AN1060">
            <v>-131250000</v>
          </cell>
          <cell r="AR1060">
            <v>-81250000</v>
          </cell>
          <cell r="AV1060">
            <v>-31250000</v>
          </cell>
          <cell r="AZ1060">
            <v>0</v>
          </cell>
        </row>
        <row r="1061">
          <cell r="Q1061">
            <v>-100000000</v>
          </cell>
          <cell r="S1061">
            <v>-100000000</v>
          </cell>
          <cell r="U1061">
            <v>-100000000</v>
          </cell>
          <cell r="V1061">
            <v>-100000000</v>
          </cell>
          <cell r="W1061">
            <v>-100000000</v>
          </cell>
          <cell r="Y1061">
            <v>-100000000</v>
          </cell>
          <cell r="AA1061">
            <v>-100000000</v>
          </cell>
          <cell r="AJ1061">
            <v>-100000000</v>
          </cell>
          <cell r="AN1061">
            <v>-100000000</v>
          </cell>
          <cell r="AR1061">
            <v>-100000000</v>
          </cell>
          <cell r="AV1061">
            <v>-100000000</v>
          </cell>
          <cell r="AZ1061">
            <v>-100000000</v>
          </cell>
        </row>
        <row r="1062">
          <cell r="Q1062">
            <v>-225000000</v>
          </cell>
          <cell r="S1062">
            <v>-225000000</v>
          </cell>
          <cell r="U1062">
            <v>-225000000</v>
          </cell>
          <cell r="V1062">
            <v>-225000000</v>
          </cell>
          <cell r="W1062">
            <v>-225000000</v>
          </cell>
          <cell r="Y1062">
            <v>-225000000</v>
          </cell>
          <cell r="AA1062">
            <v>-225000000</v>
          </cell>
          <cell r="AJ1062">
            <v>-225000000</v>
          </cell>
          <cell r="AN1062">
            <v>-225000000</v>
          </cell>
          <cell r="AR1062">
            <v>-225000000</v>
          </cell>
          <cell r="AV1062">
            <v>-225000000</v>
          </cell>
          <cell r="AZ1062">
            <v>-178125000</v>
          </cell>
        </row>
        <row r="1063">
          <cell r="Q1063">
            <v>0</v>
          </cell>
          <cell r="S1063">
            <v>0</v>
          </cell>
          <cell r="U1063">
            <v>0</v>
          </cell>
          <cell r="V1063">
            <v>0</v>
          </cell>
          <cell r="W1063">
            <v>0</v>
          </cell>
          <cell r="Y1063">
            <v>0</v>
          </cell>
          <cell r="AA1063">
            <v>0</v>
          </cell>
          <cell r="AJ1063">
            <v>-17708333.333333332</v>
          </cell>
          <cell r="AN1063">
            <v>-9375000</v>
          </cell>
          <cell r="AR1063">
            <v>-1041666.6666666666</v>
          </cell>
          <cell r="AV1063">
            <v>0</v>
          </cell>
          <cell r="AZ1063">
            <v>0</v>
          </cell>
        </row>
        <row r="1064">
          <cell r="Q1064">
            <v>-260000000</v>
          </cell>
          <cell r="S1064">
            <v>-260000000</v>
          </cell>
          <cell r="U1064">
            <v>-260000000</v>
          </cell>
          <cell r="V1064">
            <v>-260000000</v>
          </cell>
          <cell r="W1064">
            <v>-260000000</v>
          </cell>
          <cell r="Y1064">
            <v>-260000000</v>
          </cell>
          <cell r="AA1064">
            <v>-260000000</v>
          </cell>
          <cell r="AJ1064">
            <v>-260000000</v>
          </cell>
          <cell r="AN1064">
            <v>-260000000</v>
          </cell>
          <cell r="AR1064">
            <v>-260000000</v>
          </cell>
          <cell r="AV1064">
            <v>-260000000</v>
          </cell>
          <cell r="AZ1064">
            <v>-260000000</v>
          </cell>
        </row>
        <row r="1065">
          <cell r="Q1065">
            <v>-138460000</v>
          </cell>
          <cell r="S1065">
            <v>-138460000</v>
          </cell>
          <cell r="U1065">
            <v>-138460000</v>
          </cell>
          <cell r="V1065">
            <v>-138460000</v>
          </cell>
          <cell r="W1065">
            <v>-138460000</v>
          </cell>
          <cell r="Y1065">
            <v>-138460000</v>
          </cell>
          <cell r="AA1065">
            <v>-138460000</v>
          </cell>
          <cell r="AJ1065">
            <v>-138460000</v>
          </cell>
          <cell r="AN1065">
            <v>-138460000</v>
          </cell>
          <cell r="AR1065">
            <v>-138460000</v>
          </cell>
          <cell r="AV1065">
            <v>-138460000</v>
          </cell>
          <cell r="AZ1065">
            <v>-138460000</v>
          </cell>
        </row>
        <row r="1066">
          <cell r="Q1066">
            <v>-23400000</v>
          </cell>
          <cell r="S1066">
            <v>-23400000</v>
          </cell>
          <cell r="U1066">
            <v>-23400000</v>
          </cell>
          <cell r="V1066">
            <v>-23400000</v>
          </cell>
          <cell r="W1066">
            <v>-23400000</v>
          </cell>
          <cell r="Y1066">
            <v>-23400000</v>
          </cell>
          <cell r="AA1066">
            <v>-23400000</v>
          </cell>
          <cell r="AJ1066">
            <v>-23400000</v>
          </cell>
          <cell r="AN1066">
            <v>-23400000</v>
          </cell>
          <cell r="AR1066">
            <v>-23400000</v>
          </cell>
          <cell r="AV1066">
            <v>-23400000</v>
          </cell>
          <cell r="AZ1066">
            <v>-23400000</v>
          </cell>
        </row>
        <row r="1067">
          <cell r="Q1067">
            <v>0</v>
          </cell>
          <cell r="S1067">
            <v>0</v>
          </cell>
          <cell r="U1067">
            <v>0</v>
          </cell>
          <cell r="V1067">
            <v>0</v>
          </cell>
          <cell r="W1067">
            <v>0</v>
          </cell>
          <cell r="Y1067">
            <v>0</v>
          </cell>
          <cell r="AA1067">
            <v>0</v>
          </cell>
          <cell r="AJ1067">
            <v>-68750000</v>
          </cell>
          <cell r="AN1067">
            <v>-18750000</v>
          </cell>
          <cell r="AR1067">
            <v>0</v>
          </cell>
          <cell r="AV1067">
            <v>0</v>
          </cell>
          <cell r="AZ1067">
            <v>0</v>
          </cell>
        </row>
        <row r="1068">
          <cell r="Q1068">
            <v>-250000000</v>
          </cell>
          <cell r="S1068">
            <v>-250000000</v>
          </cell>
          <cell r="U1068">
            <v>-250000000</v>
          </cell>
          <cell r="V1068">
            <v>-250000000</v>
          </cell>
          <cell r="W1068">
            <v>-250000000</v>
          </cell>
          <cell r="Y1068">
            <v>-250000000</v>
          </cell>
          <cell r="AA1068">
            <v>-250000000</v>
          </cell>
          <cell r="AJ1068">
            <v>-250000000</v>
          </cell>
          <cell r="AN1068">
            <v>-250000000</v>
          </cell>
          <cell r="AR1068">
            <v>-250000000</v>
          </cell>
          <cell r="AV1068">
            <v>-250000000</v>
          </cell>
          <cell r="AZ1068">
            <v>-250000000</v>
          </cell>
        </row>
        <row r="1069">
          <cell r="Q1069">
            <v>0</v>
          </cell>
          <cell r="S1069">
            <v>0</v>
          </cell>
          <cell r="U1069">
            <v>0</v>
          </cell>
          <cell r="V1069">
            <v>0</v>
          </cell>
          <cell r="W1069">
            <v>0</v>
          </cell>
          <cell r="Y1069">
            <v>0</v>
          </cell>
          <cell r="AA1069">
            <v>0</v>
          </cell>
          <cell r="AJ1069">
            <v>0</v>
          </cell>
          <cell r="AN1069">
            <v>0</v>
          </cell>
          <cell r="AR1069">
            <v>0</v>
          </cell>
          <cell r="AV1069">
            <v>0</v>
          </cell>
          <cell r="AZ1069">
            <v>0</v>
          </cell>
        </row>
        <row r="1070">
          <cell r="Q1070">
            <v>0</v>
          </cell>
          <cell r="S1070">
            <v>-250000000</v>
          </cell>
          <cell r="U1070">
            <v>-250000000</v>
          </cell>
          <cell r="V1070">
            <v>-250000000</v>
          </cell>
          <cell r="W1070">
            <v>-250000000</v>
          </cell>
          <cell r="Y1070">
            <v>-250000000</v>
          </cell>
          <cell r="AA1070">
            <v>-250000000</v>
          </cell>
          <cell r="AJ1070">
            <v>0</v>
          </cell>
          <cell r="AN1070">
            <v>-72916666.666666672</v>
          </cell>
          <cell r="AR1070">
            <v>-156250000</v>
          </cell>
          <cell r="AV1070">
            <v>-239583333.33333334</v>
          </cell>
          <cell r="AZ1070">
            <v>-250000000</v>
          </cell>
        </row>
        <row r="1071">
          <cell r="Q1071">
            <v>-150000000</v>
          </cell>
          <cell r="S1071">
            <v>-150000000</v>
          </cell>
          <cell r="U1071">
            <v>-150000000</v>
          </cell>
          <cell r="V1071">
            <v>-150000000</v>
          </cell>
          <cell r="W1071">
            <v>-150000000</v>
          </cell>
          <cell r="Y1071">
            <v>-150000000</v>
          </cell>
          <cell r="AA1071">
            <v>-150000000</v>
          </cell>
          <cell r="AJ1071">
            <v>-150000000</v>
          </cell>
          <cell r="AN1071">
            <v>-150000000</v>
          </cell>
          <cell r="AR1071">
            <v>-150000000</v>
          </cell>
          <cell r="AV1071">
            <v>-150000000</v>
          </cell>
          <cell r="AZ1071">
            <v>-150000000</v>
          </cell>
        </row>
        <row r="1072">
          <cell r="Q1072">
            <v>-250000000</v>
          </cell>
          <cell r="S1072">
            <v>-250000000</v>
          </cell>
          <cell r="U1072">
            <v>-250000000</v>
          </cell>
          <cell r="V1072">
            <v>-250000000</v>
          </cell>
          <cell r="W1072">
            <v>-250000000</v>
          </cell>
          <cell r="Y1072">
            <v>-250000000</v>
          </cell>
          <cell r="AA1072">
            <v>-250000000</v>
          </cell>
          <cell r="AJ1072">
            <v>-250000000</v>
          </cell>
          <cell r="AN1072">
            <v>-250000000</v>
          </cell>
          <cell r="AR1072">
            <v>-250000000</v>
          </cell>
          <cell r="AV1072">
            <v>-250000000</v>
          </cell>
          <cell r="AZ1072">
            <v>-250000000</v>
          </cell>
        </row>
        <row r="1073">
          <cell r="Q1073">
            <v>-300000000</v>
          </cell>
          <cell r="S1073">
            <v>-300000000</v>
          </cell>
          <cell r="U1073">
            <v>-300000000</v>
          </cell>
          <cell r="V1073">
            <v>-300000000</v>
          </cell>
          <cell r="W1073">
            <v>-300000000</v>
          </cell>
          <cell r="Y1073">
            <v>-300000000</v>
          </cell>
          <cell r="AA1073">
            <v>-300000000</v>
          </cell>
          <cell r="AJ1073">
            <v>-300000000</v>
          </cell>
          <cell r="AN1073">
            <v>-300000000</v>
          </cell>
          <cell r="AR1073">
            <v>-300000000</v>
          </cell>
          <cell r="AV1073">
            <v>-300000000</v>
          </cell>
          <cell r="AZ1073">
            <v>-300000000</v>
          </cell>
        </row>
        <row r="1074">
          <cell r="Q1074">
            <v>0</v>
          </cell>
          <cell r="S1074">
            <v>0</v>
          </cell>
          <cell r="U1074">
            <v>0</v>
          </cell>
          <cell r="V1074">
            <v>0</v>
          </cell>
          <cell r="W1074">
            <v>0</v>
          </cell>
          <cell r="Y1074">
            <v>0</v>
          </cell>
          <cell r="AA1074">
            <v>0</v>
          </cell>
          <cell r="AJ1074">
            <v>0</v>
          </cell>
          <cell r="AN1074">
            <v>0</v>
          </cell>
          <cell r="AR1074">
            <v>0</v>
          </cell>
          <cell r="AV1074">
            <v>0</v>
          </cell>
          <cell r="AZ1074">
            <v>0</v>
          </cell>
        </row>
        <row r="1075">
          <cell r="Q1075">
            <v>-250000000</v>
          </cell>
          <cell r="S1075">
            <v>-250000000</v>
          </cell>
          <cell r="U1075">
            <v>-250000000</v>
          </cell>
          <cell r="V1075">
            <v>-250000000</v>
          </cell>
          <cell r="W1075">
            <v>-250000000</v>
          </cell>
          <cell r="Y1075">
            <v>-250000000</v>
          </cell>
          <cell r="AA1075">
            <v>-250000000</v>
          </cell>
          <cell r="AJ1075">
            <v>-250000000</v>
          </cell>
          <cell r="AN1075">
            <v>-250000000</v>
          </cell>
          <cell r="AR1075">
            <v>-250000000</v>
          </cell>
          <cell r="AV1075">
            <v>-250000000</v>
          </cell>
          <cell r="AZ1075">
            <v>-250000000</v>
          </cell>
        </row>
        <row r="1076">
          <cell r="Y1076">
            <v>0</v>
          </cell>
          <cell r="AA1076">
            <v>-350000000</v>
          </cell>
          <cell r="AR1076">
            <v>0</v>
          </cell>
          <cell r="AV1076">
            <v>-102083333.33333333</v>
          </cell>
          <cell r="AZ1076">
            <v>-218750000</v>
          </cell>
        </row>
        <row r="1077">
          <cell r="AV1077">
            <v>0</v>
          </cell>
          <cell r="AZ1077">
            <v>0</v>
          </cell>
        </row>
        <row r="1078">
          <cell r="AV1078">
            <v>0</v>
          </cell>
          <cell r="AZ1078">
            <v>-40625000</v>
          </cell>
        </row>
        <row r="1079">
          <cell r="Q1079">
            <v>0</v>
          </cell>
          <cell r="S1079">
            <v>0</v>
          </cell>
          <cell r="U1079">
            <v>0</v>
          </cell>
          <cell r="V1079">
            <v>0</v>
          </cell>
          <cell r="W1079">
            <v>0</v>
          </cell>
          <cell r="Y1079">
            <v>0</v>
          </cell>
          <cell r="AA1079">
            <v>0</v>
          </cell>
          <cell r="AJ1079">
            <v>0</v>
          </cell>
          <cell r="AN1079">
            <v>0</v>
          </cell>
          <cell r="AR1079">
            <v>0</v>
          </cell>
          <cell r="AV1079">
            <v>0</v>
          </cell>
          <cell r="AZ1079">
            <v>0</v>
          </cell>
        </row>
        <row r="1080">
          <cell r="Q1080">
            <v>0</v>
          </cell>
          <cell r="S1080">
            <v>0</v>
          </cell>
          <cell r="U1080">
            <v>0</v>
          </cell>
          <cell r="V1080">
            <v>0</v>
          </cell>
          <cell r="W1080">
            <v>0</v>
          </cell>
          <cell r="Y1080">
            <v>0</v>
          </cell>
          <cell r="AA1080">
            <v>0</v>
          </cell>
          <cell r="AJ1080">
            <v>0</v>
          </cell>
          <cell r="AN1080">
            <v>0</v>
          </cell>
          <cell r="AR1080">
            <v>0</v>
          </cell>
          <cell r="AV1080">
            <v>0</v>
          </cell>
          <cell r="AZ1080">
            <v>0</v>
          </cell>
        </row>
        <row r="1081">
          <cell r="Q1081">
            <v>-431100</v>
          </cell>
          <cell r="S1081">
            <v>0</v>
          </cell>
          <cell r="U1081">
            <v>0</v>
          </cell>
          <cell r="V1081">
            <v>0</v>
          </cell>
          <cell r="W1081">
            <v>0</v>
          </cell>
          <cell r="Y1081">
            <v>0</v>
          </cell>
          <cell r="AA1081">
            <v>0</v>
          </cell>
          <cell r="AJ1081">
            <v>-431100</v>
          </cell>
          <cell r="AN1081">
            <v>-341287.5</v>
          </cell>
          <cell r="AR1081">
            <v>-197587.5</v>
          </cell>
          <cell r="AV1081">
            <v>-53887.5</v>
          </cell>
          <cell r="AZ1081">
            <v>0</v>
          </cell>
        </row>
        <row r="1082">
          <cell r="Q1082">
            <v>-1458300</v>
          </cell>
          <cell r="S1082">
            <v>0</v>
          </cell>
          <cell r="U1082">
            <v>0</v>
          </cell>
          <cell r="V1082">
            <v>0</v>
          </cell>
          <cell r="W1082">
            <v>0</v>
          </cell>
          <cell r="Y1082">
            <v>0</v>
          </cell>
          <cell r="AA1082">
            <v>0</v>
          </cell>
          <cell r="AJ1082">
            <v>-1458300</v>
          </cell>
          <cell r="AN1082">
            <v>-1154487.5</v>
          </cell>
          <cell r="AR1082">
            <v>-668387.5</v>
          </cell>
          <cell r="AV1082">
            <v>-182287.5</v>
          </cell>
          <cell r="AZ1082">
            <v>0</v>
          </cell>
        </row>
        <row r="1083">
          <cell r="Q1083">
            <v>0</v>
          </cell>
          <cell r="S1083">
            <v>0</v>
          </cell>
          <cell r="U1083">
            <v>0</v>
          </cell>
          <cell r="V1083">
            <v>0</v>
          </cell>
          <cell r="W1083">
            <v>0</v>
          </cell>
          <cell r="Y1083">
            <v>0</v>
          </cell>
          <cell r="AA1083">
            <v>0</v>
          </cell>
          <cell r="AJ1083">
            <v>0</v>
          </cell>
          <cell r="AN1083">
            <v>0</v>
          </cell>
          <cell r="AR1083">
            <v>0</v>
          </cell>
          <cell r="AV1083">
            <v>0</v>
          </cell>
          <cell r="AZ1083">
            <v>0</v>
          </cell>
        </row>
        <row r="1084">
          <cell r="V1084">
            <v>7505790.9299999997</v>
          </cell>
          <cell r="W1084">
            <v>0</v>
          </cell>
          <cell r="Y1084">
            <v>0</v>
          </cell>
          <cell r="AA1084">
            <v>0</v>
          </cell>
          <cell r="AJ1084">
            <v>0</v>
          </cell>
          <cell r="AN1084">
            <v>0</v>
          </cell>
          <cell r="AR1084">
            <v>625482.57750000001</v>
          </cell>
          <cell r="AV1084">
            <v>625482.57750000001</v>
          </cell>
          <cell r="AZ1084">
            <v>625482.57750000001</v>
          </cell>
        </row>
        <row r="1085">
          <cell r="V1085">
            <v>7505790.9299999997</v>
          </cell>
          <cell r="W1085">
            <v>0</v>
          </cell>
          <cell r="Y1085">
            <v>0</v>
          </cell>
          <cell r="AA1085">
            <v>0</v>
          </cell>
          <cell r="AJ1085">
            <v>0</v>
          </cell>
          <cell r="AN1085">
            <v>0</v>
          </cell>
          <cell r="AR1085">
            <v>625482.57750000001</v>
          </cell>
          <cell r="AV1085">
            <v>625482.57750000001</v>
          </cell>
          <cell r="AZ1085">
            <v>625482.57750000001</v>
          </cell>
        </row>
        <row r="1086">
          <cell r="V1086">
            <v>6567824.7999999998</v>
          </cell>
          <cell r="W1086">
            <v>0</v>
          </cell>
          <cell r="Y1086">
            <v>0</v>
          </cell>
          <cell r="AA1086">
            <v>0</v>
          </cell>
          <cell r="AJ1086">
            <v>0</v>
          </cell>
          <cell r="AN1086">
            <v>0</v>
          </cell>
          <cell r="AR1086">
            <v>547318.73333333328</v>
          </cell>
          <cell r="AV1086">
            <v>547318.73333333328</v>
          </cell>
          <cell r="AZ1086">
            <v>547318.73333333328</v>
          </cell>
        </row>
        <row r="1087">
          <cell r="Q1087">
            <v>0</v>
          </cell>
          <cell r="S1087">
            <v>0</v>
          </cell>
          <cell r="U1087">
            <v>0</v>
          </cell>
          <cell r="V1087">
            <v>0</v>
          </cell>
          <cell r="W1087">
            <v>0</v>
          </cell>
          <cell r="Y1087">
            <v>0</v>
          </cell>
          <cell r="AA1087">
            <v>0</v>
          </cell>
          <cell r="AJ1087">
            <v>-2842399.7137499996</v>
          </cell>
          <cell r="AN1087">
            <v>0</v>
          </cell>
          <cell r="AR1087">
            <v>0</v>
          </cell>
          <cell r="AV1087">
            <v>0</v>
          </cell>
          <cell r="AZ1087">
            <v>0</v>
          </cell>
        </row>
        <row r="1088">
          <cell r="Q1088">
            <v>0</v>
          </cell>
          <cell r="S1088">
            <v>0</v>
          </cell>
          <cell r="U1088">
            <v>0</v>
          </cell>
          <cell r="V1088">
            <v>0</v>
          </cell>
          <cell r="W1088">
            <v>0</v>
          </cell>
          <cell r="Y1088">
            <v>0</v>
          </cell>
          <cell r="AA1088">
            <v>0</v>
          </cell>
          <cell r="AJ1088">
            <v>0</v>
          </cell>
          <cell r="AN1088">
            <v>0</v>
          </cell>
          <cell r="AR1088">
            <v>0</v>
          </cell>
          <cell r="AV1088">
            <v>0</v>
          </cell>
          <cell r="AZ1088">
            <v>0</v>
          </cell>
        </row>
        <row r="1089">
          <cell r="Q1089">
            <v>-2550000</v>
          </cell>
          <cell r="S1089">
            <v>-2550000</v>
          </cell>
          <cell r="U1089">
            <v>-350000</v>
          </cell>
          <cell r="V1089">
            <v>-350000</v>
          </cell>
          <cell r="W1089">
            <v>-250000</v>
          </cell>
          <cell r="Y1089">
            <v>-250000</v>
          </cell>
          <cell r="AA1089">
            <v>-550000</v>
          </cell>
          <cell r="AJ1089">
            <v>-1365023.9550000001</v>
          </cell>
          <cell r="AN1089">
            <v>-1946273.9550000001</v>
          </cell>
          <cell r="AR1089">
            <v>-1828166.1633333333</v>
          </cell>
          <cell r="AV1089">
            <v>-1002083.3333333334</v>
          </cell>
          <cell r="AZ1089">
            <v>-325208.33333333331</v>
          </cell>
        </row>
        <row r="1090">
          <cell r="Q1090">
            <v>-100000</v>
          </cell>
          <cell r="S1090">
            <v>-100000</v>
          </cell>
          <cell r="U1090">
            <v>0</v>
          </cell>
          <cell r="V1090">
            <v>0</v>
          </cell>
          <cell r="W1090">
            <v>0</v>
          </cell>
          <cell r="Y1090">
            <v>0</v>
          </cell>
          <cell r="AA1090">
            <v>0</v>
          </cell>
          <cell r="AJ1090">
            <v>-54166.666666666664</v>
          </cell>
          <cell r="AN1090">
            <v>-68750</v>
          </cell>
          <cell r="AR1090">
            <v>-52083.333333333336</v>
          </cell>
          <cell r="AV1090">
            <v>-20833.333333333332</v>
          </cell>
          <cell r="AZ1090">
            <v>0</v>
          </cell>
        </row>
        <row r="1091">
          <cell r="Q1091">
            <v>-40314599.890000001</v>
          </cell>
          <cell r="S1091">
            <v>-40647222.780000001</v>
          </cell>
          <cell r="U1091">
            <v>-39040693.829999998</v>
          </cell>
          <cell r="V1091">
            <v>-38446577.479999997</v>
          </cell>
          <cell r="W1091">
            <v>-38577760.399999999</v>
          </cell>
          <cell r="Y1091">
            <v>-38880957.369999997</v>
          </cell>
          <cell r="AA1091">
            <v>-39197824.049999997</v>
          </cell>
          <cell r="AJ1091">
            <v>-39254205.325416662</v>
          </cell>
          <cell r="AN1091">
            <v>-39736675.731666669</v>
          </cell>
          <cell r="AR1091">
            <v>-39546665.047499999</v>
          </cell>
          <cell r="AV1091">
            <v>-39350978.03458333</v>
          </cell>
          <cell r="AZ1091">
            <v>-39453654.138750009</v>
          </cell>
        </row>
        <row r="1092">
          <cell r="Q1092">
            <v>-8687704.8300000001</v>
          </cell>
          <cell r="S1092">
            <v>-8784217.8200000003</v>
          </cell>
          <cell r="U1092">
            <v>-9053436.9199999999</v>
          </cell>
          <cell r="V1092">
            <v>-8848928.9399999995</v>
          </cell>
          <cell r="W1092">
            <v>-6833994.6900000004</v>
          </cell>
          <cell r="Y1092">
            <v>-6911655.1900000004</v>
          </cell>
          <cell r="AA1092">
            <v>-6989315.6900000004</v>
          </cell>
          <cell r="AJ1092">
            <v>-3547612.0108333337</v>
          </cell>
          <cell r="AN1092">
            <v>-5508333.3650000012</v>
          </cell>
          <cell r="AR1092">
            <v>-6979040.4362500003</v>
          </cell>
          <cell r="AV1092">
            <v>-7788691.213333332</v>
          </cell>
          <cell r="AZ1092">
            <v>-6865479.0591666671</v>
          </cell>
        </row>
        <row r="1093">
          <cell r="Q1093">
            <v>-67684624.689999998</v>
          </cell>
          <cell r="S1093">
            <v>-67299716.159999996</v>
          </cell>
          <cell r="U1093">
            <v>-61155962.270000003</v>
          </cell>
          <cell r="V1093">
            <v>-61024425.939999998</v>
          </cell>
          <cell r="W1093">
            <v>-66484545.609999999</v>
          </cell>
          <cell r="Y1093">
            <v>-58221472.950000003</v>
          </cell>
          <cell r="AA1093">
            <v>-53558400.289999999</v>
          </cell>
          <cell r="AJ1093">
            <v>-2820192.6954166666</v>
          </cell>
          <cell r="AN1093">
            <v>-25013479.525416661</v>
          </cell>
          <cell r="AR1093">
            <v>-45809371.062083334</v>
          </cell>
          <cell r="AV1093">
            <v>-59633579.921666659</v>
          </cell>
          <cell r="AZ1093">
            <v>-42490977.182916664</v>
          </cell>
        </row>
        <row r="1094">
          <cell r="Q1094">
            <v>-41030154.07</v>
          </cell>
          <cell r="S1094">
            <v>-41030154.07</v>
          </cell>
          <cell r="U1094">
            <v>-42509058.359999999</v>
          </cell>
          <cell r="V1094">
            <v>-42509058.359999999</v>
          </cell>
          <cell r="W1094">
            <v>-43722314.780000001</v>
          </cell>
          <cell r="Y1094">
            <v>-43722314.780000001</v>
          </cell>
          <cell r="AA1094">
            <v>-43225601.560000002</v>
          </cell>
          <cell r="AJ1094">
            <v>-36215233.645833336</v>
          </cell>
          <cell r="AN1094">
            <v>-40171350.189166665</v>
          </cell>
          <cell r="AR1094">
            <v>-42129066.591250002</v>
          </cell>
          <cell r="AV1094">
            <v>-42643568.998750001</v>
          </cell>
          <cell r="AZ1094">
            <v>-42582900.901249997</v>
          </cell>
        </row>
        <row r="1095">
          <cell r="Q1095">
            <v>0</v>
          </cell>
          <cell r="S1095">
            <v>0</v>
          </cell>
          <cell r="U1095">
            <v>0</v>
          </cell>
          <cell r="V1095">
            <v>0</v>
          </cell>
          <cell r="W1095">
            <v>0</v>
          </cell>
          <cell r="Y1095">
            <v>0</v>
          </cell>
          <cell r="AA1095">
            <v>0</v>
          </cell>
          <cell r="AJ1095">
            <v>0</v>
          </cell>
          <cell r="AN1095">
            <v>0</v>
          </cell>
          <cell r="AR1095">
            <v>0</v>
          </cell>
          <cell r="AV1095">
            <v>0</v>
          </cell>
          <cell r="AZ1095">
            <v>112.92208333333333</v>
          </cell>
        </row>
        <row r="1096">
          <cell r="Q1096">
            <v>-250000</v>
          </cell>
          <cell r="S1096">
            <v>-250000</v>
          </cell>
          <cell r="U1096">
            <v>-250000</v>
          </cell>
          <cell r="V1096">
            <v>-250000</v>
          </cell>
          <cell r="W1096">
            <v>-250000</v>
          </cell>
          <cell r="Y1096">
            <v>-250000</v>
          </cell>
          <cell r="AA1096">
            <v>-250000</v>
          </cell>
          <cell r="AJ1096">
            <v>-679474.97541666671</v>
          </cell>
          <cell r="AN1096">
            <v>-475534.34250000003</v>
          </cell>
          <cell r="AR1096">
            <v>-274943.47208333336</v>
          </cell>
          <cell r="AV1096">
            <v>-250000</v>
          </cell>
          <cell r="AZ1096">
            <v>-250000</v>
          </cell>
        </row>
        <row r="1097">
          <cell r="Q1097">
            <v>-129471.05</v>
          </cell>
          <cell r="S1097">
            <v>-129471.05</v>
          </cell>
          <cell r="U1097">
            <v>-129471.05</v>
          </cell>
          <cell r="V1097">
            <v>-129471.05</v>
          </cell>
          <cell r="W1097">
            <v>-129471.05</v>
          </cell>
          <cell r="Y1097">
            <v>-129471.05</v>
          </cell>
          <cell r="AA1097">
            <v>-129471.05</v>
          </cell>
          <cell r="AJ1097">
            <v>-129471.05000000003</v>
          </cell>
          <cell r="AN1097">
            <v>-129471.05000000003</v>
          </cell>
          <cell r="AR1097">
            <v>-129471.05000000003</v>
          </cell>
          <cell r="AV1097">
            <v>-129471.05000000003</v>
          </cell>
          <cell r="AZ1097">
            <v>-129471.05000000003</v>
          </cell>
        </row>
        <row r="1098">
          <cell r="Q1098">
            <v>0</v>
          </cell>
          <cell r="S1098">
            <v>0</v>
          </cell>
          <cell r="U1098">
            <v>0</v>
          </cell>
          <cell r="V1098">
            <v>0</v>
          </cell>
          <cell r="W1098">
            <v>0</v>
          </cell>
          <cell r="Y1098">
            <v>0</v>
          </cell>
          <cell r="AA1098">
            <v>0</v>
          </cell>
          <cell r="AJ1098">
            <v>0</v>
          </cell>
          <cell r="AN1098">
            <v>0</v>
          </cell>
          <cell r="AR1098">
            <v>0</v>
          </cell>
          <cell r="AV1098">
            <v>0</v>
          </cell>
          <cell r="AZ1098">
            <v>0</v>
          </cell>
        </row>
        <row r="1099">
          <cell r="Q1099">
            <v>-15000</v>
          </cell>
          <cell r="S1099">
            <v>-15000</v>
          </cell>
          <cell r="U1099">
            <v>-15000</v>
          </cell>
          <cell r="V1099">
            <v>-15000</v>
          </cell>
          <cell r="W1099">
            <v>-15000</v>
          </cell>
          <cell r="Y1099">
            <v>-15000</v>
          </cell>
          <cell r="AA1099">
            <v>-15000</v>
          </cell>
          <cell r="AJ1099">
            <v>-15000</v>
          </cell>
          <cell r="AN1099">
            <v>-15000</v>
          </cell>
          <cell r="AR1099">
            <v>-15000</v>
          </cell>
          <cell r="AV1099">
            <v>-15000</v>
          </cell>
          <cell r="AZ1099">
            <v>-15000</v>
          </cell>
        </row>
        <row r="1100">
          <cell r="Q1100">
            <v>-52471.63</v>
          </cell>
          <cell r="S1100">
            <v>-52471.63</v>
          </cell>
          <cell r="U1100">
            <v>-52471.63</v>
          </cell>
          <cell r="V1100">
            <v>-52471.63</v>
          </cell>
          <cell r="W1100">
            <v>-46622.18</v>
          </cell>
          <cell r="Y1100">
            <v>-46622.18</v>
          </cell>
          <cell r="AA1100">
            <v>-52454.07</v>
          </cell>
          <cell r="AJ1100">
            <v>-52471.63</v>
          </cell>
          <cell r="AN1100">
            <v>-52471.63</v>
          </cell>
          <cell r="AR1100">
            <v>-51252.99458333334</v>
          </cell>
          <cell r="AV1100">
            <v>-52745.91166666666</v>
          </cell>
          <cell r="AZ1100">
            <v>-65823.184999999998</v>
          </cell>
        </row>
        <row r="1101">
          <cell r="Q1101">
            <v>0</v>
          </cell>
          <cell r="S1101">
            <v>0</v>
          </cell>
          <cell r="U1101">
            <v>0</v>
          </cell>
          <cell r="V1101">
            <v>0</v>
          </cell>
          <cell r="W1101">
            <v>0</v>
          </cell>
          <cell r="Y1101">
            <v>0</v>
          </cell>
          <cell r="AA1101">
            <v>0</v>
          </cell>
          <cell r="AJ1101">
            <v>0</v>
          </cell>
          <cell r="AN1101">
            <v>0</v>
          </cell>
          <cell r="AR1101">
            <v>0</v>
          </cell>
          <cell r="AV1101">
            <v>0</v>
          </cell>
          <cell r="AZ1101">
            <v>0</v>
          </cell>
        </row>
        <row r="1102">
          <cell r="Q1102">
            <v>-453028.42</v>
          </cell>
          <cell r="S1102">
            <v>-453028.42</v>
          </cell>
          <cell r="U1102">
            <v>-453028.42</v>
          </cell>
          <cell r="V1102">
            <v>-453028.42</v>
          </cell>
          <cell r="W1102">
            <v>-453028.42</v>
          </cell>
          <cell r="Y1102">
            <v>-453028.42</v>
          </cell>
          <cell r="AA1102">
            <v>-453028.42</v>
          </cell>
          <cell r="AJ1102">
            <v>-453028.42</v>
          </cell>
          <cell r="AN1102">
            <v>-453028.42</v>
          </cell>
          <cell r="AR1102">
            <v>-453028.42</v>
          </cell>
          <cell r="AV1102">
            <v>-453028.42</v>
          </cell>
          <cell r="AZ1102">
            <v>-453028.42</v>
          </cell>
        </row>
        <row r="1103">
          <cell r="Q1103">
            <v>0</v>
          </cell>
          <cell r="S1103">
            <v>0</v>
          </cell>
          <cell r="U1103">
            <v>0</v>
          </cell>
          <cell r="V1103">
            <v>0</v>
          </cell>
          <cell r="W1103">
            <v>0</v>
          </cell>
          <cell r="Y1103">
            <v>0</v>
          </cell>
          <cell r="AA1103">
            <v>0</v>
          </cell>
          <cell r="AJ1103">
            <v>0</v>
          </cell>
          <cell r="AN1103">
            <v>0</v>
          </cell>
          <cell r="AR1103">
            <v>0</v>
          </cell>
          <cell r="AV1103">
            <v>0</v>
          </cell>
          <cell r="AZ1103">
            <v>0</v>
          </cell>
        </row>
        <row r="1104">
          <cell r="Q1104">
            <v>0</v>
          </cell>
          <cell r="S1104">
            <v>0</v>
          </cell>
          <cell r="U1104">
            <v>0</v>
          </cell>
          <cell r="V1104">
            <v>0</v>
          </cell>
          <cell r="W1104">
            <v>0</v>
          </cell>
          <cell r="Y1104">
            <v>0</v>
          </cell>
          <cell r="AA1104">
            <v>0</v>
          </cell>
          <cell r="AJ1104">
            <v>0</v>
          </cell>
          <cell r="AN1104">
            <v>0</v>
          </cell>
          <cell r="AR1104">
            <v>0</v>
          </cell>
          <cell r="AV1104">
            <v>0</v>
          </cell>
          <cell r="AZ1104">
            <v>0</v>
          </cell>
        </row>
        <row r="1105">
          <cell r="Q1105">
            <v>-10000</v>
          </cell>
          <cell r="S1105">
            <v>-10000</v>
          </cell>
          <cell r="U1105">
            <v>-10000</v>
          </cell>
          <cell r="V1105">
            <v>-10000</v>
          </cell>
          <cell r="W1105">
            <v>-10000</v>
          </cell>
          <cell r="Y1105">
            <v>-10000</v>
          </cell>
          <cell r="AA1105">
            <v>-10000</v>
          </cell>
          <cell r="AJ1105">
            <v>-10000</v>
          </cell>
          <cell r="AN1105">
            <v>-10000</v>
          </cell>
          <cell r="AR1105">
            <v>-10000</v>
          </cell>
          <cell r="AV1105">
            <v>-10000</v>
          </cell>
          <cell r="AZ1105">
            <v>-10000</v>
          </cell>
        </row>
        <row r="1106">
          <cell r="Q1106">
            <v>0</v>
          </cell>
          <cell r="S1106">
            <v>0</v>
          </cell>
          <cell r="U1106">
            <v>0</v>
          </cell>
          <cell r="V1106">
            <v>0</v>
          </cell>
          <cell r="W1106">
            <v>0</v>
          </cell>
          <cell r="Y1106">
            <v>0</v>
          </cell>
          <cell r="AA1106">
            <v>0</v>
          </cell>
          <cell r="AJ1106">
            <v>0</v>
          </cell>
          <cell r="AN1106">
            <v>0</v>
          </cell>
          <cell r="AR1106">
            <v>0</v>
          </cell>
          <cell r="AV1106">
            <v>0</v>
          </cell>
          <cell r="AZ1106">
            <v>0</v>
          </cell>
        </row>
        <row r="1107">
          <cell r="Q1107">
            <v>-521847.97</v>
          </cell>
          <cell r="S1107">
            <v>-460550.78</v>
          </cell>
          <cell r="U1107">
            <v>-439615.69</v>
          </cell>
          <cell r="V1107">
            <v>-431810.58</v>
          </cell>
          <cell r="W1107">
            <v>-500000</v>
          </cell>
          <cell r="Y1107">
            <v>-500000</v>
          </cell>
          <cell r="AA1107">
            <v>-500000</v>
          </cell>
          <cell r="AJ1107">
            <v>-623600.76541666652</v>
          </cell>
          <cell r="AN1107">
            <v>-488291.58125000005</v>
          </cell>
          <cell r="AR1107">
            <v>-468637.60375000001</v>
          </cell>
          <cell r="AV1107">
            <v>-479707.07624999998</v>
          </cell>
          <cell r="AZ1107">
            <v>-491801.53541666665</v>
          </cell>
        </row>
        <row r="1108">
          <cell r="Q1108">
            <v>0</v>
          </cell>
          <cell r="S1108">
            <v>0</v>
          </cell>
          <cell r="U1108">
            <v>0</v>
          </cell>
          <cell r="V1108">
            <v>0</v>
          </cell>
          <cell r="W1108">
            <v>0</v>
          </cell>
          <cell r="Y1108">
            <v>0</v>
          </cell>
          <cell r="AA1108">
            <v>0</v>
          </cell>
          <cell r="AJ1108">
            <v>-29266.94</v>
          </cell>
          <cell r="AN1108">
            <v>-22320.942500000001</v>
          </cell>
          <cell r="AR1108">
            <v>-4598.7512500000003</v>
          </cell>
          <cell r="AV1108">
            <v>0</v>
          </cell>
          <cell r="AZ1108">
            <v>0</v>
          </cell>
        </row>
        <row r="1109">
          <cell r="Q1109">
            <v>0</v>
          </cell>
          <cell r="S1109">
            <v>0</v>
          </cell>
          <cell r="U1109">
            <v>0</v>
          </cell>
          <cell r="V1109">
            <v>0</v>
          </cell>
          <cell r="W1109">
            <v>0</v>
          </cell>
          <cell r="Y1109">
            <v>0</v>
          </cell>
          <cell r="AA1109">
            <v>0</v>
          </cell>
          <cell r="AJ1109">
            <v>0</v>
          </cell>
          <cell r="AN1109">
            <v>0</v>
          </cell>
          <cell r="AR1109">
            <v>0</v>
          </cell>
          <cell r="AV1109">
            <v>0</v>
          </cell>
          <cell r="AZ1109">
            <v>0</v>
          </cell>
        </row>
        <row r="1110">
          <cell r="Q1110">
            <v>-683365.16</v>
          </cell>
          <cell r="S1110">
            <v>-683365.16</v>
          </cell>
          <cell r="U1110">
            <v>-668771.35</v>
          </cell>
          <cell r="V1110">
            <v>-668771.35</v>
          </cell>
          <cell r="W1110">
            <v>-630705.28</v>
          </cell>
          <cell r="Y1110">
            <v>-630705.28</v>
          </cell>
          <cell r="AA1110">
            <v>-596135.67000000004</v>
          </cell>
          <cell r="AJ1110">
            <v>-401511.9283333334</v>
          </cell>
          <cell r="AN1110">
            <v>-627476.08875</v>
          </cell>
          <cell r="AR1110">
            <v>-634136.10750000004</v>
          </cell>
          <cell r="AV1110">
            <v>-638361.44708333339</v>
          </cell>
          <cell r="AZ1110">
            <v>-584818.11624999996</v>
          </cell>
        </row>
        <row r="1111">
          <cell r="Q1111">
            <v>-458260.45</v>
          </cell>
          <cell r="S1111">
            <v>-458260.45</v>
          </cell>
          <cell r="U1111">
            <v>-454247.55</v>
          </cell>
          <cell r="V1111">
            <v>-454247.55</v>
          </cell>
          <cell r="W1111">
            <v>-452529.3</v>
          </cell>
          <cell r="Y1111">
            <v>-452529.3</v>
          </cell>
          <cell r="AA1111">
            <v>-452529.3</v>
          </cell>
          <cell r="AJ1111">
            <v>-317543.6529166667</v>
          </cell>
          <cell r="AN1111">
            <v>-469795.52375000011</v>
          </cell>
          <cell r="AR1111">
            <v>-516686.73833333334</v>
          </cell>
          <cell r="AV1111">
            <v>-453546.39374999987</v>
          </cell>
          <cell r="AZ1111">
            <v>-445883.95624999987</v>
          </cell>
        </row>
        <row r="1112">
          <cell r="Q1112">
            <v>-490117.43</v>
          </cell>
          <cell r="S1112">
            <v>-490117.43</v>
          </cell>
          <cell r="U1112">
            <v>-455525.18</v>
          </cell>
          <cell r="V1112">
            <v>-455525.18</v>
          </cell>
          <cell r="W1112">
            <v>-441639.56</v>
          </cell>
          <cell r="Y1112">
            <v>-441639.56</v>
          </cell>
          <cell r="AA1112">
            <v>-423469.81</v>
          </cell>
          <cell r="AJ1112">
            <v>-270208.4095833333</v>
          </cell>
          <cell r="AN1112">
            <v>-429256.85499999998</v>
          </cell>
          <cell r="AR1112">
            <v>-474039.07749999996</v>
          </cell>
          <cell r="AV1112">
            <v>-449472.91791666666</v>
          </cell>
          <cell r="AZ1112">
            <v>-427920.98875000002</v>
          </cell>
        </row>
        <row r="1113">
          <cell r="Q1113">
            <v>-140063.73000000001</v>
          </cell>
          <cell r="S1113">
            <v>-140063.73000000001</v>
          </cell>
          <cell r="U1113">
            <v>-123642.66</v>
          </cell>
          <cell r="V1113">
            <v>-123642.66</v>
          </cell>
          <cell r="W1113">
            <v>-290001.90999999997</v>
          </cell>
          <cell r="Y1113">
            <v>-290001.90999999997</v>
          </cell>
          <cell r="AA1113">
            <v>-215389.53</v>
          </cell>
          <cell r="AJ1113">
            <v>-5835.9887500000004</v>
          </cell>
          <cell r="AN1113">
            <v>-50471.265000000007</v>
          </cell>
          <cell r="AR1113">
            <v>-126343.66208333334</v>
          </cell>
          <cell r="AV1113">
            <v>-203909.51375000001</v>
          </cell>
          <cell r="AZ1113">
            <v>-297171.93875000003</v>
          </cell>
        </row>
        <row r="1114">
          <cell r="Q1114">
            <v>-475104.69</v>
          </cell>
          <cell r="S1114">
            <v>-457803.87</v>
          </cell>
          <cell r="U1114">
            <v>-417303.47</v>
          </cell>
          <cell r="V1114">
            <v>-416625.97</v>
          </cell>
          <cell r="W1114">
            <v>-407226.92</v>
          </cell>
          <cell r="Y1114">
            <v>-402168.54</v>
          </cell>
          <cell r="AA1114">
            <v>-364262.97</v>
          </cell>
          <cell r="AJ1114">
            <v>-19796.028750000001</v>
          </cell>
          <cell r="AN1114">
            <v>-171491.90541666668</v>
          </cell>
          <cell r="AR1114">
            <v>-307942.6816666667</v>
          </cell>
          <cell r="AV1114">
            <v>-397718.60541666654</v>
          </cell>
          <cell r="AZ1114">
            <v>-245451.68708333329</v>
          </cell>
        </row>
        <row r="1115">
          <cell r="W1115">
            <v>0</v>
          </cell>
          <cell r="Y1115">
            <v>0</v>
          </cell>
          <cell r="AA1115">
            <v>0</v>
          </cell>
          <cell r="AJ1115">
            <v>0</v>
          </cell>
          <cell r="AN1115">
            <v>0</v>
          </cell>
          <cell r="AR1115">
            <v>0</v>
          </cell>
          <cell r="AV1115">
            <v>0</v>
          </cell>
          <cell r="AZ1115">
            <v>0</v>
          </cell>
        </row>
        <row r="1116">
          <cell r="AA1116">
            <v>-65340.84</v>
          </cell>
          <cell r="AR1116">
            <v>0</v>
          </cell>
          <cell r="AV1116">
            <v>-21352.227083333331</v>
          </cell>
          <cell r="AZ1116">
            <v>-61456.828750000008</v>
          </cell>
        </row>
        <row r="1117">
          <cell r="AA1117">
            <v>-181849.04</v>
          </cell>
          <cell r="AR1117">
            <v>0</v>
          </cell>
          <cell r="AV1117">
            <v>-50761.894999999997</v>
          </cell>
          <cell r="AZ1117">
            <v>-93158.97500000002</v>
          </cell>
        </row>
        <row r="1118">
          <cell r="AV1118">
            <v>-4272.7029166666662</v>
          </cell>
          <cell r="AZ1118">
            <v>-35321.357499999998</v>
          </cell>
        </row>
        <row r="1119">
          <cell r="AV1119">
            <v>0</v>
          </cell>
          <cell r="AZ1119">
            <v>-5973888.333333333</v>
          </cell>
        </row>
        <row r="1120">
          <cell r="Q1120">
            <v>0</v>
          </cell>
          <cell r="S1120">
            <v>0</v>
          </cell>
          <cell r="U1120">
            <v>0</v>
          </cell>
          <cell r="V1120">
            <v>0</v>
          </cell>
          <cell r="W1120">
            <v>0</v>
          </cell>
          <cell r="Y1120">
            <v>0</v>
          </cell>
          <cell r="AA1120">
            <v>0</v>
          </cell>
          <cell r="AJ1120">
            <v>-16534.888750000002</v>
          </cell>
          <cell r="AN1120">
            <v>-7977.1341666666667</v>
          </cell>
          <cell r="AR1120">
            <v>-2797.0062499999999</v>
          </cell>
          <cell r="AV1120">
            <v>0</v>
          </cell>
          <cell r="AZ1120">
            <v>0</v>
          </cell>
        </row>
        <row r="1121">
          <cell r="Q1121">
            <v>-4569900.37</v>
          </cell>
          <cell r="S1121">
            <v>-4569900.37</v>
          </cell>
          <cell r="U1121">
            <v>-4575394.62</v>
          </cell>
          <cell r="V1121">
            <v>-4575394.62</v>
          </cell>
          <cell r="W1121">
            <v>-4578088.3600000003</v>
          </cell>
          <cell r="Y1121">
            <v>-4580497.62</v>
          </cell>
          <cell r="AA1121">
            <v>-4580497.62</v>
          </cell>
          <cell r="AJ1121">
            <v>-4284160.9987500003</v>
          </cell>
          <cell r="AN1121">
            <v>-4669169.2008333327</v>
          </cell>
          <cell r="AR1121">
            <v>-4615235.9333333336</v>
          </cell>
          <cell r="AV1121">
            <v>-4576129.0662499992</v>
          </cell>
          <cell r="AZ1121">
            <v>-4579458.2016666662</v>
          </cell>
        </row>
        <row r="1122">
          <cell r="Q1122">
            <v>-276423.67</v>
          </cell>
          <cell r="S1122">
            <v>-278617.32</v>
          </cell>
          <cell r="U1122">
            <v>-280828.42</v>
          </cell>
          <cell r="V1122">
            <v>-281940.56</v>
          </cell>
          <cell r="W1122">
            <v>0</v>
          </cell>
          <cell r="Y1122">
            <v>0</v>
          </cell>
          <cell r="AA1122">
            <v>0</v>
          </cell>
          <cell r="AJ1122">
            <v>-269971.76333333337</v>
          </cell>
          <cell r="AN1122">
            <v>-274273.45999999996</v>
          </cell>
          <cell r="AR1122">
            <v>-219486.61416666667</v>
          </cell>
          <cell r="AV1122">
            <v>-128069.76125</v>
          </cell>
          <cell r="AZ1122">
            <v>-35196.230833333335</v>
          </cell>
        </row>
        <row r="1123">
          <cell r="Q1123">
            <v>0</v>
          </cell>
          <cell r="S1123">
            <v>0</v>
          </cell>
          <cell r="U1123">
            <v>0</v>
          </cell>
          <cell r="V1123">
            <v>0</v>
          </cell>
          <cell r="W1123">
            <v>0</v>
          </cell>
          <cell r="Y1123">
            <v>0</v>
          </cell>
          <cell r="AA1123">
            <v>0</v>
          </cell>
          <cell r="AJ1123">
            <v>0</v>
          </cell>
          <cell r="AN1123">
            <v>0</v>
          </cell>
          <cell r="AR1123">
            <v>0</v>
          </cell>
          <cell r="AV1123">
            <v>0</v>
          </cell>
          <cell r="AZ1123">
            <v>0</v>
          </cell>
        </row>
        <row r="1124">
          <cell r="Q1124">
            <v>-83995.09</v>
          </cell>
          <cell r="S1124">
            <v>-84890.32</v>
          </cell>
          <cell r="U1124">
            <v>-85795.8</v>
          </cell>
          <cell r="V1124">
            <v>-86252.43</v>
          </cell>
          <cell r="W1124">
            <v>-86711.65</v>
          </cell>
          <cell r="Y1124">
            <v>-87637.98</v>
          </cell>
          <cell r="AA1124">
            <v>-88574.9</v>
          </cell>
          <cell r="AJ1124">
            <v>-8327.2537499999999</v>
          </cell>
          <cell r="AN1124">
            <v>-36624.667500000003</v>
          </cell>
          <cell r="AR1124">
            <v>-65529.206666666665</v>
          </cell>
          <cell r="AV1124">
            <v>-84360.202499999999</v>
          </cell>
          <cell r="AZ1124">
            <v>-66112.126666666663</v>
          </cell>
        </row>
        <row r="1125">
          <cell r="Q1125">
            <v>0</v>
          </cell>
          <cell r="S1125">
            <v>0</v>
          </cell>
          <cell r="U1125">
            <v>0</v>
          </cell>
          <cell r="V1125">
            <v>0</v>
          </cell>
          <cell r="W1125">
            <v>0</v>
          </cell>
          <cell r="Y1125">
            <v>0</v>
          </cell>
          <cell r="AA1125">
            <v>0</v>
          </cell>
          <cell r="AJ1125">
            <v>-49530.454583333332</v>
          </cell>
          <cell r="AN1125">
            <v>-30907.103749999998</v>
          </cell>
          <cell r="AR1125">
            <v>-11981.612500000001</v>
          </cell>
          <cell r="AV1125">
            <v>0</v>
          </cell>
          <cell r="AZ1125">
            <v>0</v>
          </cell>
        </row>
        <row r="1126">
          <cell r="Q1126">
            <v>-1299212.3799999999</v>
          </cell>
          <cell r="S1126">
            <v>-1311742.42</v>
          </cell>
          <cell r="U1126">
            <v>-1324393.3</v>
          </cell>
          <cell r="V1126">
            <v>-1330764.42</v>
          </cell>
          <cell r="W1126">
            <v>-1337166.19</v>
          </cell>
          <cell r="Y1126">
            <v>-1350062.27</v>
          </cell>
          <cell r="AA1126">
            <v>-1363082.73</v>
          </cell>
          <cell r="AJ1126">
            <v>-1262512.6875</v>
          </cell>
          <cell r="AN1126">
            <v>-1286982.3166666667</v>
          </cell>
          <cell r="AR1126">
            <v>-1311926.2050000001</v>
          </cell>
          <cell r="AV1126">
            <v>-1337353.5466666666</v>
          </cell>
          <cell r="AZ1126">
            <v>-1363273.7112500002</v>
          </cell>
        </row>
        <row r="1127">
          <cell r="Q1127">
            <v>32500</v>
          </cell>
          <cell r="S1127">
            <v>32500</v>
          </cell>
          <cell r="U1127">
            <v>32500</v>
          </cell>
          <cell r="V1127">
            <v>32500</v>
          </cell>
          <cell r="W1127">
            <v>32500</v>
          </cell>
          <cell r="Y1127">
            <v>32500</v>
          </cell>
          <cell r="AA1127">
            <v>32500</v>
          </cell>
          <cell r="AJ1127">
            <v>10729.166666666666</v>
          </cell>
          <cell r="AN1127">
            <v>21562.5</v>
          </cell>
          <cell r="AR1127">
            <v>29583.333333333332</v>
          </cell>
          <cell r="AV1127">
            <v>32187.5</v>
          </cell>
          <cell r="AZ1127">
            <v>29687.5</v>
          </cell>
        </row>
        <row r="1128">
          <cell r="Q1128">
            <v>-807555.29</v>
          </cell>
          <cell r="S1128">
            <v>-815906.15</v>
          </cell>
          <cell r="U1128">
            <v>-824343.35</v>
          </cell>
          <cell r="V1128">
            <v>-828594.62</v>
          </cell>
          <cell r="W1128">
            <v>-832867.81</v>
          </cell>
          <cell r="Y1128">
            <v>-841480.42</v>
          </cell>
          <cell r="AA1128">
            <v>-850182.09</v>
          </cell>
          <cell r="AJ1128">
            <v>-783138.11749999982</v>
          </cell>
          <cell r="AN1128">
            <v>-799418.5754166668</v>
          </cell>
          <cell r="AR1128">
            <v>-816037.48291666666</v>
          </cell>
          <cell r="AV1128">
            <v>-833001.87875000003</v>
          </cell>
          <cell r="AZ1128">
            <v>-850318.94333333336</v>
          </cell>
        </row>
        <row r="1129">
          <cell r="Q1129">
            <v>-1047689.43</v>
          </cell>
          <cell r="S1129">
            <v>-1058175.8700000001</v>
          </cell>
          <cell r="U1129">
            <v>-1068767.82</v>
          </cell>
          <cell r="V1129">
            <v>-1074103.7</v>
          </cell>
          <cell r="W1129">
            <v>-1079466.3500000001</v>
          </cell>
          <cell r="Y1129">
            <v>-1090272.54</v>
          </cell>
          <cell r="AA1129">
            <v>-1101187.48</v>
          </cell>
          <cell r="AJ1129">
            <v>-130527.51375</v>
          </cell>
          <cell r="AN1129">
            <v>-483259.39833333337</v>
          </cell>
          <cell r="AR1129">
            <v>-843088.24416666664</v>
          </cell>
          <cell r="AV1129">
            <v>-1079630.0891666666</v>
          </cell>
          <cell r="AZ1129">
            <v>-1101354.5499999998</v>
          </cell>
        </row>
        <row r="1130">
          <cell r="Q1130">
            <v>0</v>
          </cell>
          <cell r="S1130">
            <v>0</v>
          </cell>
          <cell r="U1130">
            <v>0</v>
          </cell>
          <cell r="V1130">
            <v>0</v>
          </cell>
          <cell r="W1130">
            <v>0</v>
          </cell>
          <cell r="Y1130">
            <v>0</v>
          </cell>
          <cell r="AA1130">
            <v>0</v>
          </cell>
          <cell r="AJ1130">
            <v>-886479.30916666659</v>
          </cell>
          <cell r="AN1130">
            <v>-554205.32458333333</v>
          </cell>
          <cell r="AR1130">
            <v>-215248.09875</v>
          </cell>
          <cell r="AV1130">
            <v>0</v>
          </cell>
          <cell r="AZ1130">
            <v>0</v>
          </cell>
        </row>
        <row r="1131">
          <cell r="Q1131">
            <v>-3820037.43</v>
          </cell>
          <cell r="S1131">
            <v>-3856222.51</v>
          </cell>
          <cell r="U1131">
            <v>-3885385.09</v>
          </cell>
          <cell r="V1131">
            <v>-3903865.2</v>
          </cell>
          <cell r="W1131">
            <v>-3914737.41</v>
          </cell>
          <cell r="Y1131">
            <v>-3952262.65</v>
          </cell>
          <cell r="AA1131">
            <v>-3979730.31</v>
          </cell>
          <cell r="AJ1131">
            <v>-4355318.5275000008</v>
          </cell>
          <cell r="AN1131">
            <v>-4194043.149166666</v>
          </cell>
          <cell r="AR1131">
            <v>-4039089.68</v>
          </cell>
          <cell r="AV1131">
            <v>-3927231.8800000004</v>
          </cell>
          <cell r="AZ1131">
            <v>-4073074.9445833336</v>
          </cell>
        </row>
        <row r="1132">
          <cell r="Q1132">
            <v>-9680541.4100000001</v>
          </cell>
          <cell r="S1132">
            <v>-9742547.0899999999</v>
          </cell>
          <cell r="U1132">
            <v>-9737936.0899999999</v>
          </cell>
          <cell r="V1132">
            <v>-9769424.5099999998</v>
          </cell>
          <cell r="W1132">
            <v>-9731570.2100000009</v>
          </cell>
          <cell r="Y1132">
            <v>-9795250.4600000009</v>
          </cell>
          <cell r="AA1132">
            <v>-9764853.8100000005</v>
          </cell>
          <cell r="AJ1132">
            <v>-9700273.9937500004</v>
          </cell>
          <cell r="AN1132">
            <v>-9713010.0262499992</v>
          </cell>
          <cell r="AR1132">
            <v>-9727387.5045833346</v>
          </cell>
          <cell r="AV1132">
            <v>-9754824.9183333311</v>
          </cell>
          <cell r="AZ1132">
            <v>-9837973.4783333335</v>
          </cell>
        </row>
        <row r="1133">
          <cell r="Q1133">
            <v>-942405.81</v>
          </cell>
          <cell r="S1133">
            <v>-950130.25</v>
          </cell>
          <cell r="U1133">
            <v>-904227.52</v>
          </cell>
          <cell r="V1133">
            <v>-907932.45</v>
          </cell>
          <cell r="W1133">
            <v>-908725.94</v>
          </cell>
          <cell r="Y1133">
            <v>-916188.71</v>
          </cell>
          <cell r="AA1133">
            <v>-896855.19</v>
          </cell>
          <cell r="AJ1133">
            <v>-3299274.2974999994</v>
          </cell>
          <cell r="AN1133">
            <v>-2478960.3975000004</v>
          </cell>
          <cell r="AR1133">
            <v>-1647413.4804166667</v>
          </cell>
          <cell r="AV1133">
            <v>-898689.13166666683</v>
          </cell>
          <cell r="AZ1133">
            <v>-768730.40416666667</v>
          </cell>
        </row>
        <row r="1134">
          <cell r="Q1134">
            <v>-115744.31</v>
          </cell>
          <cell r="S1134">
            <v>-116716.34</v>
          </cell>
          <cell r="U1134">
            <v>-117696.56</v>
          </cell>
          <cell r="V1134">
            <v>-118189.75</v>
          </cell>
          <cell r="W1134">
            <v>-118685.01</v>
          </cell>
          <cell r="Y1134">
            <v>-119681.78</v>
          </cell>
          <cell r="AA1134">
            <v>-120686.92</v>
          </cell>
          <cell r="AJ1134">
            <v>-12201.992916666664</v>
          </cell>
          <cell r="AN1134">
            <v>-51107.952499999992</v>
          </cell>
          <cell r="AR1134">
            <v>-90670.142500000002</v>
          </cell>
          <cell r="AV1134">
            <v>-116109.20791666664</v>
          </cell>
          <cell r="AZ1134">
            <v>-96589.747916666674</v>
          </cell>
        </row>
        <row r="1135">
          <cell r="Q1135">
            <v>0</v>
          </cell>
          <cell r="S1135">
            <v>0</v>
          </cell>
          <cell r="U1135">
            <v>0</v>
          </cell>
          <cell r="V1135">
            <v>0</v>
          </cell>
          <cell r="W1135">
            <v>0</v>
          </cell>
          <cell r="Y1135">
            <v>0</v>
          </cell>
          <cell r="AA1135">
            <v>0</v>
          </cell>
          <cell r="AJ1135">
            <v>-75710.459166666653</v>
          </cell>
          <cell r="AN1135">
            <v>-47243.998333333329</v>
          </cell>
          <cell r="AR1135">
            <v>-18315.062083333334</v>
          </cell>
          <cell r="AV1135">
            <v>0</v>
          </cell>
          <cell r="AZ1135">
            <v>0</v>
          </cell>
        </row>
        <row r="1136">
          <cell r="Q1136">
            <v>0</v>
          </cell>
          <cell r="S1136">
            <v>5000</v>
          </cell>
          <cell r="U1136">
            <v>5000</v>
          </cell>
          <cell r="V1136">
            <v>5000</v>
          </cell>
          <cell r="W1136">
            <v>5000</v>
          </cell>
          <cell r="Y1136">
            <v>5000</v>
          </cell>
          <cell r="AA1136">
            <v>5000</v>
          </cell>
          <cell r="AJ1136">
            <v>0</v>
          </cell>
          <cell r="AN1136">
            <v>1041.6666666666667</v>
          </cell>
          <cell r="AR1136">
            <v>2708.3333333333335</v>
          </cell>
          <cell r="AV1136">
            <v>5625</v>
          </cell>
          <cell r="AZ1136">
            <v>16250</v>
          </cell>
        </row>
        <row r="1137">
          <cell r="Q1137">
            <v>-266223.87</v>
          </cell>
          <cell r="S1137">
            <v>-268220.95</v>
          </cell>
          <cell r="U1137">
            <v>-177433.59</v>
          </cell>
          <cell r="V1137">
            <v>-178044.46</v>
          </cell>
          <cell r="W1137">
            <v>-58256.65</v>
          </cell>
          <cell r="Y1137">
            <v>-58449.09</v>
          </cell>
          <cell r="AA1137">
            <v>-532686.01</v>
          </cell>
          <cell r="AJ1137">
            <v>-320966.40500000003</v>
          </cell>
          <cell r="AN1137">
            <v>-289302.28916666668</v>
          </cell>
          <cell r="AR1137">
            <v>-224181.18041666664</v>
          </cell>
          <cell r="AV1137">
            <v>-262578.96666666662</v>
          </cell>
          <cell r="AZ1137">
            <v>-282555.76750000002</v>
          </cell>
        </row>
        <row r="1138">
          <cell r="Q1138">
            <v>272088.18</v>
          </cell>
          <cell r="S1138">
            <v>272088.18</v>
          </cell>
          <cell r="U1138">
            <v>272088.18</v>
          </cell>
          <cell r="V1138">
            <v>272088.18</v>
          </cell>
          <cell r="W1138">
            <v>272088.18</v>
          </cell>
          <cell r="Y1138">
            <v>0</v>
          </cell>
          <cell r="AA1138">
            <v>0</v>
          </cell>
          <cell r="AJ1138">
            <v>11337.0075</v>
          </cell>
          <cell r="AN1138">
            <v>102033.0675</v>
          </cell>
          <cell r="AR1138">
            <v>158718.10499999998</v>
          </cell>
          <cell r="AV1138">
            <v>147381.0975</v>
          </cell>
          <cell r="AZ1138">
            <v>56685.037499999999</v>
          </cell>
        </row>
        <row r="1139">
          <cell r="Q1139">
            <v>0</v>
          </cell>
          <cell r="S1139">
            <v>0</v>
          </cell>
          <cell r="U1139">
            <v>0</v>
          </cell>
          <cell r="V1139">
            <v>0</v>
          </cell>
          <cell r="W1139">
            <v>0</v>
          </cell>
          <cell r="Y1139">
            <v>0</v>
          </cell>
          <cell r="AA1139">
            <v>0</v>
          </cell>
          <cell r="AJ1139">
            <v>0</v>
          </cell>
          <cell r="AN1139">
            <v>0</v>
          </cell>
          <cell r="AR1139">
            <v>0</v>
          </cell>
          <cell r="AV1139">
            <v>0</v>
          </cell>
          <cell r="AZ1139">
            <v>0</v>
          </cell>
        </row>
        <row r="1140">
          <cell r="Q1140">
            <v>-585041.34</v>
          </cell>
          <cell r="S1140">
            <v>-591001.17000000004</v>
          </cell>
          <cell r="U1140">
            <v>-597021.72</v>
          </cell>
          <cell r="V1140">
            <v>-600054.94999999995</v>
          </cell>
          <cell r="W1140">
            <v>-603103.59</v>
          </cell>
          <cell r="Y1140">
            <v>-609247.42000000004</v>
          </cell>
          <cell r="AA1140">
            <v>-615453.84</v>
          </cell>
          <cell r="AJ1140">
            <v>-72883.721666666665</v>
          </cell>
          <cell r="AN1140">
            <v>-269887.90749999997</v>
          </cell>
          <cell r="AR1140">
            <v>-470926.31</v>
          </cell>
          <cell r="AV1140">
            <v>-603197.81999999995</v>
          </cell>
          <cell r="AZ1140">
            <v>-615550.00375000003</v>
          </cell>
        </row>
        <row r="1141">
          <cell r="Q1141">
            <v>0</v>
          </cell>
          <cell r="S1141">
            <v>0</v>
          </cell>
          <cell r="U1141">
            <v>0</v>
          </cell>
          <cell r="V1141">
            <v>0</v>
          </cell>
          <cell r="W1141">
            <v>0</v>
          </cell>
          <cell r="Y1141">
            <v>0</v>
          </cell>
          <cell r="AA1141">
            <v>0</v>
          </cell>
          <cell r="AJ1141">
            <v>-494724.99791666662</v>
          </cell>
          <cell r="AN1141">
            <v>-309344.1866666667</v>
          </cell>
          <cell r="AR1141">
            <v>-120167.19666666666</v>
          </cell>
          <cell r="AV1141">
            <v>0</v>
          </cell>
          <cell r="AZ1141">
            <v>0</v>
          </cell>
        </row>
        <row r="1142">
          <cell r="Q1142">
            <v>-5152053.37</v>
          </cell>
          <cell r="S1142">
            <v>-5201699.99</v>
          </cell>
          <cell r="U1142">
            <v>-5058459.62</v>
          </cell>
          <cell r="V1142">
            <v>-5083436.32</v>
          </cell>
          <cell r="W1142">
            <v>-4984505.22</v>
          </cell>
          <cell r="Y1142">
            <v>-5033979.8899999997</v>
          </cell>
          <cell r="AA1142">
            <v>-4908553.41</v>
          </cell>
          <cell r="AJ1142">
            <v>-4360612.1450000005</v>
          </cell>
          <cell r="AN1142">
            <v>-4628015.5370833343</v>
          </cell>
          <cell r="AR1142">
            <v>-4859813.7833333341</v>
          </cell>
          <cell r="AV1142">
            <v>-4936710.8412499996</v>
          </cell>
          <cell r="AZ1142">
            <v>-4123234.5649999999</v>
          </cell>
        </row>
        <row r="1143">
          <cell r="Q1143">
            <v>0</v>
          </cell>
          <cell r="S1143">
            <v>0</v>
          </cell>
          <cell r="U1143">
            <v>0</v>
          </cell>
          <cell r="V1143">
            <v>0</v>
          </cell>
          <cell r="W1143">
            <v>0</v>
          </cell>
          <cell r="Y1143">
            <v>0</v>
          </cell>
          <cell r="AA1143">
            <v>0</v>
          </cell>
          <cell r="AJ1143">
            <v>0</v>
          </cell>
          <cell r="AN1143">
            <v>0</v>
          </cell>
          <cell r="AR1143">
            <v>0</v>
          </cell>
          <cell r="AV1143">
            <v>0</v>
          </cell>
          <cell r="AZ1143">
            <v>0</v>
          </cell>
        </row>
        <row r="1144">
          <cell r="Q1144">
            <v>765611</v>
          </cell>
          <cell r="S1144">
            <v>765611</v>
          </cell>
          <cell r="U1144">
            <v>765611</v>
          </cell>
          <cell r="V1144">
            <v>765611</v>
          </cell>
          <cell r="W1144">
            <v>765611</v>
          </cell>
          <cell r="Y1144">
            <v>765611</v>
          </cell>
          <cell r="AA1144">
            <v>765611</v>
          </cell>
          <cell r="AJ1144">
            <v>480693.70833333331</v>
          </cell>
          <cell r="AN1144">
            <v>579795.375</v>
          </cell>
          <cell r="AR1144">
            <v>678897.04166666663</v>
          </cell>
          <cell r="AV1144">
            <v>768408.58333333337</v>
          </cell>
          <cell r="AZ1144">
            <v>790789.25</v>
          </cell>
        </row>
        <row r="1145">
          <cell r="Q1145">
            <v>-717624.63</v>
          </cell>
          <cell r="S1145">
            <v>-725785.56</v>
          </cell>
          <cell r="U1145">
            <v>-734039.3</v>
          </cell>
          <cell r="V1145">
            <v>-738201.3</v>
          </cell>
          <cell r="W1145">
            <v>-742386.9</v>
          </cell>
          <cell r="Y1145">
            <v>-750829.43</v>
          </cell>
          <cell r="AA1145">
            <v>-759367.97</v>
          </cell>
          <cell r="AJ1145">
            <v>-89365.912916666668</v>
          </cell>
          <cell r="AN1145">
            <v>-331300.23333333334</v>
          </cell>
          <cell r="AR1145">
            <v>-578768.46625000006</v>
          </cell>
          <cell r="AV1145">
            <v>-768600.07749999978</v>
          </cell>
          <cell r="AZ1145">
            <v>-995914.47458333336</v>
          </cell>
        </row>
        <row r="1146">
          <cell r="Q1146">
            <v>0</v>
          </cell>
          <cell r="S1146">
            <v>0</v>
          </cell>
          <cell r="U1146">
            <v>0</v>
          </cell>
          <cell r="V1146">
            <v>0</v>
          </cell>
          <cell r="W1146">
            <v>0</v>
          </cell>
          <cell r="Y1146">
            <v>0</v>
          </cell>
          <cell r="AA1146">
            <v>0</v>
          </cell>
          <cell r="AJ1146">
            <v>-463806.99916666659</v>
          </cell>
          <cell r="AN1146">
            <v>-378393.22041666665</v>
          </cell>
          <cell r="AR1146">
            <v>-147158.24416666667</v>
          </cell>
          <cell r="AV1146">
            <v>0</v>
          </cell>
          <cell r="AZ1146">
            <v>0</v>
          </cell>
        </row>
        <row r="1147">
          <cell r="Q1147">
            <v>76073</v>
          </cell>
          <cell r="S1147">
            <v>76073</v>
          </cell>
          <cell r="U1147">
            <v>76073</v>
          </cell>
          <cell r="V1147">
            <v>76073</v>
          </cell>
          <cell r="W1147">
            <v>76073</v>
          </cell>
          <cell r="Y1147">
            <v>76073</v>
          </cell>
          <cell r="AA1147">
            <v>76073</v>
          </cell>
          <cell r="AJ1147">
            <v>106271.4633333333</v>
          </cell>
          <cell r="AN1147">
            <v>95767.64999999998</v>
          </cell>
          <cell r="AR1147">
            <v>85263.83666666667</v>
          </cell>
          <cell r="AV1147">
            <v>78579.416666666672</v>
          </cell>
          <cell r="AZ1147">
            <v>98630.75</v>
          </cell>
        </row>
        <row r="1148">
          <cell r="Q1148">
            <v>-4865990.04</v>
          </cell>
          <cell r="S1148">
            <v>-4916663.55</v>
          </cell>
          <cell r="U1148">
            <v>-4645470.2300000004</v>
          </cell>
          <cell r="V1148">
            <v>-4670848.55</v>
          </cell>
          <cell r="W1148">
            <v>-4465373.34</v>
          </cell>
          <cell r="Y1148">
            <v>-4515013.37</v>
          </cell>
          <cell r="AA1148">
            <v>-3608289.95</v>
          </cell>
          <cell r="AJ1148">
            <v>-3566131.9600000004</v>
          </cell>
          <cell r="AN1148">
            <v>-3930875.0291666663</v>
          </cell>
          <cell r="AR1148">
            <v>-4255570.1266666669</v>
          </cell>
          <cell r="AV1148">
            <v>-4240986.2308333339</v>
          </cell>
          <cell r="AZ1148">
            <v>-2854889.9812499997</v>
          </cell>
        </row>
        <row r="1149">
          <cell r="U1149">
            <v>3150000</v>
          </cell>
          <cell r="V1149">
            <v>3150000</v>
          </cell>
          <cell r="W1149">
            <v>3150000</v>
          </cell>
          <cell r="Y1149">
            <v>3150000</v>
          </cell>
          <cell r="AA1149">
            <v>3150000</v>
          </cell>
          <cell r="AJ1149">
            <v>0</v>
          </cell>
          <cell r="AN1149">
            <v>393750</v>
          </cell>
          <cell r="AR1149">
            <v>1443750</v>
          </cell>
          <cell r="AV1149">
            <v>2397408.8416666668</v>
          </cell>
          <cell r="AZ1149">
            <v>2282929.5749999997</v>
          </cell>
        </row>
        <row r="1150">
          <cell r="Q1150">
            <v>148046.53</v>
          </cell>
          <cell r="S1150">
            <v>148046.53</v>
          </cell>
          <cell r="U1150">
            <v>148046.53</v>
          </cell>
          <cell r="V1150">
            <v>148046.53</v>
          </cell>
          <cell r="W1150">
            <v>148046.53</v>
          </cell>
          <cell r="Y1150">
            <v>148046.53</v>
          </cell>
          <cell r="AA1150">
            <v>148046.53</v>
          </cell>
          <cell r="AJ1150">
            <v>298802.77083333343</v>
          </cell>
          <cell r="AN1150">
            <v>246365.81749999998</v>
          </cell>
          <cell r="AR1150">
            <v>193928.86416666667</v>
          </cell>
          <cell r="AV1150">
            <v>152823.33041666666</v>
          </cell>
          <cell r="AZ1150">
            <v>191037.73375000001</v>
          </cell>
        </row>
        <row r="1151">
          <cell r="Q1151">
            <v>162398.20000000001</v>
          </cell>
          <cell r="S1151">
            <v>162398.20000000001</v>
          </cell>
          <cell r="U1151">
            <v>162398.20000000001</v>
          </cell>
          <cell r="V1151">
            <v>162398.20000000001</v>
          </cell>
          <cell r="W1151">
            <v>162398.20000000001</v>
          </cell>
          <cell r="Y1151">
            <v>162398.20000000001</v>
          </cell>
          <cell r="AA1151">
            <v>162398.20000000001</v>
          </cell>
          <cell r="AJ1151">
            <v>159255.40333333335</v>
          </cell>
          <cell r="AN1151">
            <v>160348.54999999999</v>
          </cell>
          <cell r="AR1151">
            <v>161441.69666666663</v>
          </cell>
          <cell r="AV1151">
            <v>162015.98333333331</v>
          </cell>
          <cell r="AZ1151">
            <v>158958.25</v>
          </cell>
        </row>
        <row r="1152">
          <cell r="Q1152">
            <v>-663605.91</v>
          </cell>
          <cell r="S1152">
            <v>-663605.91</v>
          </cell>
          <cell r="U1152">
            <v>-663605.91</v>
          </cell>
          <cell r="V1152">
            <v>-663605.91</v>
          </cell>
          <cell r="W1152">
            <v>-663605.91</v>
          </cell>
          <cell r="Y1152">
            <v>-391517.73</v>
          </cell>
          <cell r="AA1152">
            <v>-391517.73</v>
          </cell>
          <cell r="AJ1152">
            <v>-575874.97833333327</v>
          </cell>
          <cell r="AN1152">
            <v>-606390.08499999996</v>
          </cell>
          <cell r="AR1152">
            <v>-602894.1691666668</v>
          </cell>
          <cell r="AV1152">
            <v>-547049.82791666675</v>
          </cell>
          <cell r="AZ1152">
            <v>-521561.77125000005</v>
          </cell>
        </row>
        <row r="1153">
          <cell r="Q1153">
            <v>0</v>
          </cell>
          <cell r="S1153">
            <v>0</v>
          </cell>
          <cell r="U1153">
            <v>0</v>
          </cell>
          <cell r="V1153">
            <v>0</v>
          </cell>
          <cell r="W1153">
            <v>0</v>
          </cell>
          <cell r="Y1153">
            <v>0</v>
          </cell>
          <cell r="AA1153">
            <v>0</v>
          </cell>
          <cell r="AJ1153">
            <v>0</v>
          </cell>
          <cell r="AN1153">
            <v>0</v>
          </cell>
          <cell r="AR1153">
            <v>0</v>
          </cell>
          <cell r="AV1153">
            <v>0</v>
          </cell>
          <cell r="AZ1153">
            <v>0</v>
          </cell>
        </row>
        <row r="1154">
          <cell r="Q1154">
            <v>-765611</v>
          </cell>
          <cell r="S1154">
            <v>-765611</v>
          </cell>
          <cell r="U1154">
            <v>-3915611</v>
          </cell>
          <cell r="V1154">
            <v>-3915611</v>
          </cell>
          <cell r="W1154">
            <v>-3915611</v>
          </cell>
          <cell r="Y1154">
            <v>-3915611</v>
          </cell>
          <cell r="AA1154">
            <v>-3915611</v>
          </cell>
          <cell r="AJ1154">
            <v>-480693.70833333331</v>
          </cell>
          <cell r="AN1154">
            <v>-973545.375</v>
          </cell>
          <cell r="AR1154">
            <v>-2122647.0416666665</v>
          </cell>
          <cell r="AV1154">
            <v>-3165817.4250000003</v>
          </cell>
          <cell r="AZ1154">
            <v>-3073718.8249999997</v>
          </cell>
        </row>
        <row r="1155">
          <cell r="Q1155">
            <v>-32500</v>
          </cell>
          <cell r="S1155">
            <v>-32500</v>
          </cell>
          <cell r="U1155">
            <v>-32500</v>
          </cell>
          <cell r="V1155">
            <v>-32500</v>
          </cell>
          <cell r="W1155">
            <v>-32500</v>
          </cell>
          <cell r="Y1155">
            <v>-32500</v>
          </cell>
          <cell r="AA1155">
            <v>-32500</v>
          </cell>
          <cell r="AJ1155">
            <v>-22916.666666666668</v>
          </cell>
          <cell r="AN1155">
            <v>-26250</v>
          </cell>
          <cell r="AR1155">
            <v>-29583.333333333332</v>
          </cell>
          <cell r="AV1155">
            <v>-32187.5</v>
          </cell>
          <cell r="AZ1155">
            <v>-29687.5</v>
          </cell>
        </row>
        <row r="1156">
          <cell r="Q1156">
            <v>5000</v>
          </cell>
          <cell r="S1156">
            <v>0</v>
          </cell>
          <cell r="U1156">
            <v>0</v>
          </cell>
          <cell r="V1156">
            <v>0</v>
          </cell>
          <cell r="W1156">
            <v>0</v>
          </cell>
          <cell r="Y1156">
            <v>0</v>
          </cell>
          <cell r="AA1156">
            <v>0</v>
          </cell>
          <cell r="AJ1156">
            <v>208.33333333333334</v>
          </cell>
          <cell r="AN1156">
            <v>833.33333333333337</v>
          </cell>
          <cell r="AR1156">
            <v>833.33333333333337</v>
          </cell>
          <cell r="AV1156">
            <v>625</v>
          </cell>
          <cell r="AZ1156">
            <v>0</v>
          </cell>
        </row>
        <row r="1157">
          <cell r="Q1157">
            <v>0</v>
          </cell>
          <cell r="S1157">
            <v>0</v>
          </cell>
          <cell r="U1157">
            <v>0</v>
          </cell>
          <cell r="V1157">
            <v>0</v>
          </cell>
          <cell r="W1157">
            <v>0</v>
          </cell>
          <cell r="Y1157">
            <v>0</v>
          </cell>
          <cell r="AA1157">
            <v>0</v>
          </cell>
          <cell r="AJ1157">
            <v>12187.5</v>
          </cell>
          <cell r="AN1157">
            <v>4687.5</v>
          </cell>
          <cell r="AR1157">
            <v>0</v>
          </cell>
          <cell r="AV1157">
            <v>0</v>
          </cell>
          <cell r="AZ1157">
            <v>0</v>
          </cell>
        </row>
        <row r="1158">
          <cell r="Q1158">
            <v>0</v>
          </cell>
          <cell r="S1158">
            <v>0</v>
          </cell>
          <cell r="U1158">
            <v>0</v>
          </cell>
          <cell r="V1158">
            <v>0</v>
          </cell>
          <cell r="W1158">
            <v>0</v>
          </cell>
          <cell r="Y1158">
            <v>0</v>
          </cell>
          <cell r="AA1158">
            <v>0</v>
          </cell>
          <cell r="AJ1158">
            <v>0</v>
          </cell>
          <cell r="AN1158">
            <v>0</v>
          </cell>
          <cell r="AR1158">
            <v>0</v>
          </cell>
          <cell r="AV1158">
            <v>0</v>
          </cell>
          <cell r="AZ1158">
            <v>0</v>
          </cell>
        </row>
        <row r="1159">
          <cell r="Q1159">
            <v>0</v>
          </cell>
          <cell r="S1159">
            <v>0</v>
          </cell>
          <cell r="U1159">
            <v>0</v>
          </cell>
          <cell r="V1159">
            <v>0</v>
          </cell>
          <cell r="W1159">
            <v>0</v>
          </cell>
          <cell r="Y1159">
            <v>0</v>
          </cell>
          <cell r="AA1159">
            <v>0</v>
          </cell>
          <cell r="AJ1159">
            <v>-17283666.666666668</v>
          </cell>
          <cell r="AN1159">
            <v>-14108666.666666666</v>
          </cell>
          <cell r="AR1159">
            <v>-2524250</v>
          </cell>
          <cell r="AV1159">
            <v>0</v>
          </cell>
          <cell r="AZ1159">
            <v>0</v>
          </cell>
        </row>
        <row r="1160">
          <cell r="Q1160">
            <v>-375000000</v>
          </cell>
          <cell r="S1160">
            <v>0</v>
          </cell>
          <cell r="U1160">
            <v>0</v>
          </cell>
          <cell r="V1160">
            <v>0</v>
          </cell>
          <cell r="W1160">
            <v>0</v>
          </cell>
          <cell r="Y1160">
            <v>0</v>
          </cell>
          <cell r="AA1160">
            <v>0</v>
          </cell>
          <cell r="AJ1160">
            <v>-34375000</v>
          </cell>
          <cell r="AN1160">
            <v>-81250000</v>
          </cell>
          <cell r="AR1160">
            <v>-81250000</v>
          </cell>
          <cell r="AV1160">
            <v>-46875000</v>
          </cell>
          <cell r="AZ1160">
            <v>0</v>
          </cell>
        </row>
        <row r="1161">
          <cell r="Q1161">
            <v>-79000000</v>
          </cell>
          <cell r="S1161">
            <v>0</v>
          </cell>
          <cell r="U1161">
            <v>0</v>
          </cell>
          <cell r="V1161">
            <v>0</v>
          </cell>
          <cell r="W1161">
            <v>0</v>
          </cell>
          <cell r="Y1161">
            <v>0</v>
          </cell>
          <cell r="AA1161">
            <v>0</v>
          </cell>
          <cell r="AJ1161">
            <v>-61875000</v>
          </cell>
          <cell r="AN1161">
            <v>-53875000</v>
          </cell>
          <cell r="AR1161">
            <v>-40145833.333333336</v>
          </cell>
          <cell r="AV1161">
            <v>-11125000</v>
          </cell>
          <cell r="AZ1161">
            <v>0</v>
          </cell>
        </row>
        <row r="1162">
          <cell r="Q1162">
            <v>-79000000</v>
          </cell>
          <cell r="S1162">
            <v>0</v>
          </cell>
          <cell r="U1162">
            <v>0</v>
          </cell>
          <cell r="V1162">
            <v>0</v>
          </cell>
          <cell r="W1162">
            <v>0</v>
          </cell>
          <cell r="Y1162">
            <v>0</v>
          </cell>
          <cell r="AA1162">
            <v>0</v>
          </cell>
          <cell r="AJ1162">
            <v>-61875000</v>
          </cell>
          <cell r="AN1162">
            <v>-53875000</v>
          </cell>
          <cell r="AR1162">
            <v>-40145833.333333336</v>
          </cell>
          <cell r="AV1162">
            <v>-11125000</v>
          </cell>
          <cell r="AZ1162">
            <v>0</v>
          </cell>
        </row>
        <row r="1163">
          <cell r="Q1163">
            <v>0</v>
          </cell>
          <cell r="S1163">
            <v>0</v>
          </cell>
          <cell r="U1163">
            <v>0</v>
          </cell>
          <cell r="V1163">
            <v>0</v>
          </cell>
          <cell r="W1163">
            <v>0</v>
          </cell>
          <cell r="Y1163">
            <v>0</v>
          </cell>
          <cell r="AA1163">
            <v>0</v>
          </cell>
          <cell r="AJ1163">
            <v>0</v>
          </cell>
          <cell r="AN1163">
            <v>0</v>
          </cell>
          <cell r="AR1163">
            <v>0</v>
          </cell>
          <cell r="AV1163">
            <v>0</v>
          </cell>
          <cell r="AZ1163">
            <v>0</v>
          </cell>
        </row>
        <row r="1164">
          <cell r="Q1164">
            <v>0</v>
          </cell>
          <cell r="S1164">
            <v>0</v>
          </cell>
          <cell r="U1164">
            <v>0</v>
          </cell>
          <cell r="V1164">
            <v>0</v>
          </cell>
          <cell r="W1164">
            <v>0</v>
          </cell>
          <cell r="Y1164">
            <v>-5000000</v>
          </cell>
          <cell r="AA1164">
            <v>0</v>
          </cell>
          <cell r="AJ1164">
            <v>-46657750</v>
          </cell>
          <cell r="AN1164">
            <v>-34840458.333333336</v>
          </cell>
          <cell r="AR1164">
            <v>-9747458.333333334</v>
          </cell>
          <cell r="AV1164">
            <v>-1250000</v>
          </cell>
          <cell r="AZ1164">
            <v>-1250000</v>
          </cell>
        </row>
        <row r="1165">
          <cell r="Q1165">
            <v>0</v>
          </cell>
          <cell r="S1165">
            <v>0</v>
          </cell>
          <cell r="U1165">
            <v>0</v>
          </cell>
          <cell r="V1165">
            <v>0</v>
          </cell>
          <cell r="W1165">
            <v>0</v>
          </cell>
          <cell r="Y1165">
            <v>0</v>
          </cell>
          <cell r="AA1165">
            <v>0</v>
          </cell>
          <cell r="AJ1165">
            <v>-7032083.333333333</v>
          </cell>
          <cell r="AN1165">
            <v>-4745208.333333333</v>
          </cell>
          <cell r="AR1165">
            <v>0</v>
          </cell>
          <cell r="AV1165">
            <v>0</v>
          </cell>
          <cell r="AZ1165">
            <v>0</v>
          </cell>
        </row>
        <row r="1166">
          <cell r="Q1166">
            <v>0</v>
          </cell>
          <cell r="S1166">
            <v>0</v>
          </cell>
          <cell r="U1166">
            <v>0</v>
          </cell>
          <cell r="V1166">
            <v>0</v>
          </cell>
          <cell r="W1166">
            <v>0</v>
          </cell>
          <cell r="Y1166">
            <v>0</v>
          </cell>
          <cell r="AA1166">
            <v>0</v>
          </cell>
          <cell r="AJ1166">
            <v>-6356583.333333333</v>
          </cell>
          <cell r="AN1166">
            <v>-6356583.333333333</v>
          </cell>
          <cell r="AR1166">
            <v>-1772666.6666666667</v>
          </cell>
          <cell r="AV1166">
            <v>0</v>
          </cell>
          <cell r="AZ1166">
            <v>0</v>
          </cell>
        </row>
        <row r="1167">
          <cell r="Q1167">
            <v>0</v>
          </cell>
          <cell r="S1167">
            <v>0</v>
          </cell>
          <cell r="U1167">
            <v>0</v>
          </cell>
          <cell r="V1167">
            <v>0</v>
          </cell>
          <cell r="W1167">
            <v>0</v>
          </cell>
          <cell r="Y1167">
            <v>0</v>
          </cell>
          <cell r="AA1167">
            <v>0</v>
          </cell>
          <cell r="AJ1167">
            <v>0</v>
          </cell>
          <cell r="AN1167">
            <v>0</v>
          </cell>
          <cell r="AR1167">
            <v>0</v>
          </cell>
          <cell r="AV1167">
            <v>0</v>
          </cell>
          <cell r="AZ1167">
            <v>0</v>
          </cell>
        </row>
        <row r="1168">
          <cell r="Q1168">
            <v>-431700000</v>
          </cell>
          <cell r="S1168">
            <v>0</v>
          </cell>
          <cell r="U1168">
            <v>0</v>
          </cell>
          <cell r="V1168">
            <v>0</v>
          </cell>
          <cell r="W1168">
            <v>0</v>
          </cell>
          <cell r="Y1168">
            <v>0</v>
          </cell>
          <cell r="AA1168">
            <v>0</v>
          </cell>
          <cell r="AJ1168">
            <v>-114645833.33333333</v>
          </cell>
          <cell r="AN1168">
            <v>-153458333.33333334</v>
          </cell>
          <cell r="AR1168">
            <v>-151375000</v>
          </cell>
          <cell r="AV1168">
            <v>-38812500</v>
          </cell>
          <cell r="AZ1168">
            <v>0</v>
          </cell>
        </row>
        <row r="1169">
          <cell r="S1169">
            <v>-70000000</v>
          </cell>
          <cell r="U1169">
            <v>-95000000</v>
          </cell>
          <cell r="V1169">
            <v>-80000000</v>
          </cell>
          <cell r="W1169">
            <v>-125000000</v>
          </cell>
          <cell r="Y1169">
            <v>-40000000</v>
          </cell>
          <cell r="AA1169">
            <v>-20000000</v>
          </cell>
          <cell r="AJ1169">
            <v>0</v>
          </cell>
          <cell r="AN1169">
            <v>-24375000</v>
          </cell>
          <cell r="AR1169">
            <v>-56250000</v>
          </cell>
          <cell r="AV1169">
            <v>-69583333.333333328</v>
          </cell>
          <cell r="AZ1169">
            <v>-51250000</v>
          </cell>
        </row>
        <row r="1170">
          <cell r="Y1170">
            <v>-230000000</v>
          </cell>
          <cell r="AA1170">
            <v>0</v>
          </cell>
          <cell r="AR1170">
            <v>-26250000</v>
          </cell>
          <cell r="AV1170">
            <v>-40208333.333333336</v>
          </cell>
          <cell r="AZ1170">
            <v>-87083333.333333328</v>
          </cell>
        </row>
        <row r="1171">
          <cell r="Y1171">
            <v>0</v>
          </cell>
          <cell r="AA1171">
            <v>0</v>
          </cell>
          <cell r="AR1171">
            <v>0</v>
          </cell>
          <cell r="AV1171">
            <v>0</v>
          </cell>
          <cell r="AZ1171">
            <v>0</v>
          </cell>
        </row>
        <row r="1172">
          <cell r="Q1172">
            <v>-6316470.7400000002</v>
          </cell>
          <cell r="S1172">
            <v>-4513396.6399999997</v>
          </cell>
          <cell r="U1172">
            <v>-2937018.87</v>
          </cell>
          <cell r="V1172">
            <v>-2893206.74</v>
          </cell>
          <cell r="W1172">
            <v>-2955878.42</v>
          </cell>
          <cell r="Y1172">
            <v>-4260604.33</v>
          </cell>
          <cell r="AA1172">
            <v>-4158263.43</v>
          </cell>
          <cell r="AJ1172">
            <v>-4935252.5949999997</v>
          </cell>
          <cell r="AN1172">
            <v>-4893003.2666666666</v>
          </cell>
          <cell r="AR1172">
            <v>-4509050.0600000005</v>
          </cell>
          <cell r="AV1172">
            <v>-4375177.8249999993</v>
          </cell>
          <cell r="AZ1172">
            <v>-4706313.1629166659</v>
          </cell>
        </row>
        <row r="1173">
          <cell r="Q1173">
            <v>-33451687.66</v>
          </cell>
          <cell r="S1173">
            <v>-21894125.699999999</v>
          </cell>
          <cell r="U1173">
            <v>-9389432.8000000007</v>
          </cell>
          <cell r="V1173">
            <v>-6157892.04</v>
          </cell>
          <cell r="W1173">
            <v>-9938898.2300000004</v>
          </cell>
          <cell r="Y1173">
            <v>-20212640.84</v>
          </cell>
          <cell r="AA1173">
            <v>-23197919.59</v>
          </cell>
          <cell r="AJ1173">
            <v>-22477661.037916664</v>
          </cell>
          <cell r="AN1173">
            <v>-21204466.059999999</v>
          </cell>
          <cell r="AR1173">
            <v>-18646858.580000002</v>
          </cell>
          <cell r="AV1173">
            <v>-19046838.970833335</v>
          </cell>
          <cell r="AZ1173">
            <v>-19670180.019583333</v>
          </cell>
        </row>
        <row r="1174">
          <cell r="Q1174">
            <v>-231569.79</v>
          </cell>
          <cell r="S1174">
            <v>-876214.4</v>
          </cell>
          <cell r="U1174">
            <v>-1084122.42</v>
          </cell>
          <cell r="V1174">
            <v>-1118147.3</v>
          </cell>
          <cell r="W1174">
            <v>-942812.21</v>
          </cell>
          <cell r="Y1174">
            <v>-1057783.01</v>
          </cell>
          <cell r="AA1174">
            <v>-1025391.3</v>
          </cell>
          <cell r="AJ1174">
            <v>-800193.72708333319</v>
          </cell>
          <cell r="AN1174">
            <v>-803823.76041666663</v>
          </cell>
          <cell r="AR1174">
            <v>-851580.17500000016</v>
          </cell>
          <cell r="AV1174">
            <v>-911015.12541666662</v>
          </cell>
          <cell r="AZ1174">
            <v>-930219.83499999996</v>
          </cell>
        </row>
        <row r="1175">
          <cell r="Q1175">
            <v>-5917295</v>
          </cell>
          <cell r="S1175">
            <v>-6397676</v>
          </cell>
          <cell r="U1175">
            <v>-6299338</v>
          </cell>
          <cell r="V1175">
            <v>-6360887</v>
          </cell>
          <cell r="W1175">
            <v>-6476435</v>
          </cell>
          <cell r="Y1175">
            <v>-6497165</v>
          </cell>
          <cell r="AA1175">
            <v>-7510588</v>
          </cell>
          <cell r="AJ1175">
            <v>-5725441.25</v>
          </cell>
          <cell r="AN1175">
            <v>-5893216.166666667</v>
          </cell>
          <cell r="AR1175">
            <v>-6158038.75</v>
          </cell>
          <cell r="AV1175">
            <v>-6455539.541666667</v>
          </cell>
          <cell r="AZ1175">
            <v>-6561725.541666667</v>
          </cell>
        </row>
        <row r="1176">
          <cell r="Q1176">
            <v>-8191105.9100000001</v>
          </cell>
          <cell r="S1176">
            <v>-8075635.8499999996</v>
          </cell>
          <cell r="U1176">
            <v>-8706694.1699999999</v>
          </cell>
          <cell r="V1176">
            <v>-8843266.8599999994</v>
          </cell>
          <cell r="W1176">
            <v>-9037855.6099999994</v>
          </cell>
          <cell r="Y1176">
            <v>-7779415.3700000001</v>
          </cell>
          <cell r="AA1176">
            <v>-8377937.3899999997</v>
          </cell>
          <cell r="AJ1176">
            <v>-8213412.3816666668</v>
          </cell>
          <cell r="AN1176">
            <v>-8529082.4454166684</v>
          </cell>
          <cell r="AR1176">
            <v>-8461585.4704166669</v>
          </cell>
          <cell r="AV1176">
            <v>-8367748.0958333341</v>
          </cell>
          <cell r="AZ1176">
            <v>-8244012.2695833333</v>
          </cell>
        </row>
        <row r="1177">
          <cell r="Q1177">
            <v>-52126095.729999997</v>
          </cell>
          <cell r="S1177">
            <v>-37128347.829999998</v>
          </cell>
          <cell r="U1177">
            <v>-31691769.760000002</v>
          </cell>
          <cell r="V1177">
            <v>-27011176.449999999</v>
          </cell>
          <cell r="W1177">
            <v>-20472222.77</v>
          </cell>
          <cell r="Y1177">
            <v>-13667004.27</v>
          </cell>
          <cell r="AA1177">
            <v>-40669556.310000002</v>
          </cell>
          <cell r="AJ1177">
            <v>-34787174.282500006</v>
          </cell>
          <cell r="AN1177">
            <v>-33724295.006250001</v>
          </cell>
          <cell r="AR1177">
            <v>-32545704.018749997</v>
          </cell>
          <cell r="AV1177">
            <v>-32198818.383750003</v>
          </cell>
          <cell r="AZ1177">
            <v>-32630307.172499999</v>
          </cell>
        </row>
        <row r="1178">
          <cell r="Q1178">
            <v>-3018519.69</v>
          </cell>
          <cell r="S1178">
            <v>0</v>
          </cell>
          <cell r="U1178">
            <v>430.27</v>
          </cell>
          <cell r="V1178">
            <v>-3442035.2</v>
          </cell>
          <cell r="W1178">
            <v>0</v>
          </cell>
          <cell r="Y1178">
            <v>-32.6</v>
          </cell>
          <cell r="AA1178">
            <v>0</v>
          </cell>
          <cell r="AJ1178">
            <v>-1109342.9620833334</v>
          </cell>
          <cell r="AN1178">
            <v>-927101.57541666657</v>
          </cell>
          <cell r="AR1178">
            <v>-772518.76208333333</v>
          </cell>
          <cell r="AV1178">
            <v>-679424.98958333337</v>
          </cell>
          <cell r="AZ1178">
            <v>-553284.22624999995</v>
          </cell>
        </row>
        <row r="1179">
          <cell r="Q1179">
            <v>-18857163.129999999</v>
          </cell>
          <cell r="S1179">
            <v>-15107434.619999999</v>
          </cell>
          <cell r="U1179">
            <v>-12223100.99</v>
          </cell>
          <cell r="V1179">
            <v>-6678704.2699999996</v>
          </cell>
          <cell r="W1179">
            <v>-11794828.460000001</v>
          </cell>
          <cell r="Y1179">
            <v>-15549833.859999999</v>
          </cell>
          <cell r="AA1179">
            <v>-19287586.41</v>
          </cell>
          <cell r="AJ1179">
            <v>-15825496.972083336</v>
          </cell>
          <cell r="AN1179">
            <v>-15081632.027083332</v>
          </cell>
          <cell r="AR1179">
            <v>-14573935.250416666</v>
          </cell>
          <cell r="AV1179">
            <v>-14672833.913333334</v>
          </cell>
          <cell r="AZ1179">
            <v>-14817723.545833334</v>
          </cell>
        </row>
        <row r="1180">
          <cell r="Q1180">
            <v>-2562397.4</v>
          </cell>
          <cell r="S1180">
            <v>-1920748.62</v>
          </cell>
          <cell r="U1180">
            <v>-1518949.85</v>
          </cell>
          <cell r="V1180">
            <v>-1605521.66</v>
          </cell>
          <cell r="W1180">
            <v>-1708712.33</v>
          </cell>
          <cell r="Y1180">
            <v>-2326345.17</v>
          </cell>
          <cell r="AA1180">
            <v>-2075921.69</v>
          </cell>
          <cell r="AJ1180">
            <v>-2016008.5304166668</v>
          </cell>
          <cell r="AN1180">
            <v>-2063271.3041666665</v>
          </cell>
          <cell r="AR1180">
            <v>-2050889.4929166667</v>
          </cell>
          <cell r="AV1180">
            <v>-2060871.0383333333</v>
          </cell>
          <cell r="AZ1180">
            <v>-2296908.82375</v>
          </cell>
        </row>
        <row r="1181">
          <cell r="Q1181">
            <v>0</v>
          </cell>
          <cell r="S1181">
            <v>0</v>
          </cell>
          <cell r="U1181">
            <v>0</v>
          </cell>
          <cell r="V1181">
            <v>0</v>
          </cell>
          <cell r="W1181">
            <v>0</v>
          </cell>
          <cell r="Y1181">
            <v>0</v>
          </cell>
          <cell r="AA1181">
            <v>0</v>
          </cell>
          <cell r="AJ1181">
            <v>0</v>
          </cell>
          <cell r="AN1181">
            <v>0</v>
          </cell>
          <cell r="AR1181">
            <v>0</v>
          </cell>
          <cell r="AV1181">
            <v>0</v>
          </cell>
          <cell r="AZ1181">
            <v>0</v>
          </cell>
        </row>
        <row r="1182">
          <cell r="Q1182">
            <v>-37759.370000000003</v>
          </cell>
          <cell r="S1182">
            <v>-37445.379999999997</v>
          </cell>
          <cell r="U1182">
            <v>-37445.379999999997</v>
          </cell>
          <cell r="V1182">
            <v>-37445.379999999997</v>
          </cell>
          <cell r="W1182">
            <v>-37445.379999999997</v>
          </cell>
          <cell r="Y1182">
            <v>-37445.379999999997</v>
          </cell>
          <cell r="AA1182">
            <v>-37445.379999999997</v>
          </cell>
          <cell r="AJ1182">
            <v>-37630.089999999997</v>
          </cell>
          <cell r="AN1182">
            <v>-37693.955416666671</v>
          </cell>
          <cell r="AR1182">
            <v>-37589.292083333334</v>
          </cell>
          <cell r="AV1182">
            <v>-37484.628750000003</v>
          </cell>
          <cell r="AZ1182">
            <v>-26523.810833333333</v>
          </cell>
        </row>
        <row r="1183">
          <cell r="Q1183">
            <v>0</v>
          </cell>
          <cell r="S1183">
            <v>0</v>
          </cell>
          <cell r="U1183">
            <v>-593910</v>
          </cell>
          <cell r="V1183">
            <v>-661509</v>
          </cell>
          <cell r="W1183">
            <v>-584175</v>
          </cell>
          <cell r="Y1183">
            <v>-663493</v>
          </cell>
          <cell r="AA1183">
            <v>-671398</v>
          </cell>
          <cell r="AJ1183">
            <v>0</v>
          </cell>
          <cell r="AN1183">
            <v>-24746.25</v>
          </cell>
          <cell r="AR1183">
            <v>-236396.29166666666</v>
          </cell>
          <cell r="AV1183">
            <v>-588023.58708333329</v>
          </cell>
          <cell r="AZ1183">
            <v>-707882.47583333345</v>
          </cell>
        </row>
        <row r="1184">
          <cell r="Q1184">
            <v>-91265.35</v>
          </cell>
          <cell r="S1184">
            <v>-51175.98</v>
          </cell>
          <cell r="U1184">
            <v>-46332.15</v>
          </cell>
          <cell r="V1184">
            <v>-89737.84</v>
          </cell>
          <cell r="W1184">
            <v>-41118.199999999997</v>
          </cell>
          <cell r="Y1184">
            <v>-43627.91</v>
          </cell>
          <cell r="AA1184">
            <v>-48543.24</v>
          </cell>
          <cell r="AJ1184">
            <v>-58151.366249999992</v>
          </cell>
          <cell r="AN1184">
            <v>-62795.814583333318</v>
          </cell>
          <cell r="AR1184">
            <v>-59306.248749999999</v>
          </cell>
          <cell r="AV1184">
            <v>-56720.169166666659</v>
          </cell>
          <cell r="AZ1184">
            <v>-52653.670416666668</v>
          </cell>
        </row>
        <row r="1185">
          <cell r="Q1185">
            <v>-282449.75</v>
          </cell>
          <cell r="S1185">
            <v>-433170.68</v>
          </cell>
          <cell r="U1185">
            <v>-239263.4</v>
          </cell>
          <cell r="V1185">
            <v>-343978.32</v>
          </cell>
          <cell r="W1185">
            <v>-369105.89</v>
          </cell>
          <cell r="Y1185">
            <v>-262207.06</v>
          </cell>
          <cell r="AA1185">
            <v>-283306.26</v>
          </cell>
          <cell r="AJ1185">
            <v>-344673.43458333338</v>
          </cell>
          <cell r="AN1185">
            <v>-321923.12666666665</v>
          </cell>
          <cell r="AR1185">
            <v>-316832.69</v>
          </cell>
          <cell r="AV1185">
            <v>-325291.1454166667</v>
          </cell>
          <cell r="AZ1185">
            <v>-333257.43708333332</v>
          </cell>
        </row>
        <row r="1186">
          <cell r="Q1186">
            <v>0</v>
          </cell>
          <cell r="S1186">
            <v>0</v>
          </cell>
          <cell r="U1186">
            <v>0</v>
          </cell>
          <cell r="V1186">
            <v>0</v>
          </cell>
          <cell r="W1186">
            <v>0</v>
          </cell>
          <cell r="Y1186">
            <v>0</v>
          </cell>
          <cell r="AA1186">
            <v>0</v>
          </cell>
          <cell r="AJ1186">
            <v>0</v>
          </cell>
          <cell r="AN1186">
            <v>0</v>
          </cell>
          <cell r="AR1186">
            <v>0</v>
          </cell>
          <cell r="AV1186">
            <v>-0.25</v>
          </cell>
          <cell r="AZ1186">
            <v>-0.5</v>
          </cell>
        </row>
        <row r="1187">
          <cell r="Q1187">
            <v>-711271.16</v>
          </cell>
          <cell r="S1187">
            <v>-197681.95</v>
          </cell>
          <cell r="U1187">
            <v>-404117.57</v>
          </cell>
          <cell r="V1187">
            <v>-1034151.75</v>
          </cell>
          <cell r="W1187">
            <v>-1106555.98</v>
          </cell>
          <cell r="Y1187">
            <v>-951374.82</v>
          </cell>
          <cell r="AA1187">
            <v>-543720.54</v>
          </cell>
          <cell r="AJ1187">
            <v>-630116.44499999995</v>
          </cell>
          <cell r="AN1187">
            <v>-588666.86208333331</v>
          </cell>
          <cell r="AR1187">
            <v>-676346.81083333329</v>
          </cell>
          <cell r="AV1187">
            <v>-718123.27166666661</v>
          </cell>
          <cell r="AZ1187">
            <v>-673805.11291666667</v>
          </cell>
        </row>
        <row r="1188">
          <cell r="Q1188">
            <v>0</v>
          </cell>
          <cell r="S1188">
            <v>0</v>
          </cell>
          <cell r="U1188">
            <v>0</v>
          </cell>
          <cell r="V1188">
            <v>0</v>
          </cell>
          <cell r="W1188">
            <v>0</v>
          </cell>
          <cell r="Y1188">
            <v>0</v>
          </cell>
          <cell r="AA1188">
            <v>0</v>
          </cell>
          <cell r="AJ1188">
            <v>0</v>
          </cell>
          <cell r="AN1188">
            <v>0</v>
          </cell>
          <cell r="AR1188">
            <v>0</v>
          </cell>
          <cell r="AV1188">
            <v>0</v>
          </cell>
          <cell r="AZ1188">
            <v>0</v>
          </cell>
        </row>
        <row r="1189">
          <cell r="Q1189">
            <v>0</v>
          </cell>
          <cell r="S1189">
            <v>0</v>
          </cell>
          <cell r="U1189">
            <v>0</v>
          </cell>
          <cell r="V1189">
            <v>0</v>
          </cell>
          <cell r="W1189">
            <v>0</v>
          </cell>
          <cell r="Y1189">
            <v>0</v>
          </cell>
          <cell r="AA1189">
            <v>0</v>
          </cell>
          <cell r="AJ1189">
            <v>0</v>
          </cell>
          <cell r="AN1189">
            <v>0</v>
          </cell>
          <cell r="AR1189">
            <v>0</v>
          </cell>
          <cell r="AV1189">
            <v>0</v>
          </cell>
          <cell r="AZ1189">
            <v>0</v>
          </cell>
        </row>
        <row r="1190">
          <cell r="Q1190">
            <v>-16679.419999999998</v>
          </cell>
          <cell r="S1190">
            <v>-250.11</v>
          </cell>
          <cell r="U1190">
            <v>0</v>
          </cell>
          <cell r="V1190">
            <v>-12722.86</v>
          </cell>
          <cell r="W1190">
            <v>-23388.080000000002</v>
          </cell>
          <cell r="Y1190">
            <v>-38.090000000000003</v>
          </cell>
          <cell r="AA1190">
            <v>0</v>
          </cell>
          <cell r="AJ1190">
            <v>-6220.8058333333329</v>
          </cell>
          <cell r="AN1190">
            <v>-4820.8791666666666</v>
          </cell>
          <cell r="AR1190">
            <v>-5749.9779166666676</v>
          </cell>
          <cell r="AV1190">
            <v>-5149.4158333333335</v>
          </cell>
          <cell r="AZ1190">
            <v>-4841.9116666666669</v>
          </cell>
        </row>
        <row r="1191">
          <cell r="Q1191">
            <v>0</v>
          </cell>
          <cell r="S1191">
            <v>0</v>
          </cell>
          <cell r="U1191">
            <v>0</v>
          </cell>
          <cell r="V1191">
            <v>0</v>
          </cell>
          <cell r="W1191">
            <v>0</v>
          </cell>
          <cell r="Y1191">
            <v>0</v>
          </cell>
          <cell r="AA1191">
            <v>0</v>
          </cell>
          <cell r="AJ1191">
            <v>-8189.9970833333346</v>
          </cell>
          <cell r="AN1191">
            <v>-4360.3712500000001</v>
          </cell>
          <cell r="AR1191">
            <v>-498.20791666666668</v>
          </cell>
          <cell r="AV1191">
            <v>0</v>
          </cell>
          <cell r="AZ1191">
            <v>0</v>
          </cell>
        </row>
        <row r="1192">
          <cell r="Q1192">
            <v>0</v>
          </cell>
          <cell r="S1192">
            <v>0</v>
          </cell>
          <cell r="U1192">
            <v>21186</v>
          </cell>
          <cell r="V1192">
            <v>0</v>
          </cell>
          <cell r="W1192">
            <v>0</v>
          </cell>
          <cell r="Y1192">
            <v>0</v>
          </cell>
          <cell r="AA1192">
            <v>0</v>
          </cell>
          <cell r="AJ1192">
            <v>0</v>
          </cell>
          <cell r="AN1192">
            <v>882.75</v>
          </cell>
          <cell r="AR1192">
            <v>1765.5</v>
          </cell>
          <cell r="AV1192">
            <v>1765.5</v>
          </cell>
          <cell r="AZ1192">
            <v>882.75</v>
          </cell>
        </row>
        <row r="1193">
          <cell r="Q1193">
            <v>0</v>
          </cell>
          <cell r="S1193">
            <v>0</v>
          </cell>
          <cell r="U1193">
            <v>0</v>
          </cell>
          <cell r="V1193">
            <v>0</v>
          </cell>
          <cell r="W1193">
            <v>0</v>
          </cell>
          <cell r="Y1193">
            <v>0</v>
          </cell>
          <cell r="AA1193">
            <v>0</v>
          </cell>
          <cell r="AJ1193">
            <v>0</v>
          </cell>
          <cell r="AN1193">
            <v>0</v>
          </cell>
          <cell r="AR1193">
            <v>0</v>
          </cell>
          <cell r="AV1193">
            <v>0</v>
          </cell>
          <cell r="AZ1193">
            <v>0</v>
          </cell>
        </row>
        <row r="1194">
          <cell r="Q1194">
            <v>-9967120</v>
          </cell>
          <cell r="S1194">
            <v>-9273694.8200000003</v>
          </cell>
          <cell r="U1194">
            <v>-9667142.1999999993</v>
          </cell>
          <cell r="V1194">
            <v>-9910414.1699999999</v>
          </cell>
          <cell r="W1194">
            <v>-8802206.6099999994</v>
          </cell>
          <cell r="Y1194">
            <v>-9119672.4100000001</v>
          </cell>
          <cell r="AA1194">
            <v>-9235749.0199999996</v>
          </cell>
          <cell r="AJ1194">
            <v>-9229402.8145833332</v>
          </cell>
          <cell r="AN1194">
            <v>-9386309.5666666664</v>
          </cell>
          <cell r="AR1194">
            <v>-9475993.0791666675</v>
          </cell>
          <cell r="AV1194">
            <v>-9358794.6695833318</v>
          </cell>
          <cell r="AZ1194">
            <v>-9569417.0291666668</v>
          </cell>
        </row>
        <row r="1195">
          <cell r="Q1195">
            <v>-781000</v>
          </cell>
          <cell r="S1195">
            <v>-781000</v>
          </cell>
          <cell r="U1195">
            <v>-781000</v>
          </cell>
          <cell r="V1195">
            <v>-781000</v>
          </cell>
          <cell r="W1195">
            <v>-781000</v>
          </cell>
          <cell r="Y1195">
            <v>-781000</v>
          </cell>
          <cell r="AA1195">
            <v>-781000</v>
          </cell>
          <cell r="AJ1195">
            <v>-587770.25</v>
          </cell>
          <cell r="AN1195">
            <v>-781000</v>
          </cell>
          <cell r="AR1195">
            <v>-781000</v>
          </cell>
          <cell r="AV1195">
            <v>-781000</v>
          </cell>
          <cell r="AZ1195">
            <v>-781000</v>
          </cell>
        </row>
        <row r="1196">
          <cell r="Q1196">
            <v>-84404066.700000003</v>
          </cell>
          <cell r="S1196">
            <v>-48046971.759999998</v>
          </cell>
          <cell r="U1196">
            <v>-34796762.18</v>
          </cell>
          <cell r="V1196">
            <v>-28355676.48</v>
          </cell>
          <cell r="W1196">
            <v>-26914454.66</v>
          </cell>
          <cell r="Y1196">
            <v>-32305510.809999999</v>
          </cell>
          <cell r="AA1196">
            <v>-38483013.869999997</v>
          </cell>
          <cell r="AJ1196">
            <v>-81579689.648750007</v>
          </cell>
          <cell r="AN1196">
            <v>-69183702.806666657</v>
          </cell>
          <cell r="AR1196">
            <v>-48671418.905416667</v>
          </cell>
          <cell r="AV1196">
            <v>-43081308.452499993</v>
          </cell>
          <cell r="AZ1196">
            <v>-45425589.578749992</v>
          </cell>
        </row>
        <row r="1197">
          <cell r="Q1197">
            <v>0</v>
          </cell>
          <cell r="S1197">
            <v>0</v>
          </cell>
          <cell r="U1197">
            <v>0</v>
          </cell>
          <cell r="V1197">
            <v>0</v>
          </cell>
          <cell r="W1197">
            <v>0</v>
          </cell>
          <cell r="Y1197">
            <v>0</v>
          </cell>
          <cell r="AA1197">
            <v>0</v>
          </cell>
          <cell r="AJ1197">
            <v>0</v>
          </cell>
          <cell r="AN1197">
            <v>0</v>
          </cell>
          <cell r="AR1197">
            <v>0</v>
          </cell>
          <cell r="AV1197">
            <v>0</v>
          </cell>
          <cell r="AZ1197">
            <v>0</v>
          </cell>
        </row>
        <row r="1198">
          <cell r="Q1198">
            <v>-448562.49</v>
          </cell>
          <cell r="S1198">
            <v>-46701.27</v>
          </cell>
          <cell r="U1198">
            <v>-44488.14</v>
          </cell>
          <cell r="V1198">
            <v>-40255.01</v>
          </cell>
          <cell r="W1198">
            <v>-40255.01</v>
          </cell>
          <cell r="Y1198">
            <v>-40255.01</v>
          </cell>
          <cell r="AA1198">
            <v>-40255.01</v>
          </cell>
          <cell r="AJ1198">
            <v>-18690.103749999998</v>
          </cell>
          <cell r="AN1198">
            <v>-52728.773333333324</v>
          </cell>
          <cell r="AR1198">
            <v>-66323.490416666667</v>
          </cell>
          <cell r="AV1198">
            <v>-59904.357500000006</v>
          </cell>
          <cell r="AZ1198">
            <v>-27455.466666666664</v>
          </cell>
        </row>
        <row r="1199">
          <cell r="Q1199">
            <v>-61558.64</v>
          </cell>
          <cell r="S1199">
            <v>0</v>
          </cell>
          <cell r="U1199">
            <v>0</v>
          </cell>
          <cell r="V1199">
            <v>0</v>
          </cell>
          <cell r="W1199">
            <v>0</v>
          </cell>
          <cell r="Y1199">
            <v>0</v>
          </cell>
          <cell r="AA1199">
            <v>0</v>
          </cell>
          <cell r="AJ1199">
            <v>-2564.9433333333332</v>
          </cell>
          <cell r="AN1199">
            <v>-5129.8866666666663</v>
          </cell>
          <cell r="AR1199">
            <v>-5129.8866666666663</v>
          </cell>
          <cell r="AV1199">
            <v>-2564.9433333333332</v>
          </cell>
          <cell r="AZ1199">
            <v>0</v>
          </cell>
        </row>
        <row r="1200">
          <cell r="Q1200">
            <v>-1945133.78</v>
          </cell>
          <cell r="S1200">
            <v>-832230.19</v>
          </cell>
          <cell r="U1200">
            <v>-832230.19</v>
          </cell>
          <cell r="V1200">
            <v>0</v>
          </cell>
          <cell r="W1200">
            <v>0</v>
          </cell>
          <cell r="Y1200">
            <v>0</v>
          </cell>
          <cell r="AA1200">
            <v>0</v>
          </cell>
          <cell r="AJ1200">
            <v>-81047.24083333333</v>
          </cell>
          <cell r="AN1200">
            <v>-404828.2870833333</v>
          </cell>
          <cell r="AR1200">
            <v>-439504.54499999993</v>
          </cell>
          <cell r="AV1200">
            <v>-358457.30416666664</v>
          </cell>
          <cell r="AZ1200">
            <v>-34676.257916666662</v>
          </cell>
        </row>
        <row r="1201">
          <cell r="Q1201">
            <v>-390</v>
          </cell>
          <cell r="S1201">
            <v>110.66</v>
          </cell>
          <cell r="U1201">
            <v>0</v>
          </cell>
          <cell r="V1201">
            <v>-240.86</v>
          </cell>
          <cell r="W1201">
            <v>-271.29000000000002</v>
          </cell>
          <cell r="Y1201">
            <v>0</v>
          </cell>
          <cell r="AA1201">
            <v>0</v>
          </cell>
          <cell r="AJ1201">
            <v>-171.74125000000001</v>
          </cell>
          <cell r="AN1201">
            <v>-134.18458333333334</v>
          </cell>
          <cell r="AR1201">
            <v>-102.15750000000001</v>
          </cell>
          <cell r="AV1201">
            <v>-83.711666666666659</v>
          </cell>
          <cell r="AZ1201">
            <v>-75.438333333333347</v>
          </cell>
        </row>
        <row r="1202">
          <cell r="Q1202">
            <v>-4868.8999999999996</v>
          </cell>
          <cell r="S1202">
            <v>0</v>
          </cell>
          <cell r="U1202">
            <v>0</v>
          </cell>
          <cell r="V1202">
            <v>-4174.91</v>
          </cell>
          <cell r="W1202">
            <v>-4163.91</v>
          </cell>
          <cell r="Y1202">
            <v>0</v>
          </cell>
          <cell r="AA1202">
            <v>0</v>
          </cell>
          <cell r="AJ1202">
            <v>-2734.9787500000002</v>
          </cell>
          <cell r="AN1202">
            <v>-1757.6125</v>
          </cell>
          <cell r="AR1202">
            <v>-1488.9458333333332</v>
          </cell>
          <cell r="AV1202">
            <v>-1267.0133333333333</v>
          </cell>
          <cell r="AZ1202">
            <v>-1065.8091666666667</v>
          </cell>
        </row>
        <row r="1203">
          <cell r="Q1203">
            <v>0</v>
          </cell>
          <cell r="S1203">
            <v>0</v>
          </cell>
          <cell r="U1203">
            <v>0</v>
          </cell>
          <cell r="V1203">
            <v>0</v>
          </cell>
          <cell r="W1203">
            <v>0</v>
          </cell>
          <cell r="Y1203">
            <v>0</v>
          </cell>
          <cell r="AA1203">
            <v>0</v>
          </cell>
          <cell r="AJ1203">
            <v>0</v>
          </cell>
          <cell r="AN1203">
            <v>0</v>
          </cell>
          <cell r="AR1203">
            <v>0</v>
          </cell>
          <cell r="AV1203">
            <v>0</v>
          </cell>
          <cell r="AZ1203">
            <v>0</v>
          </cell>
        </row>
        <row r="1204">
          <cell r="Q1204">
            <v>0</v>
          </cell>
          <cell r="S1204">
            <v>0</v>
          </cell>
          <cell r="U1204">
            <v>0</v>
          </cell>
          <cell r="V1204">
            <v>0</v>
          </cell>
          <cell r="W1204">
            <v>0</v>
          </cell>
          <cell r="Y1204">
            <v>0</v>
          </cell>
          <cell r="AA1204">
            <v>0</v>
          </cell>
          <cell r="AJ1204">
            <v>0</v>
          </cell>
          <cell r="AN1204">
            <v>0</v>
          </cell>
          <cell r="AR1204">
            <v>0</v>
          </cell>
          <cell r="AV1204">
            <v>0</v>
          </cell>
          <cell r="AZ1204">
            <v>0</v>
          </cell>
        </row>
        <row r="1205">
          <cell r="Q1205">
            <v>0</v>
          </cell>
          <cell r="S1205">
            <v>0</v>
          </cell>
          <cell r="U1205">
            <v>0</v>
          </cell>
          <cell r="V1205">
            <v>0</v>
          </cell>
          <cell r="W1205">
            <v>0</v>
          </cell>
          <cell r="Y1205">
            <v>0</v>
          </cell>
          <cell r="AA1205">
            <v>0</v>
          </cell>
          <cell r="AJ1205">
            <v>-33540.833333333336</v>
          </cell>
          <cell r="AN1205">
            <v>0</v>
          </cell>
          <cell r="AR1205">
            <v>0</v>
          </cell>
          <cell r="AV1205">
            <v>0</v>
          </cell>
          <cell r="AZ1205">
            <v>0</v>
          </cell>
        </row>
        <row r="1206">
          <cell r="Q1206">
            <v>0</v>
          </cell>
          <cell r="S1206">
            <v>0</v>
          </cell>
          <cell r="U1206">
            <v>0</v>
          </cell>
          <cell r="V1206">
            <v>0</v>
          </cell>
          <cell r="W1206">
            <v>0</v>
          </cell>
          <cell r="Y1206">
            <v>0</v>
          </cell>
          <cell r="AA1206">
            <v>0</v>
          </cell>
          <cell r="AJ1206">
            <v>0</v>
          </cell>
          <cell r="AN1206">
            <v>0</v>
          </cell>
          <cell r="AR1206">
            <v>0</v>
          </cell>
          <cell r="AV1206">
            <v>0</v>
          </cell>
          <cell r="AZ1206">
            <v>0</v>
          </cell>
        </row>
        <row r="1207">
          <cell r="Q1207">
            <v>-928471</v>
          </cell>
          <cell r="S1207">
            <v>-919009.69</v>
          </cell>
          <cell r="U1207">
            <v>-365999.94</v>
          </cell>
          <cell r="V1207">
            <v>-365999.94</v>
          </cell>
          <cell r="W1207">
            <v>-365999.94</v>
          </cell>
          <cell r="Y1207">
            <v>-365999.94</v>
          </cell>
          <cell r="AA1207">
            <v>-365999.94</v>
          </cell>
          <cell r="AJ1207">
            <v>-859962.375</v>
          </cell>
          <cell r="AN1207">
            <v>-765022.04999999993</v>
          </cell>
          <cell r="AR1207">
            <v>-646447.03000000014</v>
          </cell>
          <cell r="AV1207">
            <v>-482392.96833333332</v>
          </cell>
          <cell r="AZ1207">
            <v>-365999.94</v>
          </cell>
        </row>
        <row r="1208">
          <cell r="Q1208">
            <v>0</v>
          </cell>
          <cell r="S1208">
            <v>0</v>
          </cell>
          <cell r="U1208">
            <v>0</v>
          </cell>
          <cell r="V1208">
            <v>0</v>
          </cell>
          <cell r="W1208">
            <v>0</v>
          </cell>
          <cell r="Y1208">
            <v>0</v>
          </cell>
          <cell r="AA1208">
            <v>0</v>
          </cell>
          <cell r="AJ1208">
            <v>0</v>
          </cell>
          <cell r="AN1208">
            <v>0</v>
          </cell>
          <cell r="AR1208">
            <v>0</v>
          </cell>
          <cell r="AV1208">
            <v>0</v>
          </cell>
          <cell r="AZ1208">
            <v>0</v>
          </cell>
        </row>
        <row r="1209">
          <cell r="Q1209">
            <v>0</v>
          </cell>
          <cell r="S1209">
            <v>0</v>
          </cell>
          <cell r="U1209">
            <v>0</v>
          </cell>
          <cell r="V1209">
            <v>0</v>
          </cell>
          <cell r="W1209">
            <v>0</v>
          </cell>
          <cell r="Y1209">
            <v>0</v>
          </cell>
          <cell r="AA1209">
            <v>0</v>
          </cell>
          <cell r="AJ1209">
            <v>0</v>
          </cell>
          <cell r="AN1209">
            <v>0</v>
          </cell>
          <cell r="AR1209">
            <v>0</v>
          </cell>
          <cell r="AV1209">
            <v>0</v>
          </cell>
          <cell r="AZ1209">
            <v>0</v>
          </cell>
        </row>
        <row r="1210">
          <cell r="Q1210">
            <v>-9266734.0099999998</v>
          </cell>
          <cell r="S1210">
            <v>-8811617.6300000008</v>
          </cell>
          <cell r="U1210">
            <v>-10695226.029999999</v>
          </cell>
          <cell r="V1210">
            <v>-11154543.880000001</v>
          </cell>
          <cell r="W1210">
            <v>-10463837.34</v>
          </cell>
          <cell r="Y1210">
            <v>-9682253.9199999999</v>
          </cell>
          <cell r="AA1210">
            <v>-11007189.58</v>
          </cell>
          <cell r="AJ1210">
            <v>-8119877.9887499996</v>
          </cell>
          <cell r="AN1210">
            <v>-8858932.8983333334</v>
          </cell>
          <cell r="AR1210">
            <v>-9462708.9279166665</v>
          </cell>
          <cell r="AV1210">
            <v>-9913614.4587500002</v>
          </cell>
          <cell r="AZ1210">
            <v>-10003417.957083333</v>
          </cell>
        </row>
        <row r="1211">
          <cell r="Q1211">
            <v>-17587000.539999999</v>
          </cell>
          <cell r="S1211">
            <v>-18941932.789999999</v>
          </cell>
          <cell r="U1211">
            <v>-2910350.09</v>
          </cell>
          <cell r="V1211">
            <v>-3671100.1</v>
          </cell>
          <cell r="W1211">
            <v>-5191440.7</v>
          </cell>
          <cell r="Y1211">
            <v>-6683184.0300000003</v>
          </cell>
          <cell r="AA1211">
            <v>-9802887.0600000005</v>
          </cell>
          <cell r="AJ1211">
            <v>-12378105.711666666</v>
          </cell>
          <cell r="AN1211">
            <v>-12594632.802499996</v>
          </cell>
          <cell r="AR1211">
            <v>-11000802.322916666</v>
          </cell>
          <cell r="AV1211">
            <v>-8988056.6812500004</v>
          </cell>
          <cell r="AZ1211">
            <v>-7885065.2404166674</v>
          </cell>
        </row>
        <row r="1212">
          <cell r="Q1212">
            <v>-67426204.189999998</v>
          </cell>
          <cell r="S1212">
            <v>-54081058.539999999</v>
          </cell>
          <cell r="U1212">
            <v>-44061621</v>
          </cell>
          <cell r="V1212">
            <v>-45643562.700000003</v>
          </cell>
          <cell r="W1212">
            <v>-38816954.140000001</v>
          </cell>
          <cell r="Y1212">
            <v>-36882113.329999998</v>
          </cell>
          <cell r="AA1212">
            <v>-47582754.460000001</v>
          </cell>
          <cell r="AJ1212">
            <v>-35546664.664166659</v>
          </cell>
          <cell r="AN1212">
            <v>-38983051.1325</v>
          </cell>
          <cell r="AR1212">
            <v>-48154788.806249999</v>
          </cell>
          <cell r="AV1212">
            <v>-47249460.987916656</v>
          </cell>
          <cell r="AZ1212">
            <v>-44986519.522083335</v>
          </cell>
        </row>
        <row r="1213">
          <cell r="Q1213">
            <v>0</v>
          </cell>
          <cell r="S1213">
            <v>0</v>
          </cell>
          <cell r="U1213">
            <v>0</v>
          </cell>
          <cell r="V1213">
            <v>0</v>
          </cell>
          <cell r="W1213">
            <v>0</v>
          </cell>
          <cell r="Y1213">
            <v>0</v>
          </cell>
          <cell r="AA1213">
            <v>0</v>
          </cell>
          <cell r="AJ1213">
            <v>0</v>
          </cell>
          <cell r="AN1213">
            <v>0</v>
          </cell>
          <cell r="AR1213">
            <v>0</v>
          </cell>
          <cell r="AV1213">
            <v>0</v>
          </cell>
          <cell r="AZ1213">
            <v>0</v>
          </cell>
        </row>
        <row r="1214">
          <cell r="Q1214">
            <v>0</v>
          </cell>
          <cell r="S1214">
            <v>0</v>
          </cell>
          <cell r="U1214">
            <v>0</v>
          </cell>
          <cell r="V1214">
            <v>0</v>
          </cell>
          <cell r="W1214">
            <v>0</v>
          </cell>
          <cell r="Y1214">
            <v>0</v>
          </cell>
          <cell r="AA1214">
            <v>0</v>
          </cell>
          <cell r="AJ1214">
            <v>0</v>
          </cell>
          <cell r="AN1214">
            <v>0</v>
          </cell>
          <cell r="AR1214">
            <v>0</v>
          </cell>
          <cell r="AV1214">
            <v>0</v>
          </cell>
          <cell r="AZ1214">
            <v>0</v>
          </cell>
        </row>
        <row r="1215">
          <cell r="Q1215">
            <v>0</v>
          </cell>
          <cell r="S1215">
            <v>0</v>
          </cell>
          <cell r="U1215">
            <v>0</v>
          </cell>
          <cell r="V1215">
            <v>0</v>
          </cell>
          <cell r="W1215">
            <v>0</v>
          </cell>
          <cell r="Y1215">
            <v>0</v>
          </cell>
          <cell r="AA1215">
            <v>0</v>
          </cell>
          <cell r="AJ1215">
            <v>0</v>
          </cell>
          <cell r="AN1215">
            <v>0</v>
          </cell>
          <cell r="AR1215">
            <v>0</v>
          </cell>
          <cell r="AV1215">
            <v>0</v>
          </cell>
          <cell r="AZ1215">
            <v>0</v>
          </cell>
        </row>
        <row r="1216">
          <cell r="Q1216">
            <v>0</v>
          </cell>
          <cell r="S1216">
            <v>0</v>
          </cell>
          <cell r="U1216">
            <v>0</v>
          </cell>
          <cell r="V1216">
            <v>0</v>
          </cell>
          <cell r="W1216">
            <v>0</v>
          </cell>
          <cell r="Y1216">
            <v>0</v>
          </cell>
          <cell r="AA1216">
            <v>0</v>
          </cell>
          <cell r="AJ1216">
            <v>0</v>
          </cell>
          <cell r="AN1216">
            <v>0</v>
          </cell>
          <cell r="AR1216">
            <v>0</v>
          </cell>
          <cell r="AV1216">
            <v>0</v>
          </cell>
          <cell r="AZ1216">
            <v>0</v>
          </cell>
        </row>
        <row r="1217">
          <cell r="Q1217">
            <v>0</v>
          </cell>
          <cell r="S1217">
            <v>0</v>
          </cell>
          <cell r="U1217">
            <v>0</v>
          </cell>
          <cell r="V1217">
            <v>0</v>
          </cell>
          <cell r="W1217">
            <v>0</v>
          </cell>
          <cell r="Y1217">
            <v>0</v>
          </cell>
          <cell r="AA1217">
            <v>0</v>
          </cell>
          <cell r="AJ1217">
            <v>0</v>
          </cell>
          <cell r="AN1217">
            <v>0</v>
          </cell>
          <cell r="AR1217">
            <v>0</v>
          </cell>
          <cell r="AV1217">
            <v>0</v>
          </cell>
          <cell r="AZ1217">
            <v>0</v>
          </cell>
        </row>
        <row r="1218">
          <cell r="Q1218">
            <v>0</v>
          </cell>
          <cell r="S1218">
            <v>0</v>
          </cell>
          <cell r="U1218">
            <v>0</v>
          </cell>
          <cell r="V1218">
            <v>0</v>
          </cell>
          <cell r="W1218">
            <v>0</v>
          </cell>
          <cell r="Y1218">
            <v>0</v>
          </cell>
          <cell r="AA1218">
            <v>0</v>
          </cell>
          <cell r="AJ1218">
            <v>0</v>
          </cell>
          <cell r="AN1218">
            <v>0</v>
          </cell>
          <cell r="AR1218">
            <v>0</v>
          </cell>
          <cell r="AV1218">
            <v>0</v>
          </cell>
          <cell r="AZ1218">
            <v>0</v>
          </cell>
        </row>
        <row r="1219">
          <cell r="Q1219">
            <v>0</v>
          </cell>
          <cell r="S1219">
            <v>0</v>
          </cell>
          <cell r="U1219">
            <v>0</v>
          </cell>
          <cell r="V1219">
            <v>0</v>
          </cell>
          <cell r="W1219">
            <v>0</v>
          </cell>
          <cell r="Y1219">
            <v>0</v>
          </cell>
          <cell r="AA1219">
            <v>0</v>
          </cell>
          <cell r="AJ1219">
            <v>0</v>
          </cell>
          <cell r="AN1219">
            <v>0</v>
          </cell>
          <cell r="AR1219">
            <v>0</v>
          </cell>
          <cell r="AV1219">
            <v>0</v>
          </cell>
          <cell r="AZ1219">
            <v>0</v>
          </cell>
        </row>
        <row r="1220">
          <cell r="Q1220">
            <v>0</v>
          </cell>
          <cell r="S1220">
            <v>0</v>
          </cell>
          <cell r="U1220">
            <v>0</v>
          </cell>
          <cell r="V1220">
            <v>0</v>
          </cell>
          <cell r="W1220">
            <v>0</v>
          </cell>
          <cell r="Y1220">
            <v>0</v>
          </cell>
          <cell r="AA1220">
            <v>0</v>
          </cell>
          <cell r="AJ1220">
            <v>0</v>
          </cell>
          <cell r="AN1220">
            <v>0</v>
          </cell>
          <cell r="AR1220">
            <v>0</v>
          </cell>
          <cell r="AV1220">
            <v>0</v>
          </cell>
          <cell r="AZ1220">
            <v>0</v>
          </cell>
        </row>
        <row r="1221">
          <cell r="Q1221">
            <v>-4552623.4400000004</v>
          </cell>
          <cell r="S1221">
            <v>-4742380.04</v>
          </cell>
          <cell r="U1221">
            <v>-5383278.6600000001</v>
          </cell>
          <cell r="V1221">
            <v>-4123804.01</v>
          </cell>
          <cell r="W1221">
            <v>-4534105.16</v>
          </cell>
          <cell r="Y1221">
            <v>-5210938.2699999996</v>
          </cell>
          <cell r="AA1221">
            <v>-6015880.0999999996</v>
          </cell>
          <cell r="AJ1221">
            <v>-4425976.9316666666</v>
          </cell>
          <cell r="AN1221">
            <v>-4705091.3045833325</v>
          </cell>
          <cell r="AR1221">
            <v>-4809368.8737500003</v>
          </cell>
          <cell r="AV1221">
            <v>-5027265.6270833332</v>
          </cell>
          <cell r="AZ1221">
            <v>-5136838.7050000001</v>
          </cell>
        </row>
        <row r="1222">
          <cell r="Q1222">
            <v>-638561.87</v>
          </cell>
          <cell r="S1222">
            <v>-997841.49</v>
          </cell>
          <cell r="U1222">
            <v>-1899875.97</v>
          </cell>
          <cell r="V1222">
            <v>0</v>
          </cell>
          <cell r="W1222">
            <v>-378789.06</v>
          </cell>
          <cell r="Y1222">
            <v>-1487766.48</v>
          </cell>
          <cell r="AA1222">
            <v>-2623619.73</v>
          </cell>
          <cell r="AJ1222">
            <v>-1085034.1958333333</v>
          </cell>
          <cell r="AN1222">
            <v>-1187069.3025</v>
          </cell>
          <cell r="AR1222">
            <v>-1052150.0737500002</v>
          </cell>
          <cell r="AV1222">
            <v>-1143349.6933333334</v>
          </cell>
          <cell r="AZ1222">
            <v>-1255942.9629166666</v>
          </cell>
        </row>
        <row r="1223">
          <cell r="Q1223">
            <v>0</v>
          </cell>
          <cell r="S1223">
            <v>0</v>
          </cell>
          <cell r="U1223">
            <v>0</v>
          </cell>
          <cell r="V1223">
            <v>0</v>
          </cell>
          <cell r="W1223">
            <v>0</v>
          </cell>
          <cell r="Y1223">
            <v>0</v>
          </cell>
          <cell r="AA1223">
            <v>0</v>
          </cell>
          <cell r="AJ1223">
            <v>0</v>
          </cell>
          <cell r="AN1223">
            <v>0</v>
          </cell>
          <cell r="AR1223">
            <v>0</v>
          </cell>
          <cell r="AV1223">
            <v>0</v>
          </cell>
          <cell r="AZ1223">
            <v>0</v>
          </cell>
        </row>
        <row r="1224">
          <cell r="Q1224">
            <v>0</v>
          </cell>
          <cell r="S1224">
            <v>0</v>
          </cell>
          <cell r="U1224">
            <v>0</v>
          </cell>
          <cell r="V1224">
            <v>0</v>
          </cell>
          <cell r="W1224">
            <v>0</v>
          </cell>
          <cell r="Y1224">
            <v>0</v>
          </cell>
          <cell r="AA1224">
            <v>0</v>
          </cell>
          <cell r="AJ1224">
            <v>0</v>
          </cell>
          <cell r="AN1224">
            <v>0</v>
          </cell>
          <cell r="AR1224">
            <v>0</v>
          </cell>
          <cell r="AV1224">
            <v>-0.375</v>
          </cell>
          <cell r="AZ1224">
            <v>-0.75</v>
          </cell>
        </row>
        <row r="1225">
          <cell r="Q1225">
            <v>-150877.4</v>
          </cell>
          <cell r="S1225">
            <v>-85.32</v>
          </cell>
          <cell r="U1225">
            <v>-127.72</v>
          </cell>
          <cell r="V1225">
            <v>-140498.04</v>
          </cell>
          <cell r="W1225">
            <v>-141219.9</v>
          </cell>
          <cell r="Y1225">
            <v>3742.38</v>
          </cell>
          <cell r="AA1225">
            <v>1085.1400000000001</v>
          </cell>
          <cell r="AJ1225">
            <v>-36705.42833333333</v>
          </cell>
          <cell r="AN1225">
            <v>-35106.421249999999</v>
          </cell>
          <cell r="AR1225">
            <v>-46903.480833333342</v>
          </cell>
          <cell r="AV1225">
            <v>-41658.121250000004</v>
          </cell>
          <cell r="AZ1225">
            <v>-35596.457083333335</v>
          </cell>
        </row>
        <row r="1226">
          <cell r="Q1226">
            <v>0</v>
          </cell>
          <cell r="S1226">
            <v>0</v>
          </cell>
          <cell r="U1226">
            <v>0</v>
          </cell>
          <cell r="V1226">
            <v>0</v>
          </cell>
          <cell r="W1226">
            <v>0</v>
          </cell>
          <cell r="Y1226">
            <v>0</v>
          </cell>
          <cell r="AA1226">
            <v>0</v>
          </cell>
          <cell r="AJ1226">
            <v>0</v>
          </cell>
          <cell r="AN1226">
            <v>0</v>
          </cell>
          <cell r="AR1226">
            <v>0</v>
          </cell>
          <cell r="AV1226">
            <v>0</v>
          </cell>
          <cell r="AZ1226">
            <v>0</v>
          </cell>
        </row>
        <row r="1227">
          <cell r="Q1227">
            <v>-7813.52</v>
          </cell>
          <cell r="S1227">
            <v>728908.01</v>
          </cell>
          <cell r="U1227">
            <v>2481.0100000000002</v>
          </cell>
          <cell r="V1227">
            <v>-5137.49</v>
          </cell>
          <cell r="W1227">
            <v>738652.01</v>
          </cell>
          <cell r="Y1227">
            <v>-7999.99</v>
          </cell>
          <cell r="AA1227">
            <v>-10904.99</v>
          </cell>
          <cell r="AJ1227">
            <v>135467.78708333333</v>
          </cell>
          <cell r="AN1227">
            <v>145151.39583333334</v>
          </cell>
          <cell r="AR1227">
            <v>126979.75666666665</v>
          </cell>
          <cell r="AV1227">
            <v>180577.49125000005</v>
          </cell>
          <cell r="AZ1227">
            <v>230019.01249999998</v>
          </cell>
        </row>
        <row r="1228">
          <cell r="Q1228">
            <v>640.58000000000004</v>
          </cell>
          <cell r="S1228">
            <v>323197.21999999997</v>
          </cell>
          <cell r="U1228">
            <v>120426.22</v>
          </cell>
          <cell r="V1228">
            <v>324824.42</v>
          </cell>
          <cell r="W1228">
            <v>328281.46999999997</v>
          </cell>
          <cell r="Y1228">
            <v>1343.83</v>
          </cell>
          <cell r="AA1228">
            <v>-1988.26</v>
          </cell>
          <cell r="AJ1228">
            <v>34514.499166666668</v>
          </cell>
          <cell r="AN1228">
            <v>73914.641666666663</v>
          </cell>
          <cell r="AR1228">
            <v>112397.8925</v>
          </cell>
          <cell r="AV1228">
            <v>145674.59624999997</v>
          </cell>
          <cell r="AZ1228">
            <v>124794.28541666665</v>
          </cell>
        </row>
        <row r="1229">
          <cell r="Q1229">
            <v>11067.34</v>
          </cell>
          <cell r="S1229">
            <v>144170.89000000001</v>
          </cell>
          <cell r="U1229">
            <v>7820.23</v>
          </cell>
          <cell r="V1229">
            <v>151548.29</v>
          </cell>
          <cell r="W1229">
            <v>154195.89000000001</v>
          </cell>
          <cell r="Y1229">
            <v>157270.73000000001</v>
          </cell>
          <cell r="AA1229">
            <v>20101.830000000002</v>
          </cell>
          <cell r="AJ1229">
            <v>45942.068333333329</v>
          </cell>
          <cell r="AN1229">
            <v>38799.789166666669</v>
          </cell>
          <cell r="AR1229">
            <v>54457.036250000005</v>
          </cell>
          <cell r="AV1229">
            <v>58738.299166666671</v>
          </cell>
          <cell r="AZ1229">
            <v>73431.543750000012</v>
          </cell>
        </row>
        <row r="1230">
          <cell r="Q1230">
            <v>-206.87</v>
          </cell>
          <cell r="S1230">
            <v>-403.1</v>
          </cell>
          <cell r="U1230">
            <v>10964.2</v>
          </cell>
          <cell r="V1230">
            <v>-608.71</v>
          </cell>
          <cell r="W1230">
            <v>11033.59</v>
          </cell>
          <cell r="Y1230">
            <v>-491.91</v>
          </cell>
          <cell r="AA1230">
            <v>11185.87</v>
          </cell>
          <cell r="AJ1230">
            <v>2187.3875000000003</v>
          </cell>
          <cell r="AN1230">
            <v>2641.4058333333337</v>
          </cell>
          <cell r="AR1230">
            <v>2191.2779166666664</v>
          </cell>
          <cell r="AV1230">
            <v>2410.4312500000001</v>
          </cell>
          <cell r="AZ1230">
            <v>4207.7237500000001</v>
          </cell>
        </row>
        <row r="1231">
          <cell r="Q1231">
            <v>-2685.12</v>
          </cell>
          <cell r="S1231">
            <v>68305.39</v>
          </cell>
          <cell r="U1231">
            <v>-8930.19</v>
          </cell>
          <cell r="V1231">
            <v>71032.210000000006</v>
          </cell>
          <cell r="W1231">
            <v>-5223.29</v>
          </cell>
          <cell r="Y1231">
            <v>73453.23</v>
          </cell>
          <cell r="AA1231">
            <v>73905.47</v>
          </cell>
          <cell r="AJ1231">
            <v>18682.079166666666</v>
          </cell>
          <cell r="AN1231">
            <v>12836.832916666668</v>
          </cell>
          <cell r="AR1231">
            <v>19169.288333333334</v>
          </cell>
          <cell r="AV1231">
            <v>33227.895833333328</v>
          </cell>
          <cell r="AZ1231">
            <v>50608.66333333333</v>
          </cell>
        </row>
        <row r="1232">
          <cell r="Q1232">
            <v>-11815.55</v>
          </cell>
          <cell r="S1232">
            <v>-11629.35</v>
          </cell>
          <cell r="U1232">
            <v>-11983.62</v>
          </cell>
          <cell r="V1232">
            <v>-11983.62</v>
          </cell>
          <cell r="W1232">
            <v>-12229.42</v>
          </cell>
          <cell r="Y1232">
            <v>-12316.42</v>
          </cell>
          <cell r="AA1232">
            <v>-12381.63</v>
          </cell>
          <cell r="AJ1232">
            <v>-11628.502916666666</v>
          </cell>
          <cell r="AN1232">
            <v>-11891.817083333333</v>
          </cell>
          <cell r="AR1232">
            <v>-11981.534166666665</v>
          </cell>
          <cell r="AV1232">
            <v>-12114.795833333335</v>
          </cell>
          <cell r="AZ1232">
            <v>-12276.553333333331</v>
          </cell>
        </row>
        <row r="1233">
          <cell r="Q1233">
            <v>-152384.01</v>
          </cell>
          <cell r="S1233">
            <v>0</v>
          </cell>
          <cell r="U1233">
            <v>0</v>
          </cell>
          <cell r="V1233">
            <v>0</v>
          </cell>
          <cell r="W1233">
            <v>0</v>
          </cell>
          <cell r="Y1233">
            <v>0</v>
          </cell>
          <cell r="AA1233">
            <v>0</v>
          </cell>
          <cell r="AJ1233">
            <v>-6349.3337500000007</v>
          </cell>
          <cell r="AN1233">
            <v>-12698.667500000001</v>
          </cell>
          <cell r="AR1233">
            <v>-12698.667500000001</v>
          </cell>
          <cell r="AV1233">
            <v>-6349.3337500000007</v>
          </cell>
          <cell r="AZ1233">
            <v>0</v>
          </cell>
        </row>
        <row r="1234">
          <cell r="U1234">
            <v>-948300</v>
          </cell>
          <cell r="V1234">
            <v>-1181658</v>
          </cell>
          <cell r="W1234">
            <v>-1477072.5</v>
          </cell>
          <cell r="Y1234">
            <v>-2067901.5</v>
          </cell>
          <cell r="AA1234">
            <v>-2658730.5</v>
          </cell>
          <cell r="AJ1234">
            <v>0</v>
          </cell>
          <cell r="AN1234">
            <v>-92195.833333333328</v>
          </cell>
          <cell r="AR1234">
            <v>-587139.02083333337</v>
          </cell>
          <cell r="AV1234">
            <v>-1473382.5208333333</v>
          </cell>
          <cell r="AZ1234">
            <v>-2218194.4375</v>
          </cell>
        </row>
        <row r="1235">
          <cell r="Q1235">
            <v>0</v>
          </cell>
          <cell r="S1235">
            <v>0</v>
          </cell>
          <cell r="U1235">
            <v>0</v>
          </cell>
          <cell r="V1235">
            <v>0</v>
          </cell>
          <cell r="W1235">
            <v>0</v>
          </cell>
          <cell r="Y1235">
            <v>0</v>
          </cell>
          <cell r="AA1235">
            <v>0</v>
          </cell>
          <cell r="AJ1235">
            <v>217.4666666666667</v>
          </cell>
          <cell r="AN1235">
            <v>3.1666666666666669E-2</v>
          </cell>
          <cell r="AR1235">
            <v>0</v>
          </cell>
          <cell r="AV1235">
            <v>0</v>
          </cell>
          <cell r="AZ1235">
            <v>107.20083333333334</v>
          </cell>
        </row>
        <row r="1236">
          <cell r="Q1236">
            <v>-25000</v>
          </cell>
          <cell r="S1236">
            <v>0</v>
          </cell>
          <cell r="U1236">
            <v>0</v>
          </cell>
          <cell r="V1236">
            <v>0</v>
          </cell>
          <cell r="W1236">
            <v>0</v>
          </cell>
          <cell r="Y1236">
            <v>0</v>
          </cell>
          <cell r="AA1236">
            <v>0</v>
          </cell>
          <cell r="AJ1236">
            <v>-58333.333333333336</v>
          </cell>
          <cell r="AN1236">
            <v>-17708.333333333332</v>
          </cell>
          <cell r="AR1236">
            <v>-9375</v>
          </cell>
          <cell r="AV1236">
            <v>-1041.6666666666667</v>
          </cell>
          <cell r="AZ1236">
            <v>0</v>
          </cell>
        </row>
        <row r="1237">
          <cell r="Q1237">
            <v>0</v>
          </cell>
          <cell r="S1237">
            <v>0</v>
          </cell>
          <cell r="U1237">
            <v>0</v>
          </cell>
          <cell r="V1237">
            <v>0</v>
          </cell>
          <cell r="W1237">
            <v>0</v>
          </cell>
          <cell r="Y1237">
            <v>0</v>
          </cell>
          <cell r="AA1237">
            <v>0</v>
          </cell>
          <cell r="AJ1237">
            <v>0</v>
          </cell>
          <cell r="AN1237">
            <v>0</v>
          </cell>
          <cell r="AR1237">
            <v>0</v>
          </cell>
          <cell r="AV1237">
            <v>0</v>
          </cell>
          <cell r="AZ1237">
            <v>0</v>
          </cell>
        </row>
        <row r="1238">
          <cell r="Q1238">
            <v>-38562846.57</v>
          </cell>
          <cell r="S1238">
            <v>-20269031.789999999</v>
          </cell>
          <cell r="U1238">
            <v>-17171832.870000001</v>
          </cell>
          <cell r="V1238">
            <v>-21930157.329999998</v>
          </cell>
          <cell r="W1238">
            <v>-21660765.329999998</v>
          </cell>
          <cell r="Y1238">
            <v>-32435906.010000002</v>
          </cell>
          <cell r="AA1238">
            <v>-26712093.75</v>
          </cell>
          <cell r="AJ1238">
            <v>-23057920.116249997</v>
          </cell>
          <cell r="AN1238">
            <v>-23147995.216249999</v>
          </cell>
          <cell r="AR1238">
            <v>-23208547.426666662</v>
          </cell>
          <cell r="AV1238">
            <v>-25647375.859166667</v>
          </cell>
          <cell r="AZ1238">
            <v>-26947044.120416675</v>
          </cell>
        </row>
        <row r="1239">
          <cell r="Q1239">
            <v>0</v>
          </cell>
          <cell r="S1239">
            <v>0</v>
          </cell>
          <cell r="U1239">
            <v>0</v>
          </cell>
          <cell r="V1239">
            <v>0</v>
          </cell>
          <cell r="W1239">
            <v>0</v>
          </cell>
          <cell r="Y1239">
            <v>0</v>
          </cell>
          <cell r="AA1239">
            <v>0</v>
          </cell>
          <cell r="AJ1239">
            <v>0</v>
          </cell>
          <cell r="AN1239">
            <v>0</v>
          </cell>
          <cell r="AR1239">
            <v>0</v>
          </cell>
          <cell r="AV1239">
            <v>0</v>
          </cell>
          <cell r="AZ1239">
            <v>0</v>
          </cell>
        </row>
        <row r="1240">
          <cell r="Q1240">
            <v>-4926118.8099999996</v>
          </cell>
          <cell r="S1240">
            <v>-8245337.7800000003</v>
          </cell>
          <cell r="U1240">
            <v>1204523.55</v>
          </cell>
          <cell r="V1240">
            <v>-117689.3</v>
          </cell>
          <cell r="W1240">
            <v>-5891569.79</v>
          </cell>
          <cell r="Y1240">
            <v>-2076770.98</v>
          </cell>
          <cell r="AA1240">
            <v>1171343.07</v>
          </cell>
          <cell r="AJ1240">
            <v>-14609206.312500002</v>
          </cell>
          <cell r="AN1240">
            <v>-15367896.429583335</v>
          </cell>
          <cell r="AR1240">
            <v>-4472586.8720833333</v>
          </cell>
          <cell r="AV1240">
            <v>-3362405.2174999998</v>
          </cell>
          <cell r="AZ1240">
            <v>-2713268.3091666666</v>
          </cell>
        </row>
        <row r="1241">
          <cell r="Q1241">
            <v>0</v>
          </cell>
          <cell r="S1241">
            <v>0</v>
          </cell>
          <cell r="U1241">
            <v>0</v>
          </cell>
          <cell r="V1241">
            <v>0</v>
          </cell>
          <cell r="W1241">
            <v>0</v>
          </cell>
          <cell r="Y1241">
            <v>0</v>
          </cell>
          <cell r="AA1241">
            <v>0</v>
          </cell>
          <cell r="AJ1241">
            <v>0</v>
          </cell>
          <cell r="AN1241">
            <v>0</v>
          </cell>
          <cell r="AR1241">
            <v>0</v>
          </cell>
          <cell r="AV1241">
            <v>0</v>
          </cell>
          <cell r="AZ1241">
            <v>0</v>
          </cell>
        </row>
        <row r="1242">
          <cell r="Q1242">
            <v>-107702.7</v>
          </cell>
          <cell r="S1242">
            <v>-46716.160000000003</v>
          </cell>
          <cell r="U1242">
            <v>-119374.04</v>
          </cell>
          <cell r="V1242">
            <v>-166036.9</v>
          </cell>
          <cell r="W1242">
            <v>-120070.93</v>
          </cell>
          <cell r="Y1242">
            <v>-116120.06</v>
          </cell>
          <cell r="AA1242">
            <v>-191203.64</v>
          </cell>
          <cell r="AJ1242">
            <v>-98781.977916666656</v>
          </cell>
          <cell r="AN1242">
            <v>-102434.03291666666</v>
          </cell>
          <cell r="AR1242">
            <v>-112665.34333333337</v>
          </cell>
          <cell r="AV1242">
            <v>-124913.98333333334</v>
          </cell>
          <cell r="AZ1242">
            <v>-137216.35708333334</v>
          </cell>
        </row>
        <row r="1243">
          <cell r="Q1243">
            <v>-117294.16</v>
          </cell>
          <cell r="S1243">
            <v>11423.54</v>
          </cell>
          <cell r="U1243">
            <v>16535.150000000001</v>
          </cell>
          <cell r="V1243">
            <v>17151.830000000002</v>
          </cell>
          <cell r="W1243">
            <v>11786.68</v>
          </cell>
          <cell r="Y1243">
            <v>-32970.29</v>
          </cell>
          <cell r="AA1243">
            <v>-69997.100000000006</v>
          </cell>
          <cell r="AJ1243">
            <v>-46409.30000000001</v>
          </cell>
          <cell r="AN1243">
            <v>-41390.602500000008</v>
          </cell>
          <cell r="AR1243">
            <v>-30655.531666666666</v>
          </cell>
          <cell r="AV1243">
            <v>-22485.362499999999</v>
          </cell>
          <cell r="AZ1243">
            <v>-20196.447916666668</v>
          </cell>
        </row>
        <row r="1244">
          <cell r="Q1244">
            <v>0</v>
          </cell>
          <cell r="S1244">
            <v>-56465.2</v>
          </cell>
          <cell r="U1244">
            <v>-16733.46</v>
          </cell>
          <cell r="V1244">
            <v>-16674.25</v>
          </cell>
          <cell r="W1244">
            <v>0</v>
          </cell>
          <cell r="Y1244">
            <v>0</v>
          </cell>
          <cell r="AA1244">
            <v>0</v>
          </cell>
          <cell r="AJ1244">
            <v>-20391.094166666666</v>
          </cell>
          <cell r="AN1244">
            <v>-19929.013333333336</v>
          </cell>
          <cell r="AR1244">
            <v>-16452.075833333332</v>
          </cell>
          <cell r="AV1244">
            <v>-21263.84375</v>
          </cell>
          <cell r="AZ1244">
            <v>-25512.537499999995</v>
          </cell>
        </row>
        <row r="1245">
          <cell r="Q1245">
            <v>-20</v>
          </cell>
          <cell r="S1245">
            <v>-10</v>
          </cell>
          <cell r="U1245">
            <v>0</v>
          </cell>
          <cell r="V1245">
            <v>-52.5</v>
          </cell>
          <cell r="W1245">
            <v>-2665.64</v>
          </cell>
          <cell r="Y1245">
            <v>0</v>
          </cell>
          <cell r="AA1245">
            <v>0</v>
          </cell>
          <cell r="AJ1245">
            <v>-2930.648333333334</v>
          </cell>
          <cell r="AN1245">
            <v>-354.37000000000006</v>
          </cell>
          <cell r="AR1245">
            <v>-391.57833333333332</v>
          </cell>
          <cell r="AV1245">
            <v>-228.17833333333331</v>
          </cell>
          <cell r="AZ1245">
            <v>-226.51166666666666</v>
          </cell>
        </row>
        <row r="1246">
          <cell r="Q1246">
            <v>-386688.87</v>
          </cell>
          <cell r="S1246">
            <v>-208.65</v>
          </cell>
          <cell r="U1246">
            <v>-201.37</v>
          </cell>
          <cell r="V1246">
            <v>-320263.03999999998</v>
          </cell>
          <cell r="W1246">
            <v>-319920.69</v>
          </cell>
          <cell r="Y1246">
            <v>3594.48</v>
          </cell>
          <cell r="AA1246">
            <v>4154.97</v>
          </cell>
          <cell r="AJ1246">
            <v>-80686.864166666666</v>
          </cell>
          <cell r="AN1246">
            <v>-83117.960416666683</v>
          </cell>
          <cell r="AR1246">
            <v>-109340.73125</v>
          </cell>
          <cell r="AV1246">
            <v>-95770.17</v>
          </cell>
          <cell r="AZ1246">
            <v>-79797.56458333334</v>
          </cell>
        </row>
        <row r="1247">
          <cell r="Q1247">
            <v>-22823.67</v>
          </cell>
          <cell r="S1247">
            <v>0</v>
          </cell>
          <cell r="U1247">
            <v>11.33</v>
          </cell>
          <cell r="V1247">
            <v>-25189.360000000001</v>
          </cell>
          <cell r="W1247">
            <v>-26949.31</v>
          </cell>
          <cell r="Y1247">
            <v>-50</v>
          </cell>
          <cell r="AA1247">
            <v>0</v>
          </cell>
          <cell r="AJ1247">
            <v>-4914.0583333333334</v>
          </cell>
          <cell r="AN1247">
            <v>-5265.7954166666668</v>
          </cell>
          <cell r="AR1247">
            <v>-8087.7112500000003</v>
          </cell>
          <cell r="AV1247">
            <v>-7978.8804166666669</v>
          </cell>
          <cell r="AZ1247">
            <v>-7028.36625</v>
          </cell>
        </row>
        <row r="1248">
          <cell r="Q1248">
            <v>0</v>
          </cell>
          <cell r="S1248">
            <v>0</v>
          </cell>
          <cell r="U1248">
            <v>0</v>
          </cell>
          <cell r="V1248">
            <v>0</v>
          </cell>
          <cell r="W1248">
            <v>0</v>
          </cell>
          <cell r="Y1248">
            <v>0</v>
          </cell>
          <cell r="AA1248">
            <v>0</v>
          </cell>
          <cell r="AJ1248">
            <v>0</v>
          </cell>
          <cell r="AN1248">
            <v>0</v>
          </cell>
          <cell r="AR1248">
            <v>0</v>
          </cell>
          <cell r="AV1248">
            <v>0</v>
          </cell>
          <cell r="AZ1248">
            <v>0</v>
          </cell>
        </row>
        <row r="1249">
          <cell r="Q1249">
            <v>0</v>
          </cell>
          <cell r="S1249">
            <v>0</v>
          </cell>
          <cell r="U1249">
            <v>0</v>
          </cell>
          <cell r="V1249">
            <v>0</v>
          </cell>
          <cell r="W1249">
            <v>0</v>
          </cell>
          <cell r="Y1249">
            <v>0</v>
          </cell>
          <cell r="AA1249">
            <v>0</v>
          </cell>
          <cell r="AJ1249">
            <v>0</v>
          </cell>
          <cell r="AN1249">
            <v>0</v>
          </cell>
          <cell r="AR1249">
            <v>0</v>
          </cell>
          <cell r="AV1249">
            <v>0</v>
          </cell>
          <cell r="AZ1249">
            <v>0</v>
          </cell>
        </row>
        <row r="1250">
          <cell r="Q1250">
            <v>10288.530000000001</v>
          </cell>
          <cell r="S1250">
            <v>11122.82</v>
          </cell>
          <cell r="U1250">
            <v>9009.6200000000008</v>
          </cell>
          <cell r="V1250">
            <v>9664.2199999999993</v>
          </cell>
          <cell r="W1250">
            <v>8292.66</v>
          </cell>
          <cell r="Y1250">
            <v>5970.75</v>
          </cell>
          <cell r="AA1250">
            <v>6959.97</v>
          </cell>
          <cell r="AJ1250">
            <v>13350.444583333336</v>
          </cell>
          <cell r="AN1250">
            <v>13260.166666666666</v>
          </cell>
          <cell r="AR1250">
            <v>9907.4125000000004</v>
          </cell>
          <cell r="AV1250">
            <v>8436.5658333333322</v>
          </cell>
          <cell r="AZ1250">
            <v>7670.2004166666666</v>
          </cell>
        </row>
        <row r="1251">
          <cell r="Q1251">
            <v>-11393.42</v>
          </cell>
          <cell r="S1251">
            <v>-6413.4</v>
          </cell>
          <cell r="U1251">
            <v>-3932.32</v>
          </cell>
          <cell r="V1251">
            <v>1898.72</v>
          </cell>
          <cell r="W1251">
            <v>-3051.87</v>
          </cell>
          <cell r="Y1251">
            <v>-7587.04</v>
          </cell>
          <cell r="AA1251">
            <v>-10152.459999999999</v>
          </cell>
          <cell r="AJ1251">
            <v>4196.8791666666666</v>
          </cell>
          <cell r="AN1251">
            <v>-718.12499999999966</v>
          </cell>
          <cell r="AR1251">
            <v>-2515.3441666666668</v>
          </cell>
          <cell r="AV1251">
            <v>-4654.7712499999998</v>
          </cell>
          <cell r="AZ1251">
            <v>-8191.065833333334</v>
          </cell>
        </row>
        <row r="1252">
          <cell r="Q1252">
            <v>-6659.44</v>
          </cell>
          <cell r="S1252">
            <v>-13031.87</v>
          </cell>
          <cell r="U1252">
            <v>-18449.5</v>
          </cell>
          <cell r="V1252">
            <v>-14485.75</v>
          </cell>
          <cell r="W1252">
            <v>-14392.19</v>
          </cell>
          <cell r="Y1252">
            <v>-23936.54</v>
          </cell>
          <cell r="AA1252">
            <v>-17623.11</v>
          </cell>
          <cell r="AJ1252">
            <v>-1878.3879166666666</v>
          </cell>
          <cell r="AN1252">
            <v>-5494.4279166666665</v>
          </cell>
          <cell r="AR1252">
            <v>-9527.0408333333326</v>
          </cell>
          <cell r="AV1252">
            <v>-10905.063749999999</v>
          </cell>
          <cell r="AZ1252">
            <v>-9695.6475000000009</v>
          </cell>
        </row>
        <row r="1253">
          <cell r="Q1253">
            <v>306649.09999999998</v>
          </cell>
          <cell r="S1253">
            <v>417834.86</v>
          </cell>
          <cell r="U1253">
            <v>0</v>
          </cell>
          <cell r="V1253">
            <v>0</v>
          </cell>
          <cell r="W1253">
            <v>261983.75</v>
          </cell>
          <cell r="Y1253">
            <v>225778.59</v>
          </cell>
          <cell r="AA1253">
            <v>40551.839999999997</v>
          </cell>
          <cell r="AJ1253">
            <v>136217.97833333336</v>
          </cell>
          <cell r="AN1253">
            <v>178926.10249999995</v>
          </cell>
          <cell r="AR1253">
            <v>170514.86874999999</v>
          </cell>
          <cell r="AV1253">
            <v>160944.98000000001</v>
          </cell>
          <cell r="AZ1253">
            <v>128803.32208333333</v>
          </cell>
        </row>
        <row r="1254">
          <cell r="Q1254">
            <v>-68.64</v>
          </cell>
          <cell r="S1254">
            <v>0</v>
          </cell>
          <cell r="U1254">
            <v>0</v>
          </cell>
          <cell r="V1254">
            <v>-475</v>
          </cell>
          <cell r="W1254">
            <v>-130</v>
          </cell>
          <cell r="Y1254">
            <v>0</v>
          </cell>
          <cell r="AA1254">
            <v>0</v>
          </cell>
          <cell r="AJ1254">
            <v>-144.13041666666669</v>
          </cell>
          <cell r="AN1254">
            <v>-30.38</v>
          </cell>
          <cell r="AR1254">
            <v>-62.69</v>
          </cell>
          <cell r="AV1254">
            <v>-63.276666666666671</v>
          </cell>
          <cell r="AZ1254">
            <v>-60.416666666666664</v>
          </cell>
        </row>
        <row r="1255">
          <cell r="Y1255">
            <v>0</v>
          </cell>
          <cell r="AA1255">
            <v>-4301.99</v>
          </cell>
          <cell r="AR1255">
            <v>0</v>
          </cell>
          <cell r="AV1255">
            <v>-873.72916666666663</v>
          </cell>
          <cell r="AZ1255">
            <v>-36.469166666666716</v>
          </cell>
        </row>
        <row r="1256">
          <cell r="Q1256">
            <v>432.65</v>
          </cell>
          <cell r="S1256">
            <v>12.2</v>
          </cell>
          <cell r="U1256">
            <v>422.58</v>
          </cell>
          <cell r="V1256">
            <v>0</v>
          </cell>
          <cell r="W1256">
            <v>410.02</v>
          </cell>
          <cell r="Y1256">
            <v>0</v>
          </cell>
          <cell r="AA1256">
            <v>396.62</v>
          </cell>
          <cell r="AJ1256">
            <v>-4949.9004166666664</v>
          </cell>
          <cell r="AN1256">
            <v>-2533.4924999999998</v>
          </cell>
          <cell r="AR1256">
            <v>-114.46083333333331</v>
          </cell>
          <cell r="AV1256">
            <v>206.24124999999995</v>
          </cell>
          <cell r="AZ1256">
            <v>296.69124999999997</v>
          </cell>
        </row>
        <row r="1257">
          <cell r="Q1257">
            <v>0</v>
          </cell>
          <cell r="S1257">
            <v>-48837.440000000002</v>
          </cell>
          <cell r="U1257">
            <v>-35.17</v>
          </cell>
          <cell r="V1257">
            <v>-31481.1</v>
          </cell>
          <cell r="W1257">
            <v>-135.69999999999999</v>
          </cell>
          <cell r="Y1257">
            <v>-85522.240000000005</v>
          </cell>
          <cell r="AA1257">
            <v>-43854.1</v>
          </cell>
          <cell r="AJ1257">
            <v>-64018.847916666673</v>
          </cell>
          <cell r="AN1257">
            <v>-33343.395833333336</v>
          </cell>
          <cell r="AR1257">
            <v>-26790.215416666673</v>
          </cell>
          <cell r="AV1257">
            <v>-30089.993333333332</v>
          </cell>
          <cell r="AZ1257">
            <v>-31608.79416666667</v>
          </cell>
        </row>
        <row r="1258">
          <cell r="Q1258">
            <v>-10010.58</v>
          </cell>
          <cell r="S1258">
            <v>1382894</v>
          </cell>
          <cell r="U1258">
            <v>-3833.71</v>
          </cell>
          <cell r="V1258">
            <v>1413406.66</v>
          </cell>
          <cell r="W1258">
            <v>1419713.5</v>
          </cell>
          <cell r="Y1258">
            <v>1441374.34</v>
          </cell>
          <cell r="AA1258">
            <v>-20374.349999999999</v>
          </cell>
          <cell r="AJ1258">
            <v>166268.65624999997</v>
          </cell>
          <cell r="AN1258">
            <v>182062.55708333335</v>
          </cell>
          <cell r="AR1258">
            <v>375659.99124999996</v>
          </cell>
          <cell r="AV1258">
            <v>585717.61708333332</v>
          </cell>
          <cell r="AZ1258">
            <v>588896.19416666683</v>
          </cell>
        </row>
        <row r="1259">
          <cell r="Q1259">
            <v>0</v>
          </cell>
          <cell r="S1259">
            <v>0</v>
          </cell>
          <cell r="U1259">
            <v>0</v>
          </cell>
          <cell r="V1259">
            <v>0</v>
          </cell>
          <cell r="W1259">
            <v>0</v>
          </cell>
          <cell r="Y1259">
            <v>0</v>
          </cell>
          <cell r="AA1259">
            <v>0</v>
          </cell>
          <cell r="AJ1259">
            <v>0</v>
          </cell>
          <cell r="AN1259">
            <v>0</v>
          </cell>
          <cell r="AR1259">
            <v>0</v>
          </cell>
          <cell r="AV1259">
            <v>0</v>
          </cell>
          <cell r="AZ1259">
            <v>0</v>
          </cell>
        </row>
        <row r="1260">
          <cell r="AV1260">
            <v>0</v>
          </cell>
          <cell r="AZ1260">
            <v>0</v>
          </cell>
        </row>
        <row r="1261">
          <cell r="Q1261">
            <v>0</v>
          </cell>
          <cell r="S1261">
            <v>0</v>
          </cell>
          <cell r="U1261">
            <v>0</v>
          </cell>
          <cell r="V1261">
            <v>0</v>
          </cell>
          <cell r="W1261">
            <v>0</v>
          </cell>
          <cell r="Y1261">
            <v>0</v>
          </cell>
          <cell r="AA1261">
            <v>0</v>
          </cell>
          <cell r="AJ1261">
            <v>0</v>
          </cell>
          <cell r="AN1261">
            <v>0</v>
          </cell>
          <cell r="AR1261">
            <v>0</v>
          </cell>
          <cell r="AV1261">
            <v>0</v>
          </cell>
          <cell r="AZ1261">
            <v>0</v>
          </cell>
        </row>
        <row r="1262">
          <cell r="Q1262">
            <v>-26053394.800000001</v>
          </cell>
          <cell r="S1262">
            <v>-19443295.609999999</v>
          </cell>
          <cell r="U1262">
            <v>-19443295.609999999</v>
          </cell>
          <cell r="V1262">
            <v>-24456762.609999999</v>
          </cell>
          <cell r="W1262">
            <v>-22851610.640000001</v>
          </cell>
          <cell r="Y1262">
            <v>-22897785.219999999</v>
          </cell>
          <cell r="AA1262">
            <v>-22897785.219999999</v>
          </cell>
          <cell r="AJ1262">
            <v>-25135076.23875</v>
          </cell>
          <cell r="AN1262">
            <v>-24255382.42708334</v>
          </cell>
          <cell r="AR1262">
            <v>-23400361.567500006</v>
          </cell>
          <cell r="AV1262">
            <v>-22527014.249166667</v>
          </cell>
          <cell r="AZ1262">
            <v>-22879915.053749997</v>
          </cell>
        </row>
        <row r="1263">
          <cell r="Q1263">
            <v>-2953683</v>
          </cell>
          <cell r="S1263">
            <v>-2953683</v>
          </cell>
          <cell r="U1263">
            <v>-3997623</v>
          </cell>
          <cell r="V1263">
            <v>-3997623</v>
          </cell>
          <cell r="W1263">
            <v>0</v>
          </cell>
          <cell r="Y1263">
            <v>-90477.15</v>
          </cell>
          <cell r="AA1263">
            <v>0</v>
          </cell>
          <cell r="AJ1263">
            <v>-616142.24833333329</v>
          </cell>
          <cell r="AN1263">
            <v>-1730862.4416666667</v>
          </cell>
          <cell r="AR1263">
            <v>-2234001.8812500001</v>
          </cell>
          <cell r="AV1263">
            <v>-1629835.8999999997</v>
          </cell>
          <cell r="AZ1263">
            <v>-514782.39999999997</v>
          </cell>
        </row>
        <row r="1264">
          <cell r="Q1264">
            <v>-1879646.85</v>
          </cell>
          <cell r="S1264">
            <v>-2014964.61</v>
          </cell>
          <cell r="U1264">
            <v>-2014964.61</v>
          </cell>
          <cell r="V1264">
            <v>-2014964.61</v>
          </cell>
          <cell r="W1264">
            <v>0</v>
          </cell>
          <cell r="Y1264">
            <v>0</v>
          </cell>
          <cell r="AA1264">
            <v>0</v>
          </cell>
          <cell r="AJ1264">
            <v>-1217868.9487500002</v>
          </cell>
          <cell r="AN1264">
            <v>-1497119.7362499998</v>
          </cell>
          <cell r="AR1264">
            <v>-1249502.00125</v>
          </cell>
          <cell r="AV1264">
            <v>-916240.29958333343</v>
          </cell>
          <cell r="AZ1264">
            <v>-251870.57625000001</v>
          </cell>
        </row>
        <row r="1265">
          <cell r="Q1265">
            <v>-1255536.1399999999</v>
          </cell>
          <cell r="S1265">
            <v>-1325536.1399999999</v>
          </cell>
          <cell r="U1265">
            <v>-1325536.1399999999</v>
          </cell>
          <cell r="V1265">
            <v>-1901536.14</v>
          </cell>
          <cell r="W1265">
            <v>-1901536.14</v>
          </cell>
          <cell r="Y1265">
            <v>-1918071.27</v>
          </cell>
          <cell r="AA1265">
            <v>-1780049.12</v>
          </cell>
          <cell r="AJ1265">
            <v>-956940.64</v>
          </cell>
          <cell r="AN1265">
            <v>-1063801.3066666669</v>
          </cell>
          <cell r="AR1265">
            <v>-1450357.4370833335</v>
          </cell>
          <cell r="AV1265">
            <v>-1642938.3125000002</v>
          </cell>
          <cell r="AZ1265">
            <v>-1734231.3125000002</v>
          </cell>
        </row>
        <row r="1266">
          <cell r="Q1266">
            <v>0</v>
          </cell>
          <cell r="S1266">
            <v>0</v>
          </cell>
          <cell r="U1266">
            <v>0</v>
          </cell>
          <cell r="V1266">
            <v>0</v>
          </cell>
          <cell r="W1266">
            <v>0</v>
          </cell>
          <cell r="Y1266">
            <v>0</v>
          </cell>
          <cell r="AA1266">
            <v>0</v>
          </cell>
          <cell r="AJ1266">
            <v>0</v>
          </cell>
          <cell r="AN1266">
            <v>0</v>
          </cell>
          <cell r="AR1266">
            <v>0</v>
          </cell>
          <cell r="AV1266">
            <v>0</v>
          </cell>
          <cell r="AZ1266">
            <v>0</v>
          </cell>
        </row>
        <row r="1267">
          <cell r="Q1267">
            <v>0</v>
          </cell>
          <cell r="S1267">
            <v>0</v>
          </cell>
          <cell r="U1267">
            <v>0</v>
          </cell>
          <cell r="V1267">
            <v>0</v>
          </cell>
          <cell r="W1267">
            <v>0</v>
          </cell>
          <cell r="Y1267">
            <v>0</v>
          </cell>
          <cell r="AA1267">
            <v>0</v>
          </cell>
          <cell r="AJ1267">
            <v>0</v>
          </cell>
          <cell r="AN1267">
            <v>0</v>
          </cell>
          <cell r="AR1267">
            <v>0</v>
          </cell>
          <cell r="AV1267">
            <v>0</v>
          </cell>
          <cell r="AZ1267">
            <v>0</v>
          </cell>
        </row>
        <row r="1268">
          <cell r="U1268">
            <v>-5426820</v>
          </cell>
          <cell r="V1268">
            <v>0</v>
          </cell>
          <cell r="W1268">
            <v>0</v>
          </cell>
          <cell r="Y1268">
            <v>0</v>
          </cell>
          <cell r="AA1268">
            <v>0</v>
          </cell>
          <cell r="AJ1268">
            <v>0</v>
          </cell>
          <cell r="AN1268">
            <v>-678352.5</v>
          </cell>
          <cell r="AR1268">
            <v>-904470</v>
          </cell>
          <cell r="AV1268">
            <v>-904470</v>
          </cell>
          <cell r="AZ1268">
            <v>-226117.5</v>
          </cell>
        </row>
        <row r="1269">
          <cell r="Q1269">
            <v>-7020326.0300000003</v>
          </cell>
          <cell r="S1269">
            <v>-7197633.3300000001</v>
          </cell>
          <cell r="U1269">
            <v>-7341278.79</v>
          </cell>
          <cell r="V1269">
            <v>-7506511.8300000001</v>
          </cell>
          <cell r="W1269">
            <v>-7742376.5999999996</v>
          </cell>
          <cell r="Y1269">
            <v>-8054028.46</v>
          </cell>
          <cell r="AA1269">
            <v>-8273169.4699999997</v>
          </cell>
          <cell r="AJ1269">
            <v>-6973755.5683333343</v>
          </cell>
          <cell r="AN1269">
            <v>-7009904.9429166652</v>
          </cell>
          <cell r="AR1269">
            <v>-7279281.7587499991</v>
          </cell>
          <cell r="AV1269">
            <v>-7719574.9654166661</v>
          </cell>
          <cell r="AZ1269">
            <v>-8144812.0683333343</v>
          </cell>
        </row>
        <row r="1270">
          <cell r="Q1270">
            <v>-14607526.66</v>
          </cell>
          <cell r="S1270">
            <v>-14734006.380000001</v>
          </cell>
          <cell r="U1270">
            <v>-14688474.390000001</v>
          </cell>
          <cell r="V1270">
            <v>-15013535.57</v>
          </cell>
          <cell r="W1270">
            <v>-15234208.630000001</v>
          </cell>
          <cell r="Y1270">
            <v>-15860201.24</v>
          </cell>
          <cell r="AA1270">
            <v>-16354716.310000001</v>
          </cell>
          <cell r="AJ1270">
            <v>-14185307.036666667</v>
          </cell>
          <cell r="AN1270">
            <v>-14424218.793750001</v>
          </cell>
          <cell r="AR1270">
            <v>-14786832.662916666</v>
          </cell>
          <cell r="AV1270">
            <v>-15466647.637083331</v>
          </cell>
          <cell r="AZ1270">
            <v>-16379217.733750001</v>
          </cell>
        </row>
        <row r="1271">
          <cell r="Q1271">
            <v>-1000</v>
          </cell>
          <cell r="S1271">
            <v>0</v>
          </cell>
          <cell r="U1271">
            <v>0</v>
          </cell>
          <cell r="V1271">
            <v>0</v>
          </cell>
          <cell r="W1271">
            <v>0</v>
          </cell>
          <cell r="Y1271">
            <v>0</v>
          </cell>
          <cell r="AA1271">
            <v>0</v>
          </cell>
          <cell r="AJ1271">
            <v>-916.66666666666663</v>
          </cell>
          <cell r="AN1271">
            <v>-770.83333333333337</v>
          </cell>
          <cell r="AR1271">
            <v>-375</v>
          </cell>
          <cell r="AV1271">
            <v>-41.666666666666664</v>
          </cell>
          <cell r="AZ1271">
            <v>0</v>
          </cell>
        </row>
        <row r="1272">
          <cell r="Q1272">
            <v>-500</v>
          </cell>
          <cell r="S1272">
            <v>-500</v>
          </cell>
          <cell r="U1272">
            <v>-500</v>
          </cell>
          <cell r="V1272">
            <v>-500</v>
          </cell>
          <cell r="W1272">
            <v>-500</v>
          </cell>
          <cell r="Y1272">
            <v>-500</v>
          </cell>
          <cell r="AA1272">
            <v>-500</v>
          </cell>
          <cell r="AJ1272">
            <v>-20.833333333333332</v>
          </cell>
          <cell r="AN1272">
            <v>-187.5</v>
          </cell>
          <cell r="AR1272">
            <v>-354.16666666666669</v>
          </cell>
          <cell r="AV1272">
            <v>-500</v>
          </cell>
          <cell r="AZ1272">
            <v>-500</v>
          </cell>
        </row>
        <row r="1273">
          <cell r="Q1273">
            <v>1897957.3</v>
          </cell>
          <cell r="S1273">
            <v>2107710.31</v>
          </cell>
          <cell r="U1273">
            <v>2107710.31</v>
          </cell>
          <cell r="V1273">
            <v>2107710.31</v>
          </cell>
          <cell r="W1273">
            <v>0</v>
          </cell>
          <cell r="Y1273">
            <v>0</v>
          </cell>
          <cell r="AA1273">
            <v>0</v>
          </cell>
          <cell r="AJ1273">
            <v>3284915.4104166664</v>
          </cell>
          <cell r="AN1273">
            <v>2844102.13625</v>
          </cell>
          <cell r="AR1273">
            <v>1825178.6645833331</v>
          </cell>
          <cell r="AV1273">
            <v>951630.21333333338</v>
          </cell>
          <cell r="AZ1273">
            <v>263463.78875000001</v>
          </cell>
        </row>
        <row r="1274">
          <cell r="Q1274">
            <v>0</v>
          </cell>
          <cell r="S1274">
            <v>0</v>
          </cell>
          <cell r="U1274">
            <v>0</v>
          </cell>
          <cell r="V1274">
            <v>0</v>
          </cell>
          <cell r="W1274">
            <v>0</v>
          </cell>
          <cell r="Y1274">
            <v>0</v>
          </cell>
          <cell r="AA1274">
            <v>0</v>
          </cell>
          <cell r="AJ1274">
            <v>-551133.04166666663</v>
          </cell>
          <cell r="AN1274">
            <v>0</v>
          </cell>
          <cell r="AR1274">
            <v>0</v>
          </cell>
          <cell r="AV1274">
            <v>0</v>
          </cell>
          <cell r="AZ1274">
            <v>0</v>
          </cell>
        </row>
        <row r="1275">
          <cell r="Q1275">
            <v>-5167667.58</v>
          </cell>
          <cell r="S1275">
            <v>-3967291.24</v>
          </cell>
          <cell r="U1275">
            <v>-3203990.81</v>
          </cell>
          <cell r="V1275">
            <v>-2886348.08</v>
          </cell>
          <cell r="W1275">
            <v>-2673443.3199999998</v>
          </cell>
          <cell r="Y1275">
            <v>-3062629.12</v>
          </cell>
          <cell r="AA1275">
            <v>-3732077.31</v>
          </cell>
          <cell r="AJ1275">
            <v>-3783785.75</v>
          </cell>
          <cell r="AN1275">
            <v>-3726055.7870833338</v>
          </cell>
          <cell r="AR1275">
            <v>-3645118.9366666661</v>
          </cell>
          <cell r="AV1275">
            <v>-3636385.9220833345</v>
          </cell>
          <cell r="AZ1275">
            <v>-3609843.7837499995</v>
          </cell>
        </row>
        <row r="1276">
          <cell r="Q1276">
            <v>-4438296.37</v>
          </cell>
          <cell r="S1276">
            <v>-2921235.13</v>
          </cell>
          <cell r="U1276">
            <v>-1744243.49</v>
          </cell>
          <cell r="V1276">
            <v>-1015383.71</v>
          </cell>
          <cell r="W1276">
            <v>-579971.36</v>
          </cell>
          <cell r="Y1276">
            <v>-786632.35</v>
          </cell>
          <cell r="AA1276">
            <v>-1536833.81</v>
          </cell>
          <cell r="AJ1276">
            <v>-2079842.2208333332</v>
          </cell>
          <cell r="AN1276">
            <v>-2132368.7187499995</v>
          </cell>
          <cell r="AR1276">
            <v>-2044232.8258333334</v>
          </cell>
          <cell r="AV1276">
            <v>-1876566.8049999999</v>
          </cell>
          <cell r="AZ1276">
            <v>-1425384.1566666665</v>
          </cell>
        </row>
        <row r="1277">
          <cell r="Q1277">
            <v>0</v>
          </cell>
          <cell r="S1277">
            <v>0</v>
          </cell>
          <cell r="U1277">
            <v>0</v>
          </cell>
          <cell r="V1277">
            <v>0</v>
          </cell>
          <cell r="W1277">
            <v>0</v>
          </cell>
          <cell r="Y1277">
            <v>0</v>
          </cell>
          <cell r="AA1277">
            <v>0</v>
          </cell>
          <cell r="AJ1277">
            <v>0</v>
          </cell>
          <cell r="AN1277">
            <v>0</v>
          </cell>
          <cell r="AR1277">
            <v>0</v>
          </cell>
          <cell r="AV1277">
            <v>0</v>
          </cell>
          <cell r="AZ1277">
            <v>0</v>
          </cell>
        </row>
        <row r="1278">
          <cell r="Q1278">
            <v>15701479.24</v>
          </cell>
          <cell r="S1278">
            <v>-2147633.7599999998</v>
          </cell>
          <cell r="U1278">
            <v>13831273.24</v>
          </cell>
          <cell r="V1278">
            <v>20566043.239999998</v>
          </cell>
          <cell r="W1278">
            <v>37818042.530000001</v>
          </cell>
          <cell r="Y1278">
            <v>67699886.530000001</v>
          </cell>
          <cell r="AA1278">
            <v>146149545.53</v>
          </cell>
          <cell r="AJ1278">
            <v>8699918.9420833346</v>
          </cell>
          <cell r="AN1278">
            <v>9414893.2520833313</v>
          </cell>
          <cell r="AR1278">
            <v>25679677.205833334</v>
          </cell>
          <cell r="AV1278">
            <v>57801819.730416663</v>
          </cell>
          <cell r="AZ1278">
            <v>81958545.795833319</v>
          </cell>
        </row>
        <row r="1279">
          <cell r="Q1279">
            <v>0</v>
          </cell>
          <cell r="S1279">
            <v>0</v>
          </cell>
          <cell r="U1279">
            <v>0</v>
          </cell>
          <cell r="V1279">
            <v>0</v>
          </cell>
          <cell r="W1279">
            <v>0</v>
          </cell>
          <cell r="Y1279">
            <v>0</v>
          </cell>
          <cell r="AA1279">
            <v>0</v>
          </cell>
          <cell r="AJ1279">
            <v>0</v>
          </cell>
          <cell r="AN1279">
            <v>0</v>
          </cell>
          <cell r="AR1279">
            <v>0</v>
          </cell>
          <cell r="AV1279">
            <v>0</v>
          </cell>
          <cell r="AZ1279">
            <v>0</v>
          </cell>
        </row>
        <row r="1280">
          <cell r="Q1280">
            <v>0</v>
          </cell>
          <cell r="S1280">
            <v>0</v>
          </cell>
          <cell r="U1280">
            <v>0</v>
          </cell>
          <cell r="V1280">
            <v>0</v>
          </cell>
          <cell r="W1280">
            <v>0</v>
          </cell>
          <cell r="Y1280">
            <v>0</v>
          </cell>
          <cell r="AA1280">
            <v>0</v>
          </cell>
          <cell r="AJ1280">
            <v>0</v>
          </cell>
          <cell r="AN1280">
            <v>0</v>
          </cell>
          <cell r="AR1280">
            <v>0</v>
          </cell>
          <cell r="AV1280">
            <v>0</v>
          </cell>
          <cell r="AZ1280">
            <v>0</v>
          </cell>
        </row>
        <row r="1281">
          <cell r="Q1281">
            <v>-719.64</v>
          </cell>
          <cell r="S1281">
            <v>-450.36</v>
          </cell>
          <cell r="U1281">
            <v>-238.82</v>
          </cell>
          <cell r="V1281">
            <v>-464</v>
          </cell>
          <cell r="W1281">
            <v>-689.18</v>
          </cell>
          <cell r="Y1281">
            <v>-614.9</v>
          </cell>
          <cell r="AA1281">
            <v>-687.54</v>
          </cell>
          <cell r="AJ1281">
            <v>-626.67375000000004</v>
          </cell>
          <cell r="AN1281">
            <v>-1329.6674999999998</v>
          </cell>
          <cell r="AR1281">
            <v>-1076.7741666666668</v>
          </cell>
          <cell r="AV1281">
            <v>-593.0675</v>
          </cell>
          <cell r="AZ1281">
            <v>-579.80833333333328</v>
          </cell>
        </row>
        <row r="1282">
          <cell r="Q1282">
            <v>-342900.67</v>
          </cell>
          <cell r="S1282">
            <v>-1300.58</v>
          </cell>
          <cell r="U1282">
            <v>-775.45</v>
          </cell>
          <cell r="V1282">
            <v>-321333.01</v>
          </cell>
          <cell r="W1282">
            <v>-308254.15000000002</v>
          </cell>
          <cell r="Y1282">
            <v>-1046.02</v>
          </cell>
          <cell r="AA1282">
            <v>-694.93</v>
          </cell>
          <cell r="AJ1282">
            <v>-140731.26125000001</v>
          </cell>
          <cell r="AN1282">
            <v>-70251.05624999998</v>
          </cell>
          <cell r="AR1282">
            <v>-100228.27666666667</v>
          </cell>
          <cell r="AV1282">
            <v>-98006.228333333347</v>
          </cell>
          <cell r="AZ1282">
            <v>-149611.88833333337</v>
          </cell>
        </row>
        <row r="1283">
          <cell r="Q1283">
            <v>0</v>
          </cell>
          <cell r="S1283">
            <v>0</v>
          </cell>
          <cell r="U1283">
            <v>0</v>
          </cell>
          <cell r="V1283">
            <v>0</v>
          </cell>
          <cell r="W1283">
            <v>0</v>
          </cell>
          <cell r="Y1283">
            <v>0</v>
          </cell>
          <cell r="AA1283">
            <v>0</v>
          </cell>
          <cell r="AJ1283">
            <v>0</v>
          </cell>
          <cell r="AN1283">
            <v>0</v>
          </cell>
          <cell r="AR1283">
            <v>0</v>
          </cell>
          <cell r="AV1283">
            <v>0</v>
          </cell>
          <cell r="AZ1283">
            <v>0</v>
          </cell>
        </row>
        <row r="1284">
          <cell r="Q1284">
            <v>0</v>
          </cell>
          <cell r="S1284">
            <v>0</v>
          </cell>
          <cell r="U1284">
            <v>0</v>
          </cell>
          <cell r="V1284">
            <v>0</v>
          </cell>
          <cell r="W1284">
            <v>0</v>
          </cell>
          <cell r="Y1284">
            <v>0</v>
          </cell>
          <cell r="AA1284">
            <v>0</v>
          </cell>
          <cell r="AJ1284">
            <v>0</v>
          </cell>
          <cell r="AN1284">
            <v>0</v>
          </cell>
          <cell r="AR1284">
            <v>0</v>
          </cell>
          <cell r="AV1284">
            <v>0</v>
          </cell>
          <cell r="AZ1284">
            <v>0</v>
          </cell>
        </row>
        <row r="1285">
          <cell r="Q1285">
            <v>0</v>
          </cell>
          <cell r="S1285">
            <v>0</v>
          </cell>
          <cell r="U1285">
            <v>0</v>
          </cell>
          <cell r="V1285">
            <v>0</v>
          </cell>
          <cell r="W1285">
            <v>0</v>
          </cell>
          <cell r="Y1285">
            <v>0</v>
          </cell>
          <cell r="AA1285">
            <v>0</v>
          </cell>
          <cell r="AJ1285">
            <v>0</v>
          </cell>
          <cell r="AN1285">
            <v>0</v>
          </cell>
          <cell r="AR1285">
            <v>0</v>
          </cell>
          <cell r="AV1285">
            <v>0</v>
          </cell>
          <cell r="AZ1285">
            <v>0</v>
          </cell>
        </row>
        <row r="1286">
          <cell r="Q1286">
            <v>-25748342.32</v>
          </cell>
          <cell r="S1286">
            <v>-30269091.41</v>
          </cell>
          <cell r="U1286">
            <v>-21104533.710000001</v>
          </cell>
          <cell r="V1286">
            <v>-23345954.609999999</v>
          </cell>
          <cell r="W1286">
            <v>-22893149.48</v>
          </cell>
          <cell r="Y1286">
            <v>-26516628.57</v>
          </cell>
          <cell r="AA1286">
            <v>-17974206.940000001</v>
          </cell>
          <cell r="AJ1286">
            <v>-25963447.647916671</v>
          </cell>
          <cell r="AN1286">
            <v>-25684256.278333332</v>
          </cell>
          <cell r="AR1286">
            <v>-25035778.899166662</v>
          </cell>
          <cell r="AV1286">
            <v>-24699470.434999999</v>
          </cell>
          <cell r="AZ1286">
            <v>-23030457.78833333</v>
          </cell>
        </row>
        <row r="1287">
          <cell r="Q1287">
            <v>-5209895.37</v>
          </cell>
          <cell r="S1287">
            <v>-7234082.3700000001</v>
          </cell>
          <cell r="U1287">
            <v>-9257327.3699999992</v>
          </cell>
          <cell r="V1287">
            <v>-4266033.82</v>
          </cell>
          <cell r="W1287">
            <v>-5089671.82</v>
          </cell>
          <cell r="Y1287">
            <v>-6785286.8200000003</v>
          </cell>
          <cell r="AA1287">
            <v>-8482785.8200000003</v>
          </cell>
          <cell r="AJ1287">
            <v>-6998981.7116666688</v>
          </cell>
          <cell r="AN1287">
            <v>-6967713.3899999978</v>
          </cell>
          <cell r="AR1287">
            <v>-6754591.7033333322</v>
          </cell>
          <cell r="AV1287">
            <v>-6532667.8083333336</v>
          </cell>
          <cell r="AZ1287">
            <v>-6372125.8216666654</v>
          </cell>
        </row>
        <row r="1288">
          <cell r="Q1288">
            <v>-77062.05</v>
          </cell>
          <cell r="S1288">
            <v>-362954.69</v>
          </cell>
          <cell r="U1288">
            <v>-97618.41</v>
          </cell>
          <cell r="V1288">
            <v>-182213.78</v>
          </cell>
          <cell r="W1288">
            <v>-223155.87</v>
          </cell>
          <cell r="Y1288">
            <v>-58752.86</v>
          </cell>
          <cell r="AA1288">
            <v>-11499.95</v>
          </cell>
          <cell r="AJ1288">
            <v>-164488.53874999998</v>
          </cell>
          <cell r="AN1288">
            <v>-169512.85750000001</v>
          </cell>
          <cell r="AR1288">
            <v>-166762.15791666668</v>
          </cell>
          <cell r="AV1288">
            <v>-161241.02625000002</v>
          </cell>
          <cell r="AZ1288">
            <v>-204766.57625000001</v>
          </cell>
        </row>
        <row r="1289">
          <cell r="Q1289">
            <v>341440.23</v>
          </cell>
          <cell r="S1289">
            <v>227627.23</v>
          </cell>
          <cell r="U1289">
            <v>113813.23</v>
          </cell>
          <cell r="V1289">
            <v>56907.23</v>
          </cell>
          <cell r="W1289">
            <v>0</v>
          </cell>
          <cell r="Y1289">
            <v>-110485</v>
          </cell>
          <cell r="AA1289">
            <v>-220797</v>
          </cell>
          <cell r="AJ1289">
            <v>87083.492500000022</v>
          </cell>
          <cell r="AN1289">
            <v>85961.60083333333</v>
          </cell>
          <cell r="AR1289">
            <v>85908.744583333333</v>
          </cell>
          <cell r="AV1289">
            <v>85297.26208333332</v>
          </cell>
          <cell r="AZ1289">
            <v>83019.492083333331</v>
          </cell>
        </row>
        <row r="1290">
          <cell r="Q1290">
            <v>-1406999</v>
          </cell>
          <cell r="S1290">
            <v>-1622925</v>
          </cell>
          <cell r="U1290">
            <v>-1190954</v>
          </cell>
          <cell r="V1290">
            <v>-1298912</v>
          </cell>
          <cell r="W1290">
            <v>-1406870</v>
          </cell>
          <cell r="Y1290">
            <v>-1622785</v>
          </cell>
          <cell r="AA1290">
            <v>-1079579</v>
          </cell>
          <cell r="AJ1290">
            <v>-58624.958333333336</v>
          </cell>
          <cell r="AN1290">
            <v>-581873</v>
          </cell>
          <cell r="AR1290">
            <v>-1050829.5416666667</v>
          </cell>
          <cell r="AV1290">
            <v>-1390848.4583333333</v>
          </cell>
          <cell r="AZ1290">
            <v>-1171392.3079166666</v>
          </cell>
        </row>
        <row r="1291">
          <cell r="Q1291">
            <v>-11570807.58</v>
          </cell>
          <cell r="S1291">
            <v>-13656734.460000001</v>
          </cell>
          <cell r="U1291">
            <v>-9493125.9199999999</v>
          </cell>
          <cell r="V1291">
            <v>-10520120.92</v>
          </cell>
          <cell r="W1291">
            <v>-11593659.92</v>
          </cell>
          <cell r="Y1291">
            <v>-13713952.92</v>
          </cell>
          <cell r="AA1291">
            <v>-10411005.189999999</v>
          </cell>
          <cell r="AJ1291">
            <v>-11931616.918750001</v>
          </cell>
          <cell r="AN1291">
            <v>-11583565.196666667</v>
          </cell>
          <cell r="AR1291">
            <v>-11566906.365833335</v>
          </cell>
          <cell r="AV1291">
            <v>-12158945.872083334</v>
          </cell>
          <cell r="AZ1291">
            <v>-12358541.988750001</v>
          </cell>
        </row>
        <row r="1292">
          <cell r="Q1292">
            <v>0</v>
          </cell>
          <cell r="S1292">
            <v>0</v>
          </cell>
          <cell r="U1292">
            <v>0</v>
          </cell>
          <cell r="V1292">
            <v>0</v>
          </cell>
          <cell r="W1292">
            <v>0</v>
          </cell>
          <cell r="Y1292">
            <v>0</v>
          </cell>
          <cell r="AA1292">
            <v>0</v>
          </cell>
          <cell r="AJ1292">
            <v>0</v>
          </cell>
          <cell r="AN1292">
            <v>0</v>
          </cell>
          <cell r="AR1292">
            <v>0</v>
          </cell>
          <cell r="AV1292">
            <v>0</v>
          </cell>
          <cell r="AZ1292">
            <v>0</v>
          </cell>
        </row>
        <row r="1293">
          <cell r="Q1293">
            <v>-9683655.75</v>
          </cell>
          <cell r="S1293">
            <v>-9107060.3499999996</v>
          </cell>
          <cell r="U1293">
            <v>-6464594.7199999997</v>
          </cell>
          <cell r="V1293">
            <v>-6985746.9299999997</v>
          </cell>
          <cell r="W1293">
            <v>-8185639.9400000004</v>
          </cell>
          <cell r="Y1293">
            <v>-6593278.8300000001</v>
          </cell>
          <cell r="AA1293">
            <v>-5622302.5800000001</v>
          </cell>
          <cell r="AJ1293">
            <v>-7197295.604166667</v>
          </cell>
          <cell r="AN1293">
            <v>-7435263.2787500015</v>
          </cell>
          <cell r="AR1293">
            <v>-7495059.8820833331</v>
          </cell>
          <cell r="AV1293">
            <v>-7529324.3091666661</v>
          </cell>
          <cell r="AZ1293">
            <v>-7351795.495000001</v>
          </cell>
        </row>
        <row r="1294">
          <cell r="Q1294">
            <v>0</v>
          </cell>
          <cell r="S1294">
            <v>0</v>
          </cell>
          <cell r="U1294">
            <v>0</v>
          </cell>
          <cell r="V1294">
            <v>0</v>
          </cell>
          <cell r="W1294">
            <v>0</v>
          </cell>
          <cell r="Y1294">
            <v>0</v>
          </cell>
          <cell r="AA1294">
            <v>0</v>
          </cell>
          <cell r="AJ1294">
            <v>0</v>
          </cell>
          <cell r="AN1294">
            <v>0</v>
          </cell>
          <cell r="AR1294">
            <v>0</v>
          </cell>
          <cell r="AV1294">
            <v>0</v>
          </cell>
          <cell r="AZ1294">
            <v>0</v>
          </cell>
        </row>
        <row r="1295">
          <cell r="Q1295">
            <v>-498877.09</v>
          </cell>
          <cell r="S1295">
            <v>-315110.52</v>
          </cell>
          <cell r="U1295">
            <v>-130339.05</v>
          </cell>
          <cell r="V1295">
            <v>-274972.05</v>
          </cell>
          <cell r="W1295">
            <v>-419605.05</v>
          </cell>
          <cell r="Y1295">
            <v>-457389.05</v>
          </cell>
          <cell r="AA1295">
            <v>-389155.6</v>
          </cell>
          <cell r="AJ1295">
            <v>-305220.6570833333</v>
          </cell>
          <cell r="AN1295">
            <v>-318087.17583333334</v>
          </cell>
          <cell r="AR1295">
            <v>-336930.35374999995</v>
          </cell>
          <cell r="AV1295">
            <v>-387834.03375</v>
          </cell>
          <cell r="AZ1295">
            <v>-450611.26250000001</v>
          </cell>
        </row>
        <row r="1296">
          <cell r="Q1296">
            <v>-30.94</v>
          </cell>
          <cell r="S1296">
            <v>-17.329999999999998</v>
          </cell>
          <cell r="U1296">
            <v>-3.8</v>
          </cell>
          <cell r="V1296">
            <v>-3.8</v>
          </cell>
          <cell r="W1296">
            <v>-3.8</v>
          </cell>
          <cell r="Y1296">
            <v>0</v>
          </cell>
          <cell r="AA1296">
            <v>0</v>
          </cell>
          <cell r="AJ1296">
            <v>-17.712500000000002</v>
          </cell>
          <cell r="AN1296">
            <v>-14.298333333333332</v>
          </cell>
          <cell r="AR1296">
            <v>-12.031666666666668</v>
          </cell>
          <cell r="AV1296">
            <v>-6.8083333333333327</v>
          </cell>
          <cell r="AZ1296">
            <v>-11.232916666666668</v>
          </cell>
        </row>
        <row r="1297">
          <cell r="Q1297">
            <v>305812</v>
          </cell>
          <cell r="S1297">
            <v>265523</v>
          </cell>
          <cell r="U1297">
            <v>259234</v>
          </cell>
          <cell r="V1297">
            <v>736015</v>
          </cell>
          <cell r="W1297">
            <v>953505</v>
          </cell>
          <cell r="Y1297">
            <v>868672</v>
          </cell>
          <cell r="AA1297">
            <v>278506</v>
          </cell>
          <cell r="AJ1297">
            <v>315597.625</v>
          </cell>
          <cell r="AN1297">
            <v>282819.5</v>
          </cell>
          <cell r="AR1297">
            <v>457228.75</v>
          </cell>
          <cell r="AV1297">
            <v>551873.79166666663</v>
          </cell>
          <cell r="AZ1297">
            <v>879394.75</v>
          </cell>
        </row>
        <row r="1298">
          <cell r="Q1298">
            <v>-7297930.4100000001</v>
          </cell>
          <cell r="S1298">
            <v>-7989302.9100000001</v>
          </cell>
          <cell r="U1298">
            <v>-7959096.1500000004</v>
          </cell>
          <cell r="V1298">
            <v>-5894389.6299999999</v>
          </cell>
          <cell r="W1298">
            <v>-5563734.9800000004</v>
          </cell>
          <cell r="Y1298">
            <v>-5564182.8899999997</v>
          </cell>
          <cell r="AA1298">
            <v>-5592600.0899999999</v>
          </cell>
          <cell r="AJ1298">
            <v>-6355122.0479166666</v>
          </cell>
          <cell r="AN1298">
            <v>-6534978.0304166647</v>
          </cell>
          <cell r="AR1298">
            <v>-6587419.0258333338</v>
          </cell>
          <cell r="AV1298">
            <v>-6554900.5158333331</v>
          </cell>
          <cell r="AZ1298">
            <v>-6322643.2000000002</v>
          </cell>
        </row>
        <row r="1299">
          <cell r="Q1299">
            <v>-5807356.5700000003</v>
          </cell>
          <cell r="S1299">
            <v>-7003122.7800000003</v>
          </cell>
          <cell r="U1299">
            <v>-5105752.41</v>
          </cell>
          <cell r="V1299">
            <v>-3502834.66</v>
          </cell>
          <cell r="W1299">
            <v>-2169384.65</v>
          </cell>
          <cell r="Y1299">
            <v>-1551830.59</v>
          </cell>
          <cell r="AA1299">
            <v>-2327665.79</v>
          </cell>
          <cell r="AJ1299">
            <v>-3739945.96875</v>
          </cell>
          <cell r="AN1299">
            <v>-4073437.4158333335</v>
          </cell>
          <cell r="AR1299">
            <v>-4055176.0991666666</v>
          </cell>
          <cell r="AV1299">
            <v>-3998923.0287500001</v>
          </cell>
          <cell r="AZ1299">
            <v>-3313124.1837499999</v>
          </cell>
        </row>
        <row r="1300">
          <cell r="Q1300">
            <v>-7359339.5800000001</v>
          </cell>
          <cell r="S1300">
            <v>-8763855.4900000002</v>
          </cell>
          <cell r="U1300">
            <v>-5717789.7999999998</v>
          </cell>
          <cell r="V1300">
            <v>-4601520.13</v>
          </cell>
          <cell r="W1300">
            <v>-3859464.73</v>
          </cell>
          <cell r="Y1300">
            <v>-2013682.9</v>
          </cell>
          <cell r="AA1300">
            <v>-2572601.4</v>
          </cell>
          <cell r="AJ1300">
            <v>-4594499.4729166664</v>
          </cell>
          <cell r="AN1300">
            <v>-5024047.0029166667</v>
          </cell>
          <cell r="AR1300">
            <v>-5035604.8687499994</v>
          </cell>
          <cell r="AV1300">
            <v>-4978741.3491666662</v>
          </cell>
          <cell r="AZ1300">
            <v>-4159840.9883333333</v>
          </cell>
        </row>
        <row r="1301">
          <cell r="Q1301">
            <v>0</v>
          </cell>
          <cell r="S1301">
            <v>0</v>
          </cell>
          <cell r="U1301">
            <v>0</v>
          </cell>
          <cell r="V1301">
            <v>0</v>
          </cell>
          <cell r="W1301">
            <v>0</v>
          </cell>
          <cell r="Y1301">
            <v>0</v>
          </cell>
          <cell r="AA1301">
            <v>0</v>
          </cell>
          <cell r="AJ1301">
            <v>0</v>
          </cell>
          <cell r="AN1301">
            <v>0</v>
          </cell>
          <cell r="AR1301">
            <v>0</v>
          </cell>
          <cell r="AV1301">
            <v>0</v>
          </cell>
          <cell r="AZ1301">
            <v>0</v>
          </cell>
        </row>
        <row r="1302">
          <cell r="Q1302">
            <v>0</v>
          </cell>
          <cell r="S1302">
            <v>0</v>
          </cell>
          <cell r="U1302">
            <v>0</v>
          </cell>
          <cell r="V1302">
            <v>0</v>
          </cell>
          <cell r="W1302">
            <v>0</v>
          </cell>
          <cell r="Y1302">
            <v>0</v>
          </cell>
          <cell r="AA1302">
            <v>0</v>
          </cell>
          <cell r="AJ1302">
            <v>0</v>
          </cell>
          <cell r="AN1302">
            <v>0</v>
          </cell>
          <cell r="AR1302">
            <v>0</v>
          </cell>
          <cell r="AV1302">
            <v>0</v>
          </cell>
          <cell r="AZ1302">
            <v>0</v>
          </cell>
        </row>
        <row r="1303">
          <cell r="Q1303">
            <v>-271708.83</v>
          </cell>
          <cell r="S1303">
            <v>-344799.18</v>
          </cell>
          <cell r="U1303">
            <v>-530208.34</v>
          </cell>
          <cell r="V1303">
            <v>-508651.21</v>
          </cell>
          <cell r="W1303">
            <v>-349012.81</v>
          </cell>
          <cell r="Y1303">
            <v>-573820.84</v>
          </cell>
          <cell r="AA1303">
            <v>-368629.7</v>
          </cell>
          <cell r="AJ1303">
            <v>-209618.11958333335</v>
          </cell>
          <cell r="AN1303">
            <v>-325652.35333333333</v>
          </cell>
          <cell r="AR1303">
            <v>-382835.00041666668</v>
          </cell>
          <cell r="AV1303">
            <v>-419431.12916666665</v>
          </cell>
          <cell r="AZ1303">
            <v>-352323.64999999997</v>
          </cell>
        </row>
        <row r="1304">
          <cell r="Q1304">
            <v>0</v>
          </cell>
          <cell r="S1304">
            <v>0</v>
          </cell>
          <cell r="U1304">
            <v>0</v>
          </cell>
          <cell r="V1304">
            <v>0</v>
          </cell>
          <cell r="W1304">
            <v>0</v>
          </cell>
          <cell r="Y1304">
            <v>0</v>
          </cell>
          <cell r="AA1304">
            <v>0</v>
          </cell>
          <cell r="AJ1304">
            <v>0</v>
          </cell>
          <cell r="AN1304">
            <v>0</v>
          </cell>
          <cell r="AR1304">
            <v>0</v>
          </cell>
          <cell r="AV1304">
            <v>0</v>
          </cell>
          <cell r="AZ1304">
            <v>0</v>
          </cell>
        </row>
        <row r="1305">
          <cell r="Q1305">
            <v>-72845.31</v>
          </cell>
          <cell r="S1305">
            <v>-71733.13</v>
          </cell>
          <cell r="U1305">
            <v>-73567.25</v>
          </cell>
          <cell r="V1305">
            <v>-56332.63</v>
          </cell>
          <cell r="W1305">
            <v>-67384.67</v>
          </cell>
          <cell r="Y1305">
            <v>-44111.49</v>
          </cell>
          <cell r="AA1305">
            <v>-46656.86</v>
          </cell>
          <cell r="AJ1305">
            <v>-86873.543749999997</v>
          </cell>
          <cell r="AN1305">
            <v>-79077.377499999988</v>
          </cell>
          <cell r="AR1305">
            <v>-73140.700416666674</v>
          </cell>
          <cell r="AV1305">
            <v>-60163.622499999998</v>
          </cell>
          <cell r="AZ1305">
            <v>-71990.947499999995</v>
          </cell>
        </row>
        <row r="1306">
          <cell r="Q1306">
            <v>0</v>
          </cell>
          <cell r="S1306">
            <v>0</v>
          </cell>
          <cell r="U1306">
            <v>0</v>
          </cell>
          <cell r="V1306">
            <v>0</v>
          </cell>
          <cell r="W1306">
            <v>0</v>
          </cell>
          <cell r="Y1306">
            <v>0</v>
          </cell>
          <cell r="AA1306">
            <v>0</v>
          </cell>
          <cell r="AJ1306">
            <v>0</v>
          </cell>
          <cell r="AN1306">
            <v>0</v>
          </cell>
          <cell r="AR1306">
            <v>0</v>
          </cell>
          <cell r="AV1306">
            <v>0</v>
          </cell>
          <cell r="AZ1306">
            <v>0</v>
          </cell>
        </row>
        <row r="1307">
          <cell r="Q1307">
            <v>-25107.439999999999</v>
          </cell>
          <cell r="S1307">
            <v>-10307.530000000001</v>
          </cell>
          <cell r="U1307">
            <v>-9573.85</v>
          </cell>
          <cell r="V1307">
            <v>-13277.58</v>
          </cell>
          <cell r="W1307">
            <v>-15789.51</v>
          </cell>
          <cell r="Y1307">
            <v>-8311.68</v>
          </cell>
          <cell r="AA1307">
            <v>-5433.6</v>
          </cell>
          <cell r="AJ1307">
            <v>-10310.235833333334</v>
          </cell>
          <cell r="AN1307">
            <v>-12104.974583333331</v>
          </cell>
          <cell r="AR1307">
            <v>-11991.380416666667</v>
          </cell>
          <cell r="AV1307">
            <v>-12022.15625</v>
          </cell>
          <cell r="AZ1307">
            <v>-11522.5875</v>
          </cell>
        </row>
        <row r="1308">
          <cell r="Q1308">
            <v>0</v>
          </cell>
          <cell r="S1308">
            <v>0</v>
          </cell>
          <cell r="U1308">
            <v>0</v>
          </cell>
          <cell r="V1308">
            <v>0</v>
          </cell>
          <cell r="W1308">
            <v>0</v>
          </cell>
          <cell r="Y1308">
            <v>0</v>
          </cell>
          <cell r="AA1308">
            <v>0</v>
          </cell>
          <cell r="AJ1308">
            <v>0</v>
          </cell>
          <cell r="AN1308">
            <v>0</v>
          </cell>
          <cell r="AR1308">
            <v>0</v>
          </cell>
          <cell r="AV1308">
            <v>0</v>
          </cell>
          <cell r="AZ1308">
            <v>0</v>
          </cell>
        </row>
        <row r="1309">
          <cell r="Q1309">
            <v>0</v>
          </cell>
          <cell r="S1309">
            <v>0</v>
          </cell>
          <cell r="U1309">
            <v>0</v>
          </cell>
          <cell r="V1309">
            <v>0</v>
          </cell>
          <cell r="W1309">
            <v>0</v>
          </cell>
          <cell r="Y1309">
            <v>0</v>
          </cell>
          <cell r="AA1309">
            <v>0</v>
          </cell>
          <cell r="AJ1309">
            <v>0</v>
          </cell>
          <cell r="AN1309">
            <v>0</v>
          </cell>
          <cell r="AR1309">
            <v>0</v>
          </cell>
          <cell r="AV1309">
            <v>0</v>
          </cell>
          <cell r="AZ1309">
            <v>0</v>
          </cell>
        </row>
        <row r="1310">
          <cell r="Q1310">
            <v>-38697.870000000003</v>
          </cell>
          <cell r="S1310">
            <v>-154211.84</v>
          </cell>
          <cell r="U1310">
            <v>-2096.52</v>
          </cell>
          <cell r="V1310">
            <v>-5469.89</v>
          </cell>
          <cell r="W1310">
            <v>-7589.11</v>
          </cell>
          <cell r="Y1310">
            <v>-4398.3500000000004</v>
          </cell>
          <cell r="AA1310">
            <v>-1853.11</v>
          </cell>
          <cell r="AJ1310">
            <v>-40663.553333333337</v>
          </cell>
          <cell r="AN1310">
            <v>-44029.446666666663</v>
          </cell>
          <cell r="AR1310">
            <v>-43401.279583333337</v>
          </cell>
          <cell r="AV1310">
            <v>-41768.605000000003</v>
          </cell>
          <cell r="AZ1310">
            <v>-40924.381250000006</v>
          </cell>
        </row>
        <row r="1311">
          <cell r="Q1311">
            <v>0</v>
          </cell>
          <cell r="S1311">
            <v>0</v>
          </cell>
          <cell r="U1311">
            <v>0</v>
          </cell>
          <cell r="V1311">
            <v>0</v>
          </cell>
          <cell r="W1311">
            <v>0</v>
          </cell>
          <cell r="Y1311">
            <v>0</v>
          </cell>
          <cell r="AA1311">
            <v>0</v>
          </cell>
          <cell r="AJ1311">
            <v>-39085.421249999999</v>
          </cell>
          <cell r="AN1311">
            <v>0</v>
          </cell>
          <cell r="AR1311">
            <v>0</v>
          </cell>
          <cell r="AV1311">
            <v>0</v>
          </cell>
          <cell r="AZ1311">
            <v>0</v>
          </cell>
        </row>
        <row r="1312">
          <cell r="Q1312">
            <v>-797500</v>
          </cell>
          <cell r="S1312">
            <v>-1196250</v>
          </cell>
          <cell r="U1312">
            <v>-398750</v>
          </cell>
          <cell r="V1312">
            <v>-598125</v>
          </cell>
          <cell r="W1312">
            <v>-797500</v>
          </cell>
          <cell r="Y1312">
            <v>-1196250</v>
          </cell>
          <cell r="AA1312">
            <v>-398750</v>
          </cell>
          <cell r="AJ1312">
            <v>-697812.5</v>
          </cell>
          <cell r="AN1312">
            <v>-697812.5</v>
          </cell>
          <cell r="AR1312">
            <v>-697812.5</v>
          </cell>
          <cell r="AV1312">
            <v>-697812.5</v>
          </cell>
          <cell r="AZ1312">
            <v>-697812.5</v>
          </cell>
        </row>
        <row r="1313">
          <cell r="Q1313">
            <v>0</v>
          </cell>
          <cell r="S1313">
            <v>0</v>
          </cell>
          <cell r="U1313">
            <v>0</v>
          </cell>
          <cell r="V1313">
            <v>0</v>
          </cell>
          <cell r="W1313">
            <v>0</v>
          </cell>
          <cell r="Y1313">
            <v>0</v>
          </cell>
          <cell r="AA1313">
            <v>0</v>
          </cell>
          <cell r="AJ1313">
            <v>-31346.052083333332</v>
          </cell>
          <cell r="AN1313">
            <v>-15474.655416666666</v>
          </cell>
          <cell r="AR1313">
            <v>0</v>
          </cell>
          <cell r="AV1313">
            <v>0</v>
          </cell>
          <cell r="AZ1313">
            <v>0</v>
          </cell>
        </row>
        <row r="1314">
          <cell r="Q1314">
            <v>-8537.5</v>
          </cell>
          <cell r="S1314">
            <v>-42687.5</v>
          </cell>
          <cell r="U1314">
            <v>-76837.5</v>
          </cell>
          <cell r="V1314">
            <v>-93912.5</v>
          </cell>
          <cell r="W1314">
            <v>-8537.5</v>
          </cell>
          <cell r="Y1314">
            <v>-42687.5</v>
          </cell>
          <cell r="AA1314">
            <v>-76837.5</v>
          </cell>
          <cell r="AJ1314">
            <v>-51225</v>
          </cell>
          <cell r="AN1314">
            <v>-51225</v>
          </cell>
          <cell r="AR1314">
            <v>-51225</v>
          </cell>
          <cell r="AV1314">
            <v>-51225</v>
          </cell>
          <cell r="AZ1314">
            <v>-51225</v>
          </cell>
        </row>
        <row r="1315">
          <cell r="Q1315">
            <v>-439101.73</v>
          </cell>
          <cell r="S1315">
            <v>0</v>
          </cell>
          <cell r="U1315">
            <v>0</v>
          </cell>
          <cell r="V1315">
            <v>0</v>
          </cell>
          <cell r="W1315">
            <v>0</v>
          </cell>
          <cell r="Y1315">
            <v>0</v>
          </cell>
          <cell r="AA1315">
            <v>0</v>
          </cell>
          <cell r="AJ1315">
            <v>-388005.26791666663</v>
          </cell>
          <cell r="AN1315">
            <v>-266531.89041666669</v>
          </cell>
          <cell r="AR1315">
            <v>-192746.64541666667</v>
          </cell>
          <cell r="AV1315">
            <v>-41955.779583333329</v>
          </cell>
          <cell r="AZ1315">
            <v>0</v>
          </cell>
        </row>
        <row r="1316">
          <cell r="Q1316">
            <v>0</v>
          </cell>
          <cell r="S1316">
            <v>0</v>
          </cell>
          <cell r="U1316">
            <v>0</v>
          </cell>
          <cell r="V1316">
            <v>0</v>
          </cell>
          <cell r="W1316">
            <v>0</v>
          </cell>
          <cell r="Y1316">
            <v>0</v>
          </cell>
          <cell r="AA1316">
            <v>0</v>
          </cell>
          <cell r="AJ1316">
            <v>-8928.6458333333339</v>
          </cell>
          <cell r="AN1316">
            <v>-4407.8125</v>
          </cell>
          <cell r="AR1316">
            <v>0</v>
          </cell>
          <cell r="AV1316">
            <v>0</v>
          </cell>
          <cell r="AZ1316">
            <v>0</v>
          </cell>
        </row>
        <row r="1317">
          <cell r="Q1317">
            <v>0</v>
          </cell>
          <cell r="S1317">
            <v>0</v>
          </cell>
          <cell r="U1317">
            <v>0</v>
          </cell>
          <cell r="V1317">
            <v>0</v>
          </cell>
          <cell r="W1317">
            <v>0</v>
          </cell>
          <cell r="Y1317">
            <v>0</v>
          </cell>
          <cell r="AA1317">
            <v>0</v>
          </cell>
          <cell r="AJ1317">
            <v>0</v>
          </cell>
          <cell r="AN1317">
            <v>0</v>
          </cell>
          <cell r="AR1317">
            <v>0</v>
          </cell>
          <cell r="AV1317">
            <v>0</v>
          </cell>
          <cell r="AZ1317">
            <v>0</v>
          </cell>
        </row>
        <row r="1318">
          <cell r="Q1318">
            <v>0</v>
          </cell>
          <cell r="S1318">
            <v>0</v>
          </cell>
          <cell r="U1318">
            <v>0</v>
          </cell>
          <cell r="V1318">
            <v>0</v>
          </cell>
          <cell r="W1318">
            <v>0</v>
          </cell>
          <cell r="Y1318">
            <v>0</v>
          </cell>
          <cell r="AA1318">
            <v>0</v>
          </cell>
          <cell r="AJ1318">
            <v>0</v>
          </cell>
          <cell r="AN1318">
            <v>0</v>
          </cell>
          <cell r="AR1318">
            <v>0</v>
          </cell>
          <cell r="AV1318">
            <v>0</v>
          </cell>
          <cell r="AZ1318">
            <v>0</v>
          </cell>
        </row>
        <row r="1319">
          <cell r="Q1319">
            <v>-28750</v>
          </cell>
          <cell r="S1319">
            <v>-143750</v>
          </cell>
          <cell r="U1319">
            <v>-258750</v>
          </cell>
          <cell r="V1319">
            <v>-316250</v>
          </cell>
          <cell r="W1319">
            <v>-28750</v>
          </cell>
          <cell r="Y1319">
            <v>-143750</v>
          </cell>
          <cell r="AA1319">
            <v>-258750</v>
          </cell>
          <cell r="AJ1319">
            <v>-172500</v>
          </cell>
          <cell r="AN1319">
            <v>-172500</v>
          </cell>
          <cell r="AR1319">
            <v>-172500</v>
          </cell>
          <cell r="AV1319">
            <v>-172500</v>
          </cell>
          <cell r="AZ1319">
            <v>-172500</v>
          </cell>
        </row>
        <row r="1320">
          <cell r="Q1320">
            <v>0</v>
          </cell>
          <cell r="S1320">
            <v>0</v>
          </cell>
          <cell r="U1320">
            <v>0</v>
          </cell>
          <cell r="V1320">
            <v>0</v>
          </cell>
          <cell r="W1320">
            <v>0</v>
          </cell>
          <cell r="Y1320">
            <v>0</v>
          </cell>
          <cell r="AA1320">
            <v>0</v>
          </cell>
          <cell r="AJ1320">
            <v>0</v>
          </cell>
          <cell r="AN1320">
            <v>0</v>
          </cell>
          <cell r="AR1320">
            <v>0</v>
          </cell>
          <cell r="AV1320">
            <v>0</v>
          </cell>
          <cell r="AZ1320">
            <v>0</v>
          </cell>
        </row>
        <row r="1321">
          <cell r="Q1321">
            <v>0</v>
          </cell>
          <cell r="S1321">
            <v>0</v>
          </cell>
          <cell r="U1321">
            <v>0</v>
          </cell>
          <cell r="V1321">
            <v>0</v>
          </cell>
          <cell r="W1321">
            <v>0</v>
          </cell>
          <cell r="Y1321">
            <v>0</v>
          </cell>
          <cell r="AA1321">
            <v>0</v>
          </cell>
          <cell r="AJ1321">
            <v>0</v>
          </cell>
          <cell r="AN1321">
            <v>0</v>
          </cell>
          <cell r="AR1321">
            <v>0</v>
          </cell>
          <cell r="AV1321">
            <v>0</v>
          </cell>
          <cell r="AZ1321">
            <v>0</v>
          </cell>
        </row>
        <row r="1322">
          <cell r="Q1322">
            <v>0</v>
          </cell>
          <cell r="S1322">
            <v>0</v>
          </cell>
          <cell r="U1322">
            <v>0</v>
          </cell>
          <cell r="V1322">
            <v>0</v>
          </cell>
          <cell r="W1322">
            <v>0</v>
          </cell>
          <cell r="Y1322">
            <v>0</v>
          </cell>
          <cell r="AA1322">
            <v>0</v>
          </cell>
          <cell r="AJ1322">
            <v>0</v>
          </cell>
          <cell r="AN1322">
            <v>0</v>
          </cell>
          <cell r="AR1322">
            <v>0</v>
          </cell>
          <cell r="AV1322">
            <v>0</v>
          </cell>
          <cell r="AZ1322">
            <v>0</v>
          </cell>
        </row>
        <row r="1323">
          <cell r="Q1323">
            <v>0</v>
          </cell>
          <cell r="S1323">
            <v>0</v>
          </cell>
          <cell r="U1323">
            <v>0</v>
          </cell>
          <cell r="V1323">
            <v>0</v>
          </cell>
          <cell r="W1323">
            <v>0</v>
          </cell>
          <cell r="Y1323">
            <v>0</v>
          </cell>
          <cell r="AA1323">
            <v>0</v>
          </cell>
          <cell r="AJ1323">
            <v>0</v>
          </cell>
          <cell r="AN1323">
            <v>0</v>
          </cell>
          <cell r="AR1323">
            <v>0</v>
          </cell>
          <cell r="AV1323">
            <v>0</v>
          </cell>
          <cell r="AZ1323">
            <v>0</v>
          </cell>
        </row>
        <row r="1324">
          <cell r="Q1324">
            <v>0</v>
          </cell>
          <cell r="S1324">
            <v>0</v>
          </cell>
          <cell r="U1324">
            <v>0</v>
          </cell>
          <cell r="V1324">
            <v>0</v>
          </cell>
          <cell r="W1324">
            <v>0</v>
          </cell>
          <cell r="Y1324">
            <v>0</v>
          </cell>
          <cell r="AA1324">
            <v>0</v>
          </cell>
          <cell r="AJ1324">
            <v>0</v>
          </cell>
          <cell r="AN1324">
            <v>0</v>
          </cell>
          <cell r="AR1324">
            <v>0</v>
          </cell>
          <cell r="AV1324">
            <v>0</v>
          </cell>
          <cell r="AZ1324">
            <v>0</v>
          </cell>
        </row>
        <row r="1325">
          <cell r="Q1325">
            <v>-20766.669999999998</v>
          </cell>
          <cell r="S1325">
            <v>-103833.33</v>
          </cell>
          <cell r="U1325">
            <v>-186899.99</v>
          </cell>
          <cell r="V1325">
            <v>-228433.32</v>
          </cell>
          <cell r="W1325">
            <v>-20766.650000000001</v>
          </cell>
          <cell r="Y1325">
            <v>-103833.33</v>
          </cell>
          <cell r="AA1325">
            <v>-186899.99</v>
          </cell>
          <cell r="AJ1325">
            <v>-124599.78208333334</v>
          </cell>
          <cell r="AN1325">
            <v>-124599.91208333334</v>
          </cell>
          <cell r="AR1325">
            <v>-124599.99333333335</v>
          </cell>
          <cell r="AV1325">
            <v>-124599.99249999999</v>
          </cell>
          <cell r="AZ1325">
            <v>-124599.99166666665</v>
          </cell>
        </row>
        <row r="1326">
          <cell r="Q1326">
            <v>-30625</v>
          </cell>
          <cell r="S1326">
            <v>-153125</v>
          </cell>
          <cell r="U1326">
            <v>-275625</v>
          </cell>
          <cell r="V1326">
            <v>-336875</v>
          </cell>
          <cell r="W1326">
            <v>-30625</v>
          </cell>
          <cell r="Y1326">
            <v>-153125</v>
          </cell>
          <cell r="AA1326">
            <v>-275625</v>
          </cell>
          <cell r="AJ1326">
            <v>-183750</v>
          </cell>
          <cell r="AN1326">
            <v>-183750</v>
          </cell>
          <cell r="AR1326">
            <v>-183750</v>
          </cell>
          <cell r="AV1326">
            <v>-183750</v>
          </cell>
          <cell r="AZ1326">
            <v>-183750</v>
          </cell>
        </row>
        <row r="1327">
          <cell r="Q1327">
            <v>-6133.33</v>
          </cell>
          <cell r="S1327">
            <v>-30666.67</v>
          </cell>
          <cell r="U1327">
            <v>-55200.01</v>
          </cell>
          <cell r="V1327">
            <v>-67466.679999999993</v>
          </cell>
          <cell r="W1327">
            <v>-6133.35</v>
          </cell>
          <cell r="Y1327">
            <v>-30666.67</v>
          </cell>
          <cell r="AA1327">
            <v>-55200.01</v>
          </cell>
          <cell r="AJ1327">
            <v>-36800.217916666668</v>
          </cell>
          <cell r="AN1327">
            <v>-36800.087916666664</v>
          </cell>
          <cell r="AR1327">
            <v>-36800.006666666661</v>
          </cell>
          <cell r="AV1327">
            <v>-36800.0075</v>
          </cell>
          <cell r="AZ1327">
            <v>-36800.008333333331</v>
          </cell>
        </row>
        <row r="1328">
          <cell r="Q1328">
            <v>-8262.5</v>
          </cell>
          <cell r="S1328">
            <v>-41312.5</v>
          </cell>
          <cell r="U1328">
            <v>-74362.5</v>
          </cell>
          <cell r="V1328">
            <v>-90887.5</v>
          </cell>
          <cell r="W1328">
            <v>-8262.5</v>
          </cell>
          <cell r="Y1328">
            <v>-41312.5</v>
          </cell>
          <cell r="AA1328">
            <v>-74362.5</v>
          </cell>
          <cell r="AJ1328">
            <v>-49575</v>
          </cell>
          <cell r="AN1328">
            <v>-49575</v>
          </cell>
          <cell r="AR1328">
            <v>-49575</v>
          </cell>
          <cell r="AV1328">
            <v>-49230.729166666664</v>
          </cell>
          <cell r="AZ1328">
            <v>-35459.895833333336</v>
          </cell>
        </row>
        <row r="1329">
          <cell r="Q1329">
            <v>-13791.67</v>
          </cell>
          <cell r="S1329">
            <v>-68958.33</v>
          </cell>
          <cell r="U1329">
            <v>-124124.99</v>
          </cell>
          <cell r="V1329">
            <v>-151708.32</v>
          </cell>
          <cell r="W1329">
            <v>-13791.65</v>
          </cell>
          <cell r="Y1329">
            <v>-68958.33</v>
          </cell>
          <cell r="AA1329">
            <v>-124124.99</v>
          </cell>
          <cell r="AJ1329">
            <v>-82749.782083333339</v>
          </cell>
          <cell r="AN1329">
            <v>-82749.912083333344</v>
          </cell>
          <cell r="AR1329">
            <v>-82749.993333333332</v>
          </cell>
          <cell r="AV1329">
            <v>-82175.340416666659</v>
          </cell>
          <cell r="AZ1329">
            <v>-59189.230416666665</v>
          </cell>
        </row>
        <row r="1330">
          <cell r="Q1330">
            <v>-44687.5</v>
          </cell>
          <cell r="S1330">
            <v>-223437.5</v>
          </cell>
          <cell r="U1330">
            <v>-402187.5</v>
          </cell>
          <cell r="V1330">
            <v>-491562.5</v>
          </cell>
          <cell r="W1330">
            <v>-44687.5</v>
          </cell>
          <cell r="Y1330">
            <v>-223437.5</v>
          </cell>
          <cell r="AA1330">
            <v>-402187.5</v>
          </cell>
          <cell r="AJ1330">
            <v>-268125</v>
          </cell>
          <cell r="AN1330">
            <v>-268125</v>
          </cell>
          <cell r="AR1330">
            <v>-268125</v>
          </cell>
          <cell r="AV1330">
            <v>-268125</v>
          </cell>
          <cell r="AZ1330">
            <v>-268125</v>
          </cell>
        </row>
        <row r="1331">
          <cell r="Q1331">
            <v>0</v>
          </cell>
          <cell r="S1331">
            <v>0</v>
          </cell>
          <cell r="U1331">
            <v>0</v>
          </cell>
          <cell r="V1331">
            <v>0</v>
          </cell>
          <cell r="W1331">
            <v>0</v>
          </cell>
          <cell r="Y1331">
            <v>0</v>
          </cell>
          <cell r="AA1331">
            <v>0</v>
          </cell>
          <cell r="AJ1331">
            <v>0</v>
          </cell>
          <cell r="AN1331">
            <v>0</v>
          </cell>
          <cell r="AR1331">
            <v>0</v>
          </cell>
          <cell r="AV1331">
            <v>0</v>
          </cell>
          <cell r="AZ1331">
            <v>0</v>
          </cell>
        </row>
        <row r="1332">
          <cell r="Q1332">
            <v>-6000</v>
          </cell>
          <cell r="S1332">
            <v>-30000</v>
          </cell>
          <cell r="U1332">
            <v>-54000</v>
          </cell>
          <cell r="V1332">
            <v>-66000</v>
          </cell>
          <cell r="W1332">
            <v>-6000</v>
          </cell>
          <cell r="Y1332">
            <v>-30000</v>
          </cell>
          <cell r="AA1332">
            <v>-54000</v>
          </cell>
          <cell r="AJ1332">
            <v>-36000</v>
          </cell>
          <cell r="AN1332">
            <v>-36000</v>
          </cell>
          <cell r="AR1332">
            <v>-36000</v>
          </cell>
          <cell r="AV1332">
            <v>-36000</v>
          </cell>
          <cell r="AZ1332">
            <v>-36000</v>
          </cell>
        </row>
        <row r="1333">
          <cell r="Q1333">
            <v>0</v>
          </cell>
          <cell r="S1333">
            <v>0</v>
          </cell>
          <cell r="U1333">
            <v>0</v>
          </cell>
          <cell r="V1333">
            <v>0</v>
          </cell>
          <cell r="W1333">
            <v>0</v>
          </cell>
          <cell r="Y1333">
            <v>0</v>
          </cell>
          <cell r="AA1333">
            <v>0</v>
          </cell>
          <cell r="AJ1333">
            <v>0</v>
          </cell>
          <cell r="AN1333">
            <v>0</v>
          </cell>
          <cell r="AR1333">
            <v>0</v>
          </cell>
          <cell r="AV1333">
            <v>0</v>
          </cell>
          <cell r="AZ1333">
            <v>0</v>
          </cell>
        </row>
        <row r="1334">
          <cell r="Q1334">
            <v>0</v>
          </cell>
          <cell r="S1334">
            <v>0</v>
          </cell>
          <cell r="U1334">
            <v>0</v>
          </cell>
          <cell r="V1334">
            <v>0</v>
          </cell>
          <cell r="W1334">
            <v>0</v>
          </cell>
          <cell r="Y1334">
            <v>0</v>
          </cell>
          <cell r="AA1334">
            <v>0</v>
          </cell>
          <cell r="AJ1334">
            <v>0</v>
          </cell>
          <cell r="AN1334">
            <v>0</v>
          </cell>
          <cell r="AR1334">
            <v>0</v>
          </cell>
          <cell r="AV1334">
            <v>0</v>
          </cell>
          <cell r="AZ1334">
            <v>0</v>
          </cell>
        </row>
        <row r="1335">
          <cell r="Q1335">
            <v>0</v>
          </cell>
          <cell r="S1335">
            <v>0</v>
          </cell>
          <cell r="U1335">
            <v>0</v>
          </cell>
          <cell r="V1335">
            <v>0</v>
          </cell>
          <cell r="W1335">
            <v>0</v>
          </cell>
          <cell r="Y1335">
            <v>0</v>
          </cell>
          <cell r="AA1335">
            <v>0</v>
          </cell>
          <cell r="AJ1335">
            <v>0</v>
          </cell>
          <cell r="AN1335">
            <v>0</v>
          </cell>
          <cell r="AR1335">
            <v>0</v>
          </cell>
          <cell r="AV1335">
            <v>0</v>
          </cell>
          <cell r="AZ1335">
            <v>0</v>
          </cell>
        </row>
        <row r="1336">
          <cell r="Q1336">
            <v>0</v>
          </cell>
          <cell r="S1336">
            <v>0</v>
          </cell>
          <cell r="U1336">
            <v>0</v>
          </cell>
          <cell r="V1336">
            <v>0</v>
          </cell>
          <cell r="W1336">
            <v>0</v>
          </cell>
          <cell r="Y1336">
            <v>0</v>
          </cell>
          <cell r="AA1336">
            <v>0</v>
          </cell>
          <cell r="AJ1336">
            <v>0</v>
          </cell>
          <cell r="AN1336">
            <v>0</v>
          </cell>
          <cell r="AR1336">
            <v>0</v>
          </cell>
          <cell r="AV1336">
            <v>0</v>
          </cell>
          <cell r="AZ1336">
            <v>0</v>
          </cell>
        </row>
        <row r="1337">
          <cell r="Q1337">
            <v>0</v>
          </cell>
          <cell r="S1337">
            <v>0</v>
          </cell>
          <cell r="U1337">
            <v>0</v>
          </cell>
          <cell r="V1337">
            <v>0</v>
          </cell>
          <cell r="W1337">
            <v>0</v>
          </cell>
          <cell r="Y1337">
            <v>0</v>
          </cell>
          <cell r="AA1337">
            <v>0</v>
          </cell>
          <cell r="AJ1337">
            <v>0</v>
          </cell>
          <cell r="AN1337">
            <v>0</v>
          </cell>
          <cell r="AR1337">
            <v>0</v>
          </cell>
          <cell r="AV1337">
            <v>0</v>
          </cell>
          <cell r="AZ1337">
            <v>0</v>
          </cell>
        </row>
        <row r="1338">
          <cell r="Q1338">
            <v>0</v>
          </cell>
          <cell r="S1338">
            <v>0</v>
          </cell>
          <cell r="U1338">
            <v>0</v>
          </cell>
          <cell r="V1338">
            <v>0</v>
          </cell>
          <cell r="W1338">
            <v>0</v>
          </cell>
          <cell r="Y1338">
            <v>0</v>
          </cell>
          <cell r="AA1338">
            <v>0</v>
          </cell>
          <cell r="AJ1338">
            <v>0</v>
          </cell>
          <cell r="AN1338">
            <v>0</v>
          </cell>
          <cell r="AR1338">
            <v>0</v>
          </cell>
          <cell r="AV1338">
            <v>0</v>
          </cell>
          <cell r="AZ1338">
            <v>0</v>
          </cell>
        </row>
        <row r="1339">
          <cell r="Q1339">
            <v>0</v>
          </cell>
          <cell r="S1339">
            <v>0</v>
          </cell>
          <cell r="U1339">
            <v>0</v>
          </cell>
          <cell r="V1339">
            <v>0</v>
          </cell>
          <cell r="W1339">
            <v>0</v>
          </cell>
          <cell r="Y1339">
            <v>0</v>
          </cell>
          <cell r="AA1339">
            <v>0</v>
          </cell>
          <cell r="AJ1339">
            <v>0</v>
          </cell>
          <cell r="AN1339">
            <v>0</v>
          </cell>
          <cell r="AR1339">
            <v>0</v>
          </cell>
          <cell r="AV1339">
            <v>0</v>
          </cell>
          <cell r="AZ1339">
            <v>0</v>
          </cell>
        </row>
        <row r="1340">
          <cell r="Q1340">
            <v>-1308576.8600000001</v>
          </cell>
          <cell r="S1340">
            <v>-19230.55</v>
          </cell>
          <cell r="U1340">
            <v>0</v>
          </cell>
          <cell r="V1340">
            <v>-96633.33</v>
          </cell>
          <cell r="W1340">
            <v>-11188.88</v>
          </cell>
          <cell r="Y1340">
            <v>-192538.88</v>
          </cell>
          <cell r="AA1340">
            <v>-101863.88</v>
          </cell>
          <cell r="AJ1340">
            <v>-339861.41875000001</v>
          </cell>
          <cell r="AN1340">
            <v>-421951.20708333334</v>
          </cell>
          <cell r="AR1340">
            <v>-408200.44333333336</v>
          </cell>
          <cell r="AV1340">
            <v>-178645.82208333336</v>
          </cell>
          <cell r="AZ1340">
            <v>-106859.19458333333</v>
          </cell>
        </row>
        <row r="1341">
          <cell r="Q1341">
            <v>0</v>
          </cell>
          <cell r="S1341">
            <v>0</v>
          </cell>
          <cell r="U1341">
            <v>0</v>
          </cell>
          <cell r="V1341">
            <v>0</v>
          </cell>
          <cell r="W1341">
            <v>0</v>
          </cell>
          <cell r="Y1341">
            <v>0</v>
          </cell>
          <cell r="AA1341">
            <v>0</v>
          </cell>
          <cell r="AJ1341">
            <v>0</v>
          </cell>
          <cell r="AN1341">
            <v>0</v>
          </cell>
          <cell r="AR1341">
            <v>0</v>
          </cell>
          <cell r="AV1341">
            <v>0</v>
          </cell>
          <cell r="AZ1341">
            <v>0</v>
          </cell>
        </row>
        <row r="1342">
          <cell r="Q1342">
            <v>-11355.44</v>
          </cell>
          <cell r="S1342">
            <v>0</v>
          </cell>
          <cell r="U1342">
            <v>0</v>
          </cell>
          <cell r="V1342">
            <v>0</v>
          </cell>
          <cell r="W1342">
            <v>0</v>
          </cell>
          <cell r="Y1342">
            <v>0</v>
          </cell>
          <cell r="AA1342">
            <v>0</v>
          </cell>
          <cell r="AJ1342">
            <v>-11355.439999999997</v>
          </cell>
          <cell r="AN1342">
            <v>-9305.1520833333325</v>
          </cell>
          <cell r="AR1342">
            <v>-5520.0054166666669</v>
          </cell>
          <cell r="AV1342">
            <v>-2050.2874999999999</v>
          </cell>
          <cell r="AZ1342">
            <v>0</v>
          </cell>
        </row>
        <row r="1343">
          <cell r="Q1343">
            <v>-594440.66</v>
          </cell>
          <cell r="S1343">
            <v>0</v>
          </cell>
          <cell r="U1343">
            <v>0</v>
          </cell>
          <cell r="V1343">
            <v>0</v>
          </cell>
          <cell r="W1343">
            <v>0</v>
          </cell>
          <cell r="Y1343">
            <v>0</v>
          </cell>
          <cell r="AA1343">
            <v>0</v>
          </cell>
          <cell r="AJ1343">
            <v>-417530.61666666664</v>
          </cell>
          <cell r="AN1343">
            <v>-372147.16749999998</v>
          </cell>
          <cell r="AR1343">
            <v>-203100.57166666666</v>
          </cell>
          <cell r="AV1343">
            <v>-84212.425000000003</v>
          </cell>
          <cell r="AZ1343">
            <v>0</v>
          </cell>
        </row>
        <row r="1344">
          <cell r="Q1344">
            <v>3378.85</v>
          </cell>
          <cell r="S1344">
            <v>8305.92</v>
          </cell>
          <cell r="U1344">
            <v>-31977.58</v>
          </cell>
          <cell r="V1344">
            <v>841238.09</v>
          </cell>
          <cell r="W1344">
            <v>0</v>
          </cell>
          <cell r="Y1344">
            <v>0</v>
          </cell>
          <cell r="AA1344">
            <v>0</v>
          </cell>
          <cell r="AJ1344">
            <v>140.78541666666666</v>
          </cell>
          <cell r="AN1344">
            <v>-1949.9658333333336</v>
          </cell>
          <cell r="AR1344">
            <v>66820.809166666659</v>
          </cell>
          <cell r="AV1344">
            <v>66680.023750000008</v>
          </cell>
          <cell r="AZ1344">
            <v>68770.774999999994</v>
          </cell>
        </row>
        <row r="1345">
          <cell r="Q1345">
            <v>677814</v>
          </cell>
          <cell r="S1345">
            <v>0</v>
          </cell>
          <cell r="U1345">
            <v>0</v>
          </cell>
          <cell r="V1345">
            <v>0</v>
          </cell>
          <cell r="W1345">
            <v>0</v>
          </cell>
          <cell r="Y1345">
            <v>0</v>
          </cell>
          <cell r="AA1345">
            <v>0</v>
          </cell>
          <cell r="AJ1345">
            <v>-5507354.7620833339</v>
          </cell>
          <cell r="AN1345">
            <v>-2930435.3033333332</v>
          </cell>
          <cell r="AR1345">
            <v>-597101.97000000009</v>
          </cell>
          <cell r="AV1345">
            <v>28242.25</v>
          </cell>
          <cell r="AZ1345">
            <v>0</v>
          </cell>
        </row>
        <row r="1346">
          <cell r="Q1346">
            <v>-2018750</v>
          </cell>
          <cell r="S1346">
            <v>-3633750</v>
          </cell>
          <cell r="U1346">
            <v>0</v>
          </cell>
          <cell r="V1346">
            <v>0</v>
          </cell>
          <cell r="W1346">
            <v>0</v>
          </cell>
          <cell r="Y1346">
            <v>0</v>
          </cell>
          <cell r="AA1346">
            <v>0</v>
          </cell>
          <cell r="AJ1346">
            <v>-2422500</v>
          </cell>
          <cell r="AN1346">
            <v>-2035572.9166666667</v>
          </cell>
          <cell r="AR1346">
            <v>-1362656.25</v>
          </cell>
          <cell r="AV1346">
            <v>-622447.91666666663</v>
          </cell>
          <cell r="AZ1346">
            <v>0</v>
          </cell>
        </row>
        <row r="1347">
          <cell r="Q1347">
            <v>-1458333.33</v>
          </cell>
          <cell r="S1347">
            <v>-2624999.9900000002</v>
          </cell>
          <cell r="U1347">
            <v>-291666.65000000002</v>
          </cell>
          <cell r="V1347">
            <v>-874999.99</v>
          </cell>
          <cell r="W1347">
            <v>-1458333.32</v>
          </cell>
          <cell r="Y1347">
            <v>-2625000</v>
          </cell>
          <cell r="AA1347">
            <v>-291666.65999999997</v>
          </cell>
          <cell r="AJ1347">
            <v>-1749999.8895833334</v>
          </cell>
          <cell r="AN1347">
            <v>-1749999.9908333337</v>
          </cell>
          <cell r="AR1347">
            <v>-1749999.9879166668</v>
          </cell>
          <cell r="AV1347">
            <v>-1749999.9904166667</v>
          </cell>
          <cell r="AZ1347">
            <v>-1749999.9870833333</v>
          </cell>
        </row>
        <row r="1348">
          <cell r="Q1348">
            <v>13882.53</v>
          </cell>
          <cell r="S1348">
            <v>-8905.9599999999991</v>
          </cell>
          <cell r="U1348">
            <v>-11056.07</v>
          </cell>
          <cell r="V1348">
            <v>-12098.41</v>
          </cell>
          <cell r="W1348">
            <v>-12878.57</v>
          </cell>
          <cell r="Y1348">
            <v>-14186.43</v>
          </cell>
          <cell r="AA1348">
            <v>-15344.23</v>
          </cell>
          <cell r="AJ1348">
            <v>-158802.25</v>
          </cell>
          <cell r="AN1348">
            <v>-126679.09916666667</v>
          </cell>
          <cell r="AR1348">
            <v>-72083.33749999998</v>
          </cell>
          <cell r="AV1348">
            <v>-9072.0466666666653</v>
          </cell>
          <cell r="AZ1348">
            <v>4314.8708333333334</v>
          </cell>
        </row>
        <row r="1349">
          <cell r="Q1349">
            <v>-34101.89</v>
          </cell>
          <cell r="S1349">
            <v>-45550.45</v>
          </cell>
          <cell r="U1349">
            <v>-47469.48</v>
          </cell>
          <cell r="V1349">
            <v>-48308.86</v>
          </cell>
          <cell r="W1349">
            <v>-49126.44</v>
          </cell>
          <cell r="Y1349">
            <v>-50538.33</v>
          </cell>
          <cell r="AA1349">
            <v>-51988.17</v>
          </cell>
          <cell r="AJ1349">
            <v>-126345.24583333335</v>
          </cell>
          <cell r="AN1349">
            <v>-108744.9175</v>
          </cell>
          <cell r="AR1349">
            <v>-80277.514583333337</v>
          </cell>
          <cell r="AV1349">
            <v>-47038.256250000006</v>
          </cell>
          <cell r="AZ1349">
            <v>-40140.166250000002</v>
          </cell>
        </row>
        <row r="1350">
          <cell r="Q1350">
            <v>-3931666.66</v>
          </cell>
          <cell r="S1350">
            <v>-6178333.3200000003</v>
          </cell>
          <cell r="U1350">
            <v>-1684999.98</v>
          </cell>
          <cell r="V1350">
            <v>-2808333.32</v>
          </cell>
          <cell r="W1350">
            <v>-3931666.65</v>
          </cell>
          <cell r="Y1350">
            <v>-6178333.3300000001</v>
          </cell>
          <cell r="AA1350">
            <v>-1684999.99</v>
          </cell>
          <cell r="AJ1350">
            <v>-3369999.8920833333</v>
          </cell>
          <cell r="AN1350">
            <v>-3369999.9875000003</v>
          </cell>
          <cell r="AR1350">
            <v>-3369999.9845833331</v>
          </cell>
          <cell r="AV1350">
            <v>-3369999.9870833331</v>
          </cell>
          <cell r="AZ1350">
            <v>-3369999.9837500001</v>
          </cell>
        </row>
        <row r="1351">
          <cell r="Q1351">
            <v>0</v>
          </cell>
          <cell r="S1351">
            <v>0</v>
          </cell>
          <cell r="U1351">
            <v>0</v>
          </cell>
          <cell r="V1351">
            <v>0</v>
          </cell>
          <cell r="W1351">
            <v>0</v>
          </cell>
          <cell r="Y1351">
            <v>0</v>
          </cell>
          <cell r="AA1351">
            <v>0</v>
          </cell>
          <cell r="AJ1351">
            <v>0</v>
          </cell>
          <cell r="AN1351">
            <v>0</v>
          </cell>
          <cell r="AR1351">
            <v>0</v>
          </cell>
          <cell r="AV1351">
            <v>0</v>
          </cell>
          <cell r="AZ1351">
            <v>0</v>
          </cell>
        </row>
        <row r="1352">
          <cell r="Q1352">
            <v>-58291.55</v>
          </cell>
          <cell r="S1352">
            <v>-58291.54</v>
          </cell>
          <cell r="U1352">
            <v>-73421.100000000006</v>
          </cell>
          <cell r="V1352">
            <v>-73421.100000000006</v>
          </cell>
          <cell r="W1352">
            <v>-88065.75</v>
          </cell>
          <cell r="Y1352">
            <v>-88065.75</v>
          </cell>
          <cell r="AA1352">
            <v>-80409.600000000006</v>
          </cell>
          <cell r="AJ1352">
            <v>-65911.976249999992</v>
          </cell>
          <cell r="AN1352">
            <v>-51818.722916666658</v>
          </cell>
          <cell r="AR1352">
            <v>-63853.882916666662</v>
          </cell>
          <cell r="AV1352">
            <v>-77228.979583333319</v>
          </cell>
          <cell r="AZ1352">
            <v>-91883.27208333333</v>
          </cell>
        </row>
        <row r="1353">
          <cell r="Q1353">
            <v>-3731250</v>
          </cell>
          <cell r="S1353">
            <v>-6716250</v>
          </cell>
          <cell r="U1353">
            <v>-746250</v>
          </cell>
          <cell r="V1353">
            <v>-2238750</v>
          </cell>
          <cell r="W1353">
            <v>-3731250</v>
          </cell>
          <cell r="Y1353">
            <v>-6716250</v>
          </cell>
          <cell r="AA1353">
            <v>-746250</v>
          </cell>
          <cell r="AJ1353">
            <v>-4477500</v>
          </cell>
          <cell r="AN1353">
            <v>-4477500</v>
          </cell>
          <cell r="AR1353">
            <v>-4477500</v>
          </cell>
          <cell r="AV1353">
            <v>-4477500</v>
          </cell>
          <cell r="AZ1353">
            <v>-3202656.25</v>
          </cell>
        </row>
        <row r="1354">
          <cell r="Q1354">
            <v>0</v>
          </cell>
          <cell r="S1354">
            <v>0</v>
          </cell>
          <cell r="U1354">
            <v>0</v>
          </cell>
          <cell r="V1354">
            <v>0</v>
          </cell>
          <cell r="W1354">
            <v>0</v>
          </cell>
          <cell r="Y1354">
            <v>0</v>
          </cell>
          <cell r="AA1354">
            <v>0</v>
          </cell>
          <cell r="AJ1354">
            <v>-360021.76208333339</v>
          </cell>
          <cell r="AN1354">
            <v>-161844.62333333332</v>
          </cell>
          <cell r="AR1354">
            <v>-29726.563333333335</v>
          </cell>
          <cell r="AV1354">
            <v>0</v>
          </cell>
          <cell r="AZ1354">
            <v>0</v>
          </cell>
        </row>
        <row r="1355">
          <cell r="Q1355">
            <v>-6142500</v>
          </cell>
          <cell r="S1355">
            <v>-9652500</v>
          </cell>
          <cell r="U1355">
            <v>-2632500</v>
          </cell>
          <cell r="V1355">
            <v>-4387500</v>
          </cell>
          <cell r="W1355">
            <v>-6142500</v>
          </cell>
          <cell r="Y1355">
            <v>-9652500</v>
          </cell>
          <cell r="AA1355">
            <v>-2632500</v>
          </cell>
          <cell r="AJ1355">
            <v>-5265000</v>
          </cell>
          <cell r="AN1355">
            <v>-5265000</v>
          </cell>
          <cell r="AR1355">
            <v>-5265000</v>
          </cell>
          <cell r="AV1355">
            <v>-5265000</v>
          </cell>
          <cell r="AZ1355">
            <v>-5265000</v>
          </cell>
        </row>
        <row r="1356">
          <cell r="Q1356">
            <v>-2499250</v>
          </cell>
          <cell r="S1356">
            <v>-5831583.3399999999</v>
          </cell>
          <cell r="U1356">
            <v>-9163916.6799999997</v>
          </cell>
          <cell r="V1356">
            <v>-833083.33</v>
          </cell>
          <cell r="W1356">
            <v>-2499250</v>
          </cell>
          <cell r="Y1356">
            <v>-5831583.3600000003</v>
          </cell>
          <cell r="AA1356">
            <v>-9163916.6999999993</v>
          </cell>
          <cell r="AJ1356">
            <v>-4998500.1120833335</v>
          </cell>
          <cell r="AN1356">
            <v>-4998500.0487499991</v>
          </cell>
          <cell r="AR1356">
            <v>-4998500.0066666668</v>
          </cell>
          <cell r="AV1356">
            <v>-4998500.0133333327</v>
          </cell>
          <cell r="AZ1356">
            <v>-4998500.0133333327</v>
          </cell>
        </row>
        <row r="1357">
          <cell r="U1357">
            <v>0</v>
          </cell>
          <cell r="V1357">
            <v>0</v>
          </cell>
          <cell r="W1357">
            <v>0</v>
          </cell>
          <cell r="Y1357">
            <v>0</v>
          </cell>
          <cell r="AA1357">
            <v>0</v>
          </cell>
          <cell r="AJ1357">
            <v>0</v>
          </cell>
          <cell r="AN1357">
            <v>0</v>
          </cell>
          <cell r="AR1357">
            <v>0</v>
          </cell>
          <cell r="AV1357">
            <v>0</v>
          </cell>
          <cell r="AZ1357">
            <v>0</v>
          </cell>
        </row>
        <row r="1358">
          <cell r="Q1358">
            <v>0</v>
          </cell>
          <cell r="S1358">
            <v>0</v>
          </cell>
          <cell r="U1358">
            <v>0</v>
          </cell>
          <cell r="V1358">
            <v>0</v>
          </cell>
          <cell r="W1358">
            <v>0</v>
          </cell>
          <cell r="Y1358">
            <v>0</v>
          </cell>
          <cell r="AA1358">
            <v>0</v>
          </cell>
          <cell r="AJ1358">
            <v>0</v>
          </cell>
          <cell r="AN1358">
            <v>0</v>
          </cell>
          <cell r="AR1358">
            <v>0</v>
          </cell>
          <cell r="AV1358">
            <v>0</v>
          </cell>
          <cell r="AZ1358">
            <v>0</v>
          </cell>
        </row>
        <row r="1359">
          <cell r="Q1359">
            <v>-2307666.6800000002</v>
          </cell>
          <cell r="S1359">
            <v>-3461500.02</v>
          </cell>
          <cell r="U1359">
            <v>-1153833.3600000001</v>
          </cell>
          <cell r="V1359">
            <v>-1730750.01</v>
          </cell>
          <cell r="W1359">
            <v>-2307666.6800000002</v>
          </cell>
          <cell r="Y1359">
            <v>-3461500</v>
          </cell>
          <cell r="AA1359">
            <v>-1153833.3400000001</v>
          </cell>
          <cell r="AJ1359">
            <v>-2019208.3825000003</v>
          </cell>
          <cell r="AN1359">
            <v>-2019208.3475000001</v>
          </cell>
          <cell r="AR1359">
            <v>-2019208.3475000001</v>
          </cell>
          <cell r="AV1359">
            <v>-2019208.3466666669</v>
          </cell>
          <cell r="AZ1359">
            <v>-2019208.344166667</v>
          </cell>
        </row>
        <row r="1360">
          <cell r="Q1360">
            <v>-397800</v>
          </cell>
          <cell r="S1360">
            <v>-596700</v>
          </cell>
          <cell r="U1360">
            <v>-198900</v>
          </cell>
          <cell r="V1360">
            <v>-298350</v>
          </cell>
          <cell r="W1360">
            <v>-397800</v>
          </cell>
          <cell r="Y1360">
            <v>-596700</v>
          </cell>
          <cell r="AA1360">
            <v>-198900</v>
          </cell>
          <cell r="AJ1360">
            <v>-348075</v>
          </cell>
          <cell r="AN1360">
            <v>-348075</v>
          </cell>
          <cell r="AR1360">
            <v>-348075</v>
          </cell>
          <cell r="AV1360">
            <v>-348075</v>
          </cell>
          <cell r="AZ1360">
            <v>-348075</v>
          </cell>
        </row>
        <row r="1361">
          <cell r="Q1361">
            <v>0</v>
          </cell>
          <cell r="S1361">
            <v>0</v>
          </cell>
          <cell r="U1361">
            <v>0</v>
          </cell>
          <cell r="V1361">
            <v>0</v>
          </cell>
          <cell r="W1361">
            <v>0</v>
          </cell>
          <cell r="Y1361">
            <v>0</v>
          </cell>
          <cell r="AA1361">
            <v>0</v>
          </cell>
          <cell r="AJ1361">
            <v>0</v>
          </cell>
          <cell r="AN1361">
            <v>0</v>
          </cell>
          <cell r="AR1361">
            <v>0</v>
          </cell>
          <cell r="AV1361">
            <v>0</v>
          </cell>
          <cell r="AZ1361">
            <v>0</v>
          </cell>
        </row>
        <row r="1362">
          <cell r="Q1362">
            <v>-1180368.1399999999</v>
          </cell>
          <cell r="S1362">
            <v>-3464951.48</v>
          </cell>
          <cell r="U1362">
            <v>-5749534.8200000003</v>
          </cell>
          <cell r="V1362">
            <v>-6891826.4900000002</v>
          </cell>
          <cell r="W1362">
            <v>-1180368.1599999999</v>
          </cell>
          <cell r="Y1362">
            <v>-3464951.5</v>
          </cell>
          <cell r="AA1362">
            <v>-5749534.8399999999</v>
          </cell>
          <cell r="AJ1362">
            <v>-4036097.2974999999</v>
          </cell>
          <cell r="AN1362">
            <v>-4036097.3041666667</v>
          </cell>
          <cell r="AR1362">
            <v>-4036097.3133333325</v>
          </cell>
          <cell r="AV1362">
            <v>-4036097.3266666662</v>
          </cell>
          <cell r="AZ1362">
            <v>-4036097.34</v>
          </cell>
        </row>
        <row r="1363">
          <cell r="S1363">
            <v>-1828125</v>
          </cell>
          <cell r="U1363">
            <v>-4640625</v>
          </cell>
          <cell r="V1363">
            <v>-6046875</v>
          </cell>
          <cell r="W1363">
            <v>-7453125</v>
          </cell>
          <cell r="Y1363">
            <v>-2203125</v>
          </cell>
          <cell r="AA1363">
            <v>-5015625</v>
          </cell>
          <cell r="AJ1363">
            <v>0</v>
          </cell>
          <cell r="AN1363">
            <v>-650390.625</v>
          </cell>
          <cell r="AR1363">
            <v>-2126953.125</v>
          </cell>
          <cell r="AV1363">
            <v>-3798828.125</v>
          </cell>
          <cell r="AZ1363">
            <v>-4234375</v>
          </cell>
        </row>
        <row r="1364">
          <cell r="U1364">
            <v>38951.589999999997</v>
          </cell>
          <cell r="V1364">
            <v>74203.070000000007</v>
          </cell>
          <cell r="W1364">
            <v>0</v>
          </cell>
          <cell r="Y1364">
            <v>0</v>
          </cell>
          <cell r="AA1364">
            <v>0</v>
          </cell>
          <cell r="AJ1364">
            <v>0</v>
          </cell>
          <cell r="AN1364">
            <v>1845.6979166666667</v>
          </cell>
          <cell r="AR1364">
            <v>9652.27</v>
          </cell>
          <cell r="AV1364">
            <v>9652.27</v>
          </cell>
          <cell r="AZ1364">
            <v>7806.5720833333335</v>
          </cell>
        </row>
        <row r="1365">
          <cell r="Q1365">
            <v>-1948875</v>
          </cell>
          <cell r="S1365">
            <v>-3248125</v>
          </cell>
          <cell r="U1365">
            <v>-649625</v>
          </cell>
          <cell r="V1365">
            <v>-1299250</v>
          </cell>
          <cell r="W1365">
            <v>-1948875</v>
          </cell>
          <cell r="Y1365">
            <v>-3248125</v>
          </cell>
          <cell r="AA1365">
            <v>-649625</v>
          </cell>
          <cell r="AJ1365">
            <v>-2273687.5175000001</v>
          </cell>
          <cell r="AN1365">
            <v>-2273687.5</v>
          </cell>
          <cell r="AR1365">
            <v>-2273687.5</v>
          </cell>
          <cell r="AV1365">
            <v>-2273687.5</v>
          </cell>
          <cell r="AZ1365">
            <v>-2273687.5</v>
          </cell>
        </row>
        <row r="1366">
          <cell r="Q1366">
            <v>0</v>
          </cell>
          <cell r="S1366">
            <v>0</v>
          </cell>
          <cell r="U1366">
            <v>0</v>
          </cell>
          <cell r="V1366">
            <v>0</v>
          </cell>
          <cell r="W1366">
            <v>0</v>
          </cell>
          <cell r="Y1366">
            <v>0</v>
          </cell>
          <cell r="AA1366">
            <v>0</v>
          </cell>
          <cell r="AJ1366">
            <v>0</v>
          </cell>
          <cell r="AN1366">
            <v>0</v>
          </cell>
          <cell r="AR1366">
            <v>0</v>
          </cell>
          <cell r="AV1366">
            <v>0</v>
          </cell>
          <cell r="AZ1366">
            <v>0</v>
          </cell>
        </row>
        <row r="1367">
          <cell r="Q1367">
            <v>0</v>
          </cell>
          <cell r="S1367">
            <v>0</v>
          </cell>
          <cell r="U1367">
            <v>0</v>
          </cell>
          <cell r="V1367">
            <v>0</v>
          </cell>
          <cell r="W1367">
            <v>0</v>
          </cell>
          <cell r="Y1367">
            <v>0</v>
          </cell>
          <cell r="AA1367">
            <v>0</v>
          </cell>
          <cell r="AJ1367">
            <v>-718140.625</v>
          </cell>
          <cell r="AN1367">
            <v>-297765.625</v>
          </cell>
          <cell r="AR1367">
            <v>0</v>
          </cell>
          <cell r="AV1367">
            <v>0</v>
          </cell>
          <cell r="AZ1367">
            <v>0</v>
          </cell>
        </row>
        <row r="1368">
          <cell r="Q1368">
            <v>-38567.11</v>
          </cell>
          <cell r="S1368">
            <v>-50456.73</v>
          </cell>
          <cell r="U1368">
            <v>-21148.32</v>
          </cell>
          <cell r="V1368">
            <v>-20985.83</v>
          </cell>
          <cell r="W1368">
            <v>-45229.64</v>
          </cell>
          <cell r="Y1368">
            <v>-21363.599999999999</v>
          </cell>
          <cell r="AA1368">
            <v>-20621.12</v>
          </cell>
          <cell r="AJ1368">
            <v>-69439.622500000012</v>
          </cell>
          <cell r="AN1368">
            <v>-58032.254583333335</v>
          </cell>
          <cell r="AR1368">
            <v>-45244.488333333335</v>
          </cell>
          <cell r="AV1368">
            <v>-30177.263333333336</v>
          </cell>
          <cell r="AZ1368">
            <v>-21999.241249999995</v>
          </cell>
        </row>
        <row r="1369">
          <cell r="Q1369">
            <v>-746471.39</v>
          </cell>
          <cell r="S1369">
            <v>-3548138.05</v>
          </cell>
          <cell r="U1369">
            <v>-6349804.71</v>
          </cell>
          <cell r="V1369">
            <v>-7750638.04</v>
          </cell>
          <cell r="W1369">
            <v>-746471.37</v>
          </cell>
          <cell r="Y1369">
            <v>-3548137.99</v>
          </cell>
          <cell r="AA1369">
            <v>-6349804.6500000004</v>
          </cell>
          <cell r="AJ1369">
            <v>-4248554.7241666662</v>
          </cell>
          <cell r="AN1369">
            <v>-4248554.7174999993</v>
          </cell>
          <cell r="AR1369">
            <v>-4248554.7091666665</v>
          </cell>
          <cell r="AV1369">
            <v>-4248554.6883333335</v>
          </cell>
          <cell r="AZ1369">
            <v>-4248554.6616666662</v>
          </cell>
        </row>
        <row r="1370">
          <cell r="Q1370">
            <v>-5542033.3300000001</v>
          </cell>
          <cell r="S1370">
            <v>-8679033.3300000001</v>
          </cell>
          <cell r="U1370">
            <v>-2405033.33</v>
          </cell>
          <cell r="V1370">
            <v>-3973533.33</v>
          </cell>
          <cell r="W1370">
            <v>-5542033.3300000001</v>
          </cell>
          <cell r="Y1370">
            <v>-8679033.3300000001</v>
          </cell>
          <cell r="AA1370">
            <v>-2405033.33</v>
          </cell>
          <cell r="AJ1370">
            <v>-4757783.3299999991</v>
          </cell>
          <cell r="AN1370">
            <v>-4757783.3299999991</v>
          </cell>
          <cell r="AR1370">
            <v>-4757783.3299999991</v>
          </cell>
          <cell r="AV1370">
            <v>-4757783.3299999991</v>
          </cell>
          <cell r="AZ1370">
            <v>-4757783.3299999991</v>
          </cell>
        </row>
        <row r="1371">
          <cell r="Q1371">
            <v>0</v>
          </cell>
          <cell r="S1371">
            <v>0</v>
          </cell>
          <cell r="U1371">
            <v>0</v>
          </cell>
          <cell r="V1371">
            <v>0</v>
          </cell>
          <cell r="W1371">
            <v>0</v>
          </cell>
          <cell r="Y1371">
            <v>0</v>
          </cell>
          <cell r="AA1371">
            <v>0</v>
          </cell>
          <cell r="AJ1371">
            <v>0</v>
          </cell>
          <cell r="AN1371">
            <v>0</v>
          </cell>
          <cell r="AR1371">
            <v>0</v>
          </cell>
          <cell r="AV1371">
            <v>0</v>
          </cell>
          <cell r="AZ1371">
            <v>0</v>
          </cell>
        </row>
        <row r="1372">
          <cell r="Q1372">
            <v>-1452916.67</v>
          </cell>
          <cell r="S1372">
            <v>-4358750.01</v>
          </cell>
          <cell r="U1372">
            <v>-7264583.3499999996</v>
          </cell>
          <cell r="V1372">
            <v>-8717500.0199999996</v>
          </cell>
          <cell r="W1372">
            <v>-1452916.69</v>
          </cell>
          <cell r="Y1372">
            <v>-4358750</v>
          </cell>
          <cell r="AA1372">
            <v>-7264583.3399999999</v>
          </cell>
          <cell r="AJ1372">
            <v>-5085208.3520833328</v>
          </cell>
          <cell r="AN1372">
            <v>-5085208.3487499999</v>
          </cell>
          <cell r="AR1372">
            <v>-5085208.3479166673</v>
          </cell>
          <cell r="AV1372">
            <v>-5085208.3450000007</v>
          </cell>
          <cell r="AZ1372">
            <v>-5085208.3450000007</v>
          </cell>
        </row>
        <row r="1373">
          <cell r="S1373">
            <v>-207980.79</v>
          </cell>
          <cell r="U1373">
            <v>-143337.14000000001</v>
          </cell>
          <cell r="V1373">
            <v>-197719.22</v>
          </cell>
          <cell r="W1373">
            <v>-65160.04</v>
          </cell>
          <cell r="Y1373">
            <v>-174582.8</v>
          </cell>
          <cell r="AA1373">
            <v>-86689.05</v>
          </cell>
          <cell r="AJ1373">
            <v>0</v>
          </cell>
          <cell r="AN1373">
            <v>-35257.425000000003</v>
          </cell>
          <cell r="AR1373">
            <v>-81524.209166666682</v>
          </cell>
          <cell r="AV1373">
            <v>-122819.53500000003</v>
          </cell>
          <cell r="AZ1373">
            <v>-130026.52708333336</v>
          </cell>
        </row>
        <row r="1374">
          <cell r="U1374">
            <v>-89556.33</v>
          </cell>
          <cell r="V1374">
            <v>-179112.33</v>
          </cell>
          <cell r="W1374">
            <v>-2890.44</v>
          </cell>
          <cell r="Y1374">
            <v>-133251.44</v>
          </cell>
          <cell r="AA1374">
            <v>-92446.11</v>
          </cell>
          <cell r="AJ1374">
            <v>0</v>
          </cell>
          <cell r="AN1374">
            <v>-3972.2912500000002</v>
          </cell>
          <cell r="AR1374">
            <v>-35885.965833333328</v>
          </cell>
          <cell r="AV1374">
            <v>-75408.641250000001</v>
          </cell>
          <cell r="AZ1374">
            <v>-100255.46583333332</v>
          </cell>
        </row>
        <row r="1375">
          <cell r="U1375">
            <v>-108174.3</v>
          </cell>
          <cell r="V1375">
            <v>-108174.3</v>
          </cell>
          <cell r="W1375">
            <v>0</v>
          </cell>
          <cell r="Y1375">
            <v>0</v>
          </cell>
          <cell r="AA1375">
            <v>0</v>
          </cell>
          <cell r="AJ1375">
            <v>0</v>
          </cell>
          <cell r="AN1375">
            <v>-5464.4958333333334</v>
          </cell>
          <cell r="AR1375">
            <v>-18986.283333333336</v>
          </cell>
          <cell r="AV1375">
            <v>-18986.283333333336</v>
          </cell>
          <cell r="AZ1375">
            <v>-13521.7875</v>
          </cell>
        </row>
        <row r="1376">
          <cell r="Y1376">
            <v>0</v>
          </cell>
          <cell r="AA1376">
            <v>-2798541.66</v>
          </cell>
          <cell r="AR1376">
            <v>0</v>
          </cell>
          <cell r="AV1376">
            <v>-956168.40083333338</v>
          </cell>
          <cell r="AZ1376">
            <v>-3661425.3433333337</v>
          </cell>
        </row>
        <row r="1377">
          <cell r="AV1377">
            <v>0</v>
          </cell>
          <cell r="AZ1377">
            <v>-222342.87541666665</v>
          </cell>
        </row>
        <row r="1378">
          <cell r="AV1378">
            <v>0</v>
          </cell>
          <cell r="AZ1378">
            <v>0</v>
          </cell>
        </row>
        <row r="1379">
          <cell r="U1379">
            <v>-15645594.01</v>
          </cell>
          <cell r="V1379">
            <v>-3549947.62</v>
          </cell>
          <cell r="W1379">
            <v>0</v>
          </cell>
          <cell r="Y1379">
            <v>0</v>
          </cell>
          <cell r="AA1379">
            <v>0</v>
          </cell>
          <cell r="AJ1379">
            <v>0</v>
          </cell>
          <cell r="AN1379">
            <v>-2530973.5470833331</v>
          </cell>
          <cell r="AR1379">
            <v>-3478702.2658333331</v>
          </cell>
          <cell r="AV1379">
            <v>-3478702.2658333331</v>
          </cell>
          <cell r="AZ1379">
            <v>-947728.71875</v>
          </cell>
        </row>
        <row r="1380">
          <cell r="Q1380">
            <v>0</v>
          </cell>
          <cell r="S1380">
            <v>0</v>
          </cell>
          <cell r="U1380">
            <v>0</v>
          </cell>
          <cell r="V1380">
            <v>0</v>
          </cell>
          <cell r="W1380">
            <v>0</v>
          </cell>
          <cell r="Y1380">
            <v>0</v>
          </cell>
          <cell r="AA1380">
            <v>0</v>
          </cell>
          <cell r="AJ1380">
            <v>0</v>
          </cell>
          <cell r="AN1380">
            <v>0</v>
          </cell>
          <cell r="AR1380">
            <v>0</v>
          </cell>
          <cell r="AV1380">
            <v>0</v>
          </cell>
          <cell r="AZ1380">
            <v>0</v>
          </cell>
        </row>
        <row r="1381">
          <cell r="Q1381">
            <v>-342882.46</v>
          </cell>
          <cell r="S1381">
            <v>-1313.41</v>
          </cell>
          <cell r="U1381">
            <v>-28886.65</v>
          </cell>
          <cell r="V1381">
            <v>-349434.49</v>
          </cell>
          <cell r="W1381">
            <v>-308254.14</v>
          </cell>
          <cell r="Y1381">
            <v>-1046.01</v>
          </cell>
          <cell r="AA1381">
            <v>-694.93</v>
          </cell>
          <cell r="AJ1381">
            <v>-140782.96625000003</v>
          </cell>
          <cell r="AN1381">
            <v>-72888.206250000003</v>
          </cell>
          <cell r="AR1381">
            <v>-106380.33625000001</v>
          </cell>
          <cell r="AV1381">
            <v>-104166.51041666667</v>
          </cell>
          <cell r="AZ1381">
            <v>-153117.785</v>
          </cell>
        </row>
        <row r="1382">
          <cell r="Q1382">
            <v>-26062.33</v>
          </cell>
          <cell r="S1382">
            <v>-23225.67</v>
          </cell>
          <cell r="U1382">
            <v>-63684.46</v>
          </cell>
          <cell r="V1382">
            <v>-18266.96</v>
          </cell>
          <cell r="W1382">
            <v>-31499.87</v>
          </cell>
          <cell r="Y1382">
            <v>-52847.88</v>
          </cell>
          <cell r="AA1382">
            <v>-32185.5</v>
          </cell>
          <cell r="AJ1382">
            <v>-31248.795833333334</v>
          </cell>
          <cell r="AN1382">
            <v>-31327.692083333328</v>
          </cell>
          <cell r="AR1382">
            <v>-35314.465000000004</v>
          </cell>
          <cell r="AV1382">
            <v>-34619.732499999998</v>
          </cell>
          <cell r="AZ1382">
            <v>-36117.936666666661</v>
          </cell>
        </row>
        <row r="1383">
          <cell r="Q1383">
            <v>0</v>
          </cell>
          <cell r="S1383">
            <v>0</v>
          </cell>
          <cell r="U1383">
            <v>0</v>
          </cell>
          <cell r="V1383">
            <v>0</v>
          </cell>
          <cell r="W1383">
            <v>0</v>
          </cell>
          <cell r="Y1383">
            <v>0</v>
          </cell>
          <cell r="AA1383">
            <v>0</v>
          </cell>
          <cell r="AJ1383">
            <v>0</v>
          </cell>
          <cell r="AN1383">
            <v>0</v>
          </cell>
          <cell r="AR1383">
            <v>0</v>
          </cell>
          <cell r="AV1383">
            <v>0</v>
          </cell>
          <cell r="AZ1383">
            <v>0</v>
          </cell>
        </row>
        <row r="1384">
          <cell r="Q1384">
            <v>-255</v>
          </cell>
          <cell r="S1384">
            <v>-250</v>
          </cell>
          <cell r="U1384">
            <v>112</v>
          </cell>
          <cell r="V1384">
            <v>0</v>
          </cell>
          <cell r="W1384">
            <v>0</v>
          </cell>
          <cell r="Y1384">
            <v>-260</v>
          </cell>
          <cell r="AA1384">
            <v>0</v>
          </cell>
          <cell r="AJ1384">
            <v>-55.817499999999995</v>
          </cell>
          <cell r="AN1384">
            <v>-111.60916666666667</v>
          </cell>
          <cell r="AR1384">
            <v>-95.859166666666667</v>
          </cell>
          <cell r="AV1384">
            <v>-74.791666666666671</v>
          </cell>
          <cell r="AZ1384">
            <v>-17</v>
          </cell>
        </row>
        <row r="1385">
          <cell r="Q1385">
            <v>-651985.80000000005</v>
          </cell>
          <cell r="S1385">
            <v>-4050.91</v>
          </cell>
          <cell r="U1385">
            <v>-10674.53</v>
          </cell>
          <cell r="V1385">
            <v>-698514.76</v>
          </cell>
          <cell r="W1385">
            <v>-488368.34</v>
          </cell>
          <cell r="Y1385">
            <v>-3432.23</v>
          </cell>
          <cell r="AA1385">
            <v>-2020.63</v>
          </cell>
          <cell r="AJ1385">
            <v>-252617.18124999999</v>
          </cell>
          <cell r="AN1385">
            <v>-131054.63291666667</v>
          </cell>
          <cell r="AR1385">
            <v>-187897.73041666669</v>
          </cell>
          <cell r="AV1385">
            <v>-186605.62</v>
          </cell>
          <cell r="AZ1385">
            <v>-278237.95666666667</v>
          </cell>
        </row>
        <row r="1386">
          <cell r="Q1386">
            <v>0</v>
          </cell>
          <cell r="S1386">
            <v>0</v>
          </cell>
          <cell r="U1386">
            <v>0</v>
          </cell>
          <cell r="V1386">
            <v>0</v>
          </cell>
          <cell r="W1386">
            <v>0</v>
          </cell>
          <cell r="Y1386">
            <v>0</v>
          </cell>
          <cell r="AA1386">
            <v>0</v>
          </cell>
          <cell r="AJ1386">
            <v>0</v>
          </cell>
          <cell r="AN1386">
            <v>0</v>
          </cell>
          <cell r="AR1386">
            <v>0</v>
          </cell>
          <cell r="AV1386">
            <v>0</v>
          </cell>
          <cell r="AZ1386">
            <v>0</v>
          </cell>
        </row>
        <row r="1387">
          <cell r="Q1387">
            <v>-1141307.8799999999</v>
          </cell>
          <cell r="S1387">
            <v>-914210.61</v>
          </cell>
          <cell r="U1387">
            <v>-257436.31</v>
          </cell>
          <cell r="V1387">
            <v>-123129.47</v>
          </cell>
          <cell r="W1387">
            <v>-165482.70000000001</v>
          </cell>
          <cell r="Y1387">
            <v>-526042.42000000004</v>
          </cell>
          <cell r="AA1387">
            <v>-796452.44</v>
          </cell>
          <cell r="AJ1387">
            <v>-1394192.1741666666</v>
          </cell>
          <cell r="AN1387">
            <v>-1167752.3874999997</v>
          </cell>
          <cell r="AR1387">
            <v>-793256.64041666675</v>
          </cell>
          <cell r="AV1387">
            <v>-564501.59541666671</v>
          </cell>
          <cell r="AZ1387">
            <v>-744659.59375</v>
          </cell>
        </row>
        <row r="1388">
          <cell r="Q1388">
            <v>0</v>
          </cell>
          <cell r="S1388">
            <v>0</v>
          </cell>
          <cell r="U1388">
            <v>0</v>
          </cell>
          <cell r="V1388">
            <v>0</v>
          </cell>
          <cell r="W1388">
            <v>0</v>
          </cell>
          <cell r="Y1388">
            <v>0</v>
          </cell>
          <cell r="AA1388">
            <v>0</v>
          </cell>
          <cell r="AJ1388">
            <v>-3615344.5333333332</v>
          </cell>
          <cell r="AN1388">
            <v>-2230835.6</v>
          </cell>
          <cell r="AR1388">
            <v>0</v>
          </cell>
          <cell r="AV1388">
            <v>0</v>
          </cell>
          <cell r="AZ1388">
            <v>0</v>
          </cell>
        </row>
        <row r="1389">
          <cell r="Q1389">
            <v>0</v>
          </cell>
          <cell r="S1389">
            <v>0</v>
          </cell>
          <cell r="U1389">
            <v>0</v>
          </cell>
          <cell r="V1389">
            <v>0</v>
          </cell>
          <cell r="W1389">
            <v>0</v>
          </cell>
          <cell r="Y1389">
            <v>0</v>
          </cell>
          <cell r="AA1389">
            <v>0</v>
          </cell>
          <cell r="AJ1389">
            <v>-520833.33333333331</v>
          </cell>
          <cell r="AN1389">
            <v>0</v>
          </cell>
          <cell r="AR1389">
            <v>0</v>
          </cell>
          <cell r="AV1389">
            <v>0</v>
          </cell>
          <cell r="AZ1389">
            <v>0</v>
          </cell>
        </row>
        <row r="1390">
          <cell r="Q1390">
            <v>0</v>
          </cell>
          <cell r="S1390">
            <v>0</v>
          </cell>
          <cell r="U1390">
            <v>0</v>
          </cell>
          <cell r="V1390">
            <v>0</v>
          </cell>
          <cell r="W1390">
            <v>0</v>
          </cell>
          <cell r="Y1390">
            <v>0</v>
          </cell>
          <cell r="AA1390">
            <v>0</v>
          </cell>
          <cell r="AJ1390">
            <v>0</v>
          </cell>
          <cell r="AN1390">
            <v>0</v>
          </cell>
          <cell r="AR1390">
            <v>0</v>
          </cell>
          <cell r="AV1390">
            <v>0</v>
          </cell>
          <cell r="AZ1390">
            <v>0</v>
          </cell>
        </row>
        <row r="1391">
          <cell r="Q1391">
            <v>0</v>
          </cell>
          <cell r="S1391">
            <v>0</v>
          </cell>
          <cell r="U1391">
            <v>0</v>
          </cell>
          <cell r="V1391">
            <v>0</v>
          </cell>
          <cell r="W1391">
            <v>0</v>
          </cell>
          <cell r="Y1391">
            <v>0</v>
          </cell>
          <cell r="AA1391">
            <v>0</v>
          </cell>
          <cell r="AJ1391">
            <v>0</v>
          </cell>
          <cell r="AN1391">
            <v>0</v>
          </cell>
          <cell r="AR1391">
            <v>0</v>
          </cell>
          <cell r="AV1391">
            <v>0</v>
          </cell>
          <cell r="AZ1391">
            <v>0</v>
          </cell>
        </row>
        <row r="1392">
          <cell r="Q1392">
            <v>-800000</v>
          </cell>
          <cell r="S1392">
            <v>-800000</v>
          </cell>
          <cell r="U1392">
            <v>-1050000</v>
          </cell>
          <cell r="V1392">
            <v>-1050000</v>
          </cell>
          <cell r="W1392">
            <v>-1435000</v>
          </cell>
          <cell r="Y1392">
            <v>-1435000</v>
          </cell>
          <cell r="AA1392">
            <v>-1666000</v>
          </cell>
          <cell r="AJ1392">
            <v>-441033.33333333331</v>
          </cell>
          <cell r="AN1392">
            <v>-661450</v>
          </cell>
          <cell r="AR1392">
            <v>-884991.66666666663</v>
          </cell>
          <cell r="AV1392">
            <v>-1240666.6666666667</v>
          </cell>
          <cell r="AZ1392">
            <v>-1174756.25</v>
          </cell>
        </row>
        <row r="1393">
          <cell r="Q1393">
            <v>0</v>
          </cell>
          <cell r="S1393">
            <v>0</v>
          </cell>
          <cell r="U1393">
            <v>0</v>
          </cell>
          <cell r="V1393">
            <v>0</v>
          </cell>
          <cell r="W1393">
            <v>0</v>
          </cell>
          <cell r="Y1393">
            <v>0</v>
          </cell>
          <cell r="AA1393">
            <v>0</v>
          </cell>
          <cell r="AJ1393">
            <v>0</v>
          </cell>
          <cell r="AN1393">
            <v>0</v>
          </cell>
          <cell r="AR1393">
            <v>0</v>
          </cell>
          <cell r="AV1393">
            <v>0</v>
          </cell>
          <cell r="AZ1393">
            <v>0</v>
          </cell>
        </row>
        <row r="1394">
          <cell r="AV1394">
            <v>0</v>
          </cell>
          <cell r="AZ1394">
            <v>-24722</v>
          </cell>
        </row>
        <row r="1395">
          <cell r="Q1395">
            <v>0</v>
          </cell>
          <cell r="S1395">
            <v>0</v>
          </cell>
          <cell r="U1395">
            <v>0</v>
          </cell>
          <cell r="V1395">
            <v>0</v>
          </cell>
          <cell r="W1395">
            <v>0</v>
          </cell>
          <cell r="Y1395">
            <v>0</v>
          </cell>
          <cell r="AA1395">
            <v>0</v>
          </cell>
          <cell r="AJ1395">
            <v>0</v>
          </cell>
          <cell r="AN1395">
            <v>0</v>
          </cell>
          <cell r="AR1395">
            <v>0</v>
          </cell>
          <cell r="AV1395">
            <v>0</v>
          </cell>
          <cell r="AZ1395">
            <v>0</v>
          </cell>
        </row>
        <row r="1396">
          <cell r="Q1396">
            <v>-56176.9</v>
          </cell>
          <cell r="S1396">
            <v>0</v>
          </cell>
          <cell r="U1396">
            <v>0</v>
          </cell>
          <cell r="V1396">
            <v>0</v>
          </cell>
          <cell r="W1396">
            <v>0</v>
          </cell>
          <cell r="Y1396">
            <v>0</v>
          </cell>
          <cell r="AA1396">
            <v>0</v>
          </cell>
          <cell r="AJ1396">
            <v>-39323.830000000009</v>
          </cell>
          <cell r="AN1396">
            <v>-35110.562500000007</v>
          </cell>
          <cell r="AR1396">
            <v>-19193.774166666666</v>
          </cell>
          <cell r="AV1396">
            <v>-7958.394166666666</v>
          </cell>
          <cell r="AZ1396">
            <v>0</v>
          </cell>
        </row>
        <row r="1397">
          <cell r="Q1397">
            <v>-4067257.04</v>
          </cell>
          <cell r="S1397">
            <v>-4924632.04</v>
          </cell>
          <cell r="U1397">
            <v>-1604149.96</v>
          </cell>
          <cell r="V1397">
            <v>-1914045.96</v>
          </cell>
          <cell r="W1397">
            <v>-2207614.96</v>
          </cell>
          <cell r="Y1397">
            <v>-2747629.96</v>
          </cell>
          <cell r="AA1397">
            <v>-3309053.96</v>
          </cell>
          <cell r="AJ1397">
            <v>-3193988.5737499991</v>
          </cell>
          <cell r="AN1397">
            <v>-3305578.8699999996</v>
          </cell>
          <cell r="AR1397">
            <v>-3319676.3433333333</v>
          </cell>
          <cell r="AV1397">
            <v>-3310437.4416666669</v>
          </cell>
          <cell r="AZ1397">
            <v>-3280674.7408333332</v>
          </cell>
        </row>
        <row r="1398">
          <cell r="Q1398">
            <v>0</v>
          </cell>
          <cell r="S1398">
            <v>0</v>
          </cell>
          <cell r="U1398">
            <v>0</v>
          </cell>
          <cell r="V1398">
            <v>0</v>
          </cell>
          <cell r="W1398">
            <v>0</v>
          </cell>
          <cell r="Y1398">
            <v>0</v>
          </cell>
          <cell r="AA1398">
            <v>0</v>
          </cell>
          <cell r="AJ1398">
            <v>0</v>
          </cell>
          <cell r="AN1398">
            <v>0</v>
          </cell>
          <cell r="AR1398">
            <v>0</v>
          </cell>
          <cell r="AV1398">
            <v>0</v>
          </cell>
          <cell r="AZ1398">
            <v>0</v>
          </cell>
        </row>
        <row r="1399">
          <cell r="Q1399">
            <v>-101827.74</v>
          </cell>
          <cell r="S1399">
            <v>-135770.32</v>
          </cell>
          <cell r="U1399">
            <v>-169712.9</v>
          </cell>
          <cell r="V1399">
            <v>-186684.19</v>
          </cell>
          <cell r="W1399">
            <v>-203655.48</v>
          </cell>
          <cell r="Y1399">
            <v>-17028.39</v>
          </cell>
          <cell r="AA1399">
            <v>-51085.05</v>
          </cell>
          <cell r="AJ1399">
            <v>-87379.35083333333</v>
          </cell>
          <cell r="AN1399">
            <v>-100228.13083333331</v>
          </cell>
          <cell r="AR1399">
            <v>-125222.68791666668</v>
          </cell>
          <cell r="AV1399">
            <v>-119622.65125</v>
          </cell>
          <cell r="AZ1399">
            <v>-114098.66791666667</v>
          </cell>
        </row>
        <row r="1400">
          <cell r="Q1400">
            <v>-101827.74</v>
          </cell>
          <cell r="S1400">
            <v>-135770.32</v>
          </cell>
          <cell r="U1400">
            <v>-169712.9</v>
          </cell>
          <cell r="V1400">
            <v>-186684.19</v>
          </cell>
          <cell r="W1400">
            <v>-203655.48</v>
          </cell>
          <cell r="Y1400">
            <v>-17028.39</v>
          </cell>
          <cell r="AA1400">
            <v>-51085.05</v>
          </cell>
          <cell r="AJ1400">
            <v>-87379.35083333333</v>
          </cell>
          <cell r="AN1400">
            <v>-100228.13083333331</v>
          </cell>
          <cell r="AR1400">
            <v>-125222.68791666668</v>
          </cell>
          <cell r="AV1400">
            <v>-119622.65125</v>
          </cell>
          <cell r="AZ1400">
            <v>-114098.66791666667</v>
          </cell>
        </row>
        <row r="1401">
          <cell r="Q1401">
            <v>-26635.02</v>
          </cell>
          <cell r="S1401">
            <v>-35513.360000000001</v>
          </cell>
          <cell r="U1401">
            <v>-44391.7</v>
          </cell>
          <cell r="V1401">
            <v>-48830.87</v>
          </cell>
          <cell r="W1401">
            <v>-53270.04</v>
          </cell>
          <cell r="Y1401">
            <v>-5111.3500000000004</v>
          </cell>
          <cell r="AA1401">
            <v>-15334.01</v>
          </cell>
          <cell r="AJ1401">
            <v>-24444.919166666663</v>
          </cell>
          <cell r="AN1401">
            <v>-26974.059166666662</v>
          </cell>
          <cell r="AR1401">
            <v>-33439.047916666656</v>
          </cell>
          <cell r="AV1401">
            <v>-32631.491250000003</v>
          </cell>
          <cell r="AZ1401">
            <v>-32720.147916666669</v>
          </cell>
        </row>
        <row r="1402">
          <cell r="Q1402">
            <v>-26635.02</v>
          </cell>
          <cell r="S1402">
            <v>-35513.360000000001</v>
          </cell>
          <cell r="U1402">
            <v>-44391.7</v>
          </cell>
          <cell r="V1402">
            <v>-48830.87</v>
          </cell>
          <cell r="W1402">
            <v>-53270.04</v>
          </cell>
          <cell r="Y1402">
            <v>-5111.3500000000004</v>
          </cell>
          <cell r="AA1402">
            <v>-15334.01</v>
          </cell>
          <cell r="AJ1402">
            <v>-24444.919166666663</v>
          </cell>
          <cell r="AN1402">
            <v>-26974.059166666662</v>
          </cell>
          <cell r="AR1402">
            <v>-33439.047916666656</v>
          </cell>
          <cell r="AV1402">
            <v>-32631.491250000003</v>
          </cell>
          <cell r="AZ1402">
            <v>-32720.147916666669</v>
          </cell>
        </row>
        <row r="1403">
          <cell r="Q1403">
            <v>0</v>
          </cell>
          <cell r="S1403">
            <v>0</v>
          </cell>
          <cell r="U1403">
            <v>0</v>
          </cell>
          <cell r="V1403">
            <v>0</v>
          </cell>
          <cell r="W1403">
            <v>0</v>
          </cell>
          <cell r="Y1403">
            <v>0</v>
          </cell>
          <cell r="AA1403">
            <v>0</v>
          </cell>
          <cell r="AJ1403">
            <v>0</v>
          </cell>
          <cell r="AN1403">
            <v>0</v>
          </cell>
          <cell r="AR1403">
            <v>0</v>
          </cell>
          <cell r="AV1403">
            <v>0</v>
          </cell>
          <cell r="AZ1403">
            <v>0</v>
          </cell>
        </row>
        <row r="1404">
          <cell r="Q1404">
            <v>-3306566.26</v>
          </cell>
          <cell r="S1404">
            <v>0</v>
          </cell>
          <cell r="U1404">
            <v>0</v>
          </cell>
          <cell r="V1404">
            <v>0</v>
          </cell>
          <cell r="W1404">
            <v>0</v>
          </cell>
          <cell r="Y1404">
            <v>0</v>
          </cell>
          <cell r="AA1404">
            <v>0</v>
          </cell>
          <cell r="AJ1404">
            <v>-2830755.9858333338</v>
          </cell>
          <cell r="AN1404">
            <v>-2329694.21</v>
          </cell>
          <cell r="AR1404">
            <v>-1437163.7879166666</v>
          </cell>
          <cell r="AV1404">
            <v>-415044.45583333331</v>
          </cell>
          <cell r="AZ1404">
            <v>0</v>
          </cell>
        </row>
        <row r="1405">
          <cell r="Q1405">
            <v>0</v>
          </cell>
          <cell r="S1405">
            <v>0</v>
          </cell>
          <cell r="U1405">
            <v>0</v>
          </cell>
          <cell r="V1405">
            <v>0</v>
          </cell>
          <cell r="W1405">
            <v>0</v>
          </cell>
          <cell r="Y1405">
            <v>0</v>
          </cell>
          <cell r="AA1405">
            <v>0</v>
          </cell>
          <cell r="AJ1405">
            <v>0</v>
          </cell>
          <cell r="AN1405">
            <v>0</v>
          </cell>
          <cell r="AR1405">
            <v>0</v>
          </cell>
          <cell r="AV1405">
            <v>0</v>
          </cell>
          <cell r="AZ1405">
            <v>0</v>
          </cell>
        </row>
        <row r="1406">
          <cell r="Q1406">
            <v>-132972</v>
          </cell>
          <cell r="S1406">
            <v>-197972</v>
          </cell>
          <cell r="U1406">
            <v>-262972</v>
          </cell>
          <cell r="V1406">
            <v>-295472</v>
          </cell>
          <cell r="W1406">
            <v>-327972</v>
          </cell>
          <cell r="Y1406">
            <v>52370.5</v>
          </cell>
          <cell r="AA1406">
            <v>-206250</v>
          </cell>
          <cell r="AJ1406">
            <v>-155951.875</v>
          </cell>
          <cell r="AN1406">
            <v>-166387.54166666666</v>
          </cell>
          <cell r="AR1406">
            <v>-171533.35416666666</v>
          </cell>
          <cell r="AV1406">
            <v>-213410</v>
          </cell>
          <cell r="AZ1406">
            <v>-244364.33333333334</v>
          </cell>
        </row>
        <row r="1407">
          <cell r="U1407">
            <v>0</v>
          </cell>
          <cell r="V1407">
            <v>0</v>
          </cell>
          <cell r="W1407">
            <v>0</v>
          </cell>
          <cell r="Y1407">
            <v>0</v>
          </cell>
          <cell r="AA1407">
            <v>0</v>
          </cell>
          <cell r="AJ1407">
            <v>0</v>
          </cell>
          <cell r="AN1407">
            <v>-66666.666666666672</v>
          </cell>
          <cell r="AR1407">
            <v>-66666.666666666672</v>
          </cell>
          <cell r="AV1407">
            <v>-66666.666666666672</v>
          </cell>
          <cell r="AZ1407">
            <v>0</v>
          </cell>
        </row>
        <row r="1408">
          <cell r="Q1408">
            <v>-125861.02</v>
          </cell>
          <cell r="S1408">
            <v>-122897.5</v>
          </cell>
          <cell r="U1408">
            <v>-119874.4</v>
          </cell>
          <cell r="V1408">
            <v>-118340.14</v>
          </cell>
          <cell r="W1408">
            <v>-116790.54</v>
          </cell>
          <cell r="Y1408">
            <v>-113644.7</v>
          </cell>
          <cell r="AA1408">
            <v>-110435.63</v>
          </cell>
          <cell r="AJ1408">
            <v>-134322.13166666665</v>
          </cell>
          <cell r="AN1408">
            <v>-128679.08416666665</v>
          </cell>
          <cell r="AR1408">
            <v>-122806.88875</v>
          </cell>
          <cell r="AV1408">
            <v>-116696.26208333332</v>
          </cell>
          <cell r="AZ1408">
            <v>-110337.5245833333</v>
          </cell>
        </row>
        <row r="1409">
          <cell r="Q1409">
            <v>-2377988.75</v>
          </cell>
          <cell r="S1409">
            <v>-3148065.75</v>
          </cell>
          <cell r="U1409">
            <v>-1366953.49</v>
          </cell>
          <cell r="V1409">
            <v>-1551784.49</v>
          </cell>
          <cell r="W1409">
            <v>-1667092.49</v>
          </cell>
          <cell r="Y1409">
            <v>-1843541.49</v>
          </cell>
          <cell r="AA1409">
            <v>-2059311.49</v>
          </cell>
          <cell r="AJ1409">
            <v>-2041488.5445833334</v>
          </cell>
          <cell r="AN1409">
            <v>-2065672.4058333335</v>
          </cell>
          <cell r="AR1409">
            <v>-2129740.5274999994</v>
          </cell>
          <cell r="AV1409">
            <v>-2190439.4408333329</v>
          </cell>
          <cell r="AZ1409">
            <v>-2150164.8275000001</v>
          </cell>
        </row>
        <row r="1410">
          <cell r="Q1410">
            <v>0</v>
          </cell>
          <cell r="S1410">
            <v>0</v>
          </cell>
          <cell r="U1410">
            <v>0</v>
          </cell>
          <cell r="V1410">
            <v>0</v>
          </cell>
          <cell r="W1410">
            <v>0</v>
          </cell>
          <cell r="Y1410">
            <v>0</v>
          </cell>
          <cell r="AA1410">
            <v>0</v>
          </cell>
          <cell r="AJ1410">
            <v>0</v>
          </cell>
          <cell r="AN1410">
            <v>0</v>
          </cell>
          <cell r="AR1410">
            <v>0</v>
          </cell>
          <cell r="AV1410">
            <v>0</v>
          </cell>
          <cell r="AZ1410">
            <v>0</v>
          </cell>
        </row>
        <row r="1411">
          <cell r="Q1411">
            <v>-1193290.47</v>
          </cell>
          <cell r="S1411">
            <v>-226170.97</v>
          </cell>
          <cell r="U1411">
            <v>-450980.51</v>
          </cell>
          <cell r="V1411">
            <v>-579891.88</v>
          </cell>
          <cell r="W1411">
            <v>-664550.25</v>
          </cell>
          <cell r="Y1411">
            <v>-898783.15</v>
          </cell>
          <cell r="AA1411">
            <v>-1125742.67</v>
          </cell>
          <cell r="AJ1411">
            <v>-730895.30666666664</v>
          </cell>
          <cell r="AN1411">
            <v>-758239.11124999996</v>
          </cell>
          <cell r="AR1411">
            <v>-783413.85291666666</v>
          </cell>
          <cell r="AV1411">
            <v>-825834.85708333331</v>
          </cell>
          <cell r="AZ1411">
            <v>-848794.6758333334</v>
          </cell>
        </row>
        <row r="1412">
          <cell r="Q1412">
            <v>0</v>
          </cell>
          <cell r="S1412">
            <v>0</v>
          </cell>
          <cell r="U1412">
            <v>0</v>
          </cell>
          <cell r="V1412">
            <v>0</v>
          </cell>
          <cell r="W1412">
            <v>0</v>
          </cell>
          <cell r="Y1412">
            <v>0</v>
          </cell>
          <cell r="AA1412">
            <v>0</v>
          </cell>
          <cell r="AJ1412">
            <v>0</v>
          </cell>
          <cell r="AN1412">
            <v>0</v>
          </cell>
          <cell r="AR1412">
            <v>0</v>
          </cell>
          <cell r="AV1412">
            <v>0</v>
          </cell>
          <cell r="AZ1412">
            <v>0</v>
          </cell>
        </row>
        <row r="1413">
          <cell r="Q1413">
            <v>-450000</v>
          </cell>
          <cell r="S1413">
            <v>-446691</v>
          </cell>
          <cell r="U1413">
            <v>0</v>
          </cell>
          <cell r="V1413">
            <v>0</v>
          </cell>
          <cell r="W1413">
            <v>-198529.5</v>
          </cell>
          <cell r="Y1413">
            <v>-198529.5</v>
          </cell>
          <cell r="AA1413">
            <v>-409467</v>
          </cell>
          <cell r="AJ1413">
            <v>-240717</v>
          </cell>
          <cell r="AN1413">
            <v>-219485.25</v>
          </cell>
          <cell r="AR1413">
            <v>-240165.35416666666</v>
          </cell>
          <cell r="AV1413">
            <v>-340326.29166666669</v>
          </cell>
          <cell r="AZ1413">
            <v>-673138.875</v>
          </cell>
        </row>
        <row r="1414">
          <cell r="Q1414">
            <v>-468483.86</v>
          </cell>
          <cell r="S1414">
            <v>-435972.99</v>
          </cell>
          <cell r="U1414">
            <v>-385657.92</v>
          </cell>
          <cell r="V1414">
            <v>-378451.97</v>
          </cell>
          <cell r="W1414">
            <v>-366705.14</v>
          </cell>
          <cell r="Y1414">
            <v>-344174.36</v>
          </cell>
          <cell r="AA1414">
            <v>-338895.05</v>
          </cell>
          <cell r="AJ1414">
            <v>-487721.17500000005</v>
          </cell>
          <cell r="AN1414">
            <v>-463577.13666666666</v>
          </cell>
          <cell r="AR1414">
            <v>-423943.58499999996</v>
          </cell>
          <cell r="AV1414">
            <v>-377974.6966666666</v>
          </cell>
          <cell r="AZ1414">
            <v>-327948.96374999994</v>
          </cell>
        </row>
        <row r="1415">
          <cell r="Q1415">
            <v>-12000</v>
          </cell>
          <cell r="S1415">
            <v>-20000</v>
          </cell>
          <cell r="U1415">
            <v>-22250</v>
          </cell>
          <cell r="V1415">
            <v>-4500</v>
          </cell>
          <cell r="W1415">
            <v>-6750</v>
          </cell>
          <cell r="Y1415">
            <v>-11250</v>
          </cell>
          <cell r="AA1415">
            <v>-15750</v>
          </cell>
          <cell r="AJ1415">
            <v>-500</v>
          </cell>
          <cell r="AN1415">
            <v>-6593.75</v>
          </cell>
          <cell r="AR1415">
            <v>-9677.0833333333339</v>
          </cell>
          <cell r="AV1415">
            <v>-14427.083333333334</v>
          </cell>
          <cell r="AZ1415">
            <v>-11427.083333333334</v>
          </cell>
        </row>
        <row r="1416">
          <cell r="Q1416">
            <v>-1055220.03</v>
          </cell>
          <cell r="S1416">
            <v>-1136515.97</v>
          </cell>
          <cell r="U1416">
            <v>-174621.01</v>
          </cell>
          <cell r="V1416">
            <v>-220266.01</v>
          </cell>
          <cell r="W1416">
            <v>-311486.44</v>
          </cell>
          <cell r="Y1416">
            <v>-400991.04</v>
          </cell>
          <cell r="AA1416">
            <v>-588173.22</v>
          </cell>
          <cell r="AJ1416">
            <v>-741400.73749999993</v>
          </cell>
          <cell r="AN1416">
            <v>-755804.97458333347</v>
          </cell>
          <cell r="AR1416">
            <v>-660048.12791666656</v>
          </cell>
          <cell r="AV1416">
            <v>-539283.40166666661</v>
          </cell>
          <cell r="AZ1416">
            <v>-473103.91541666671</v>
          </cell>
        </row>
        <row r="1417">
          <cell r="Q1417">
            <v>-173891.11</v>
          </cell>
          <cell r="S1417">
            <v>-289818.52</v>
          </cell>
          <cell r="U1417">
            <v>-29851.31</v>
          </cell>
          <cell r="V1417">
            <v>-59702.62</v>
          </cell>
          <cell r="W1417">
            <v>-89553.93</v>
          </cell>
          <cell r="Y1417">
            <v>-149256.54999999999</v>
          </cell>
          <cell r="AA1417">
            <v>-208959.17</v>
          </cell>
          <cell r="AJ1417">
            <v>-7245.4629166666664</v>
          </cell>
          <cell r="AN1417">
            <v>-88189.360416666663</v>
          </cell>
          <cell r="AR1417">
            <v>-118040.67041666666</v>
          </cell>
          <cell r="AV1417">
            <v>-180448.26416666669</v>
          </cell>
          <cell r="AZ1417">
            <v>-194070.82666666666</v>
          </cell>
        </row>
        <row r="1418">
          <cell r="Q1418">
            <v>-51500</v>
          </cell>
          <cell r="S1418">
            <v>-85833.34</v>
          </cell>
          <cell r="U1418">
            <v>-8840.8700000000008</v>
          </cell>
          <cell r="V1418">
            <v>-17681.7</v>
          </cell>
          <cell r="W1418">
            <v>-26522.53</v>
          </cell>
          <cell r="Y1418">
            <v>-44204.19</v>
          </cell>
          <cell r="AA1418">
            <v>-61885.85</v>
          </cell>
          <cell r="AJ1418">
            <v>-2145.8333333333335</v>
          </cell>
          <cell r="AN1418">
            <v>-26118.370416666668</v>
          </cell>
          <cell r="AR1418">
            <v>-34959.213749999995</v>
          </cell>
          <cell r="AV1418">
            <v>-53441.997083333328</v>
          </cell>
          <cell r="AZ1418">
            <v>-57476.484583333331</v>
          </cell>
        </row>
        <row r="1419">
          <cell r="Q1419">
            <v>-51500</v>
          </cell>
          <cell r="S1419">
            <v>-85833.34</v>
          </cell>
          <cell r="U1419">
            <v>-8840.8700000000008</v>
          </cell>
          <cell r="V1419">
            <v>-17681.7</v>
          </cell>
          <cell r="W1419">
            <v>-26522.53</v>
          </cell>
          <cell r="Y1419">
            <v>-44204.19</v>
          </cell>
          <cell r="AA1419">
            <v>-61885.85</v>
          </cell>
          <cell r="AJ1419">
            <v>-2145.8333333333335</v>
          </cell>
          <cell r="AN1419">
            <v>-26118.370416666668</v>
          </cell>
          <cell r="AR1419">
            <v>-34959.213749999995</v>
          </cell>
          <cell r="AV1419">
            <v>-53441.997083333328</v>
          </cell>
          <cell r="AZ1419">
            <v>-57476.484583333331</v>
          </cell>
        </row>
        <row r="1420">
          <cell r="AA1420">
            <v>0</v>
          </cell>
          <cell r="AJ1420">
            <v>0</v>
          </cell>
          <cell r="AN1420">
            <v>0</v>
          </cell>
          <cell r="AR1420">
            <v>0</v>
          </cell>
          <cell r="AV1420">
            <v>-416.66666666666669</v>
          </cell>
          <cell r="AZ1420">
            <v>-833.33333333333337</v>
          </cell>
        </row>
        <row r="1421">
          <cell r="Q1421">
            <v>0</v>
          </cell>
          <cell r="S1421">
            <v>0</v>
          </cell>
          <cell r="U1421">
            <v>0</v>
          </cell>
          <cell r="V1421">
            <v>0</v>
          </cell>
          <cell r="W1421">
            <v>0</v>
          </cell>
          <cell r="Y1421">
            <v>0</v>
          </cell>
          <cell r="AA1421">
            <v>0</v>
          </cell>
          <cell r="AJ1421">
            <v>0</v>
          </cell>
          <cell r="AN1421">
            <v>0</v>
          </cell>
          <cell r="AR1421">
            <v>0</v>
          </cell>
          <cell r="AV1421">
            <v>0</v>
          </cell>
          <cell r="AZ1421">
            <v>0</v>
          </cell>
        </row>
        <row r="1422">
          <cell r="Q1422">
            <v>-47149.83</v>
          </cell>
          <cell r="S1422">
            <v>0</v>
          </cell>
          <cell r="U1422">
            <v>0</v>
          </cell>
          <cell r="V1422">
            <v>0</v>
          </cell>
          <cell r="W1422">
            <v>0</v>
          </cell>
          <cell r="Y1422">
            <v>0</v>
          </cell>
          <cell r="AA1422">
            <v>0</v>
          </cell>
          <cell r="AJ1422">
            <v>-17797.571249999997</v>
          </cell>
          <cell r="AN1422">
            <v>-11714.443333333335</v>
          </cell>
          <cell r="AR1422">
            <v>-7854.0525000000007</v>
          </cell>
          <cell r="AV1422">
            <v>-1964.5762500000001</v>
          </cell>
          <cell r="AZ1422">
            <v>0</v>
          </cell>
        </row>
        <row r="1423">
          <cell r="AV1423">
            <v>0</v>
          </cell>
          <cell r="AZ1423">
            <v>0</v>
          </cell>
        </row>
        <row r="1424">
          <cell r="AR1424">
            <v>0</v>
          </cell>
          <cell r="AV1424">
            <v>-87756.628749999989</v>
          </cell>
          <cell r="AZ1424">
            <v>-644529.85000000009</v>
          </cell>
        </row>
        <row r="1425">
          <cell r="AV1425">
            <v>0</v>
          </cell>
          <cell r="AZ1425">
            <v>0</v>
          </cell>
        </row>
        <row r="1426">
          <cell r="AV1426">
            <v>0</v>
          </cell>
          <cell r="AZ1426">
            <v>0</v>
          </cell>
        </row>
        <row r="1427">
          <cell r="AA1427">
            <v>0</v>
          </cell>
          <cell r="AR1427">
            <v>0</v>
          </cell>
          <cell r="AV1427">
            <v>-875.83333333333337</v>
          </cell>
          <cell r="AZ1427">
            <v>-7882.5</v>
          </cell>
        </row>
        <row r="1428">
          <cell r="AA1428">
            <v>0</v>
          </cell>
          <cell r="AR1428">
            <v>0</v>
          </cell>
          <cell r="AV1428">
            <v>-875.83333333333337</v>
          </cell>
          <cell r="AZ1428">
            <v>-7882.5</v>
          </cell>
        </row>
        <row r="1429">
          <cell r="AA1429">
            <v>0</v>
          </cell>
          <cell r="AR1429">
            <v>0</v>
          </cell>
          <cell r="AV1429">
            <v>-1532.7083333333333</v>
          </cell>
          <cell r="AZ1429">
            <v>-13794.375</v>
          </cell>
        </row>
        <row r="1430">
          <cell r="AA1430">
            <v>0</v>
          </cell>
          <cell r="AR1430">
            <v>0</v>
          </cell>
          <cell r="AV1430">
            <v>-15327.083333333334</v>
          </cell>
          <cell r="AZ1430">
            <v>-137943.75</v>
          </cell>
        </row>
        <row r="1431">
          <cell r="AA1431">
            <v>0</v>
          </cell>
          <cell r="AR1431">
            <v>0</v>
          </cell>
          <cell r="AV1431">
            <v>-6568.75</v>
          </cell>
          <cell r="AZ1431">
            <v>-24085.416666666668</v>
          </cell>
        </row>
        <row r="1432">
          <cell r="AA1432">
            <v>0</v>
          </cell>
          <cell r="AR1432">
            <v>0</v>
          </cell>
          <cell r="AV1432">
            <v>-1094.7916666666667</v>
          </cell>
          <cell r="AZ1432">
            <v>-9853.125</v>
          </cell>
        </row>
        <row r="1433">
          <cell r="AA1433">
            <v>0</v>
          </cell>
          <cell r="AR1433">
            <v>0</v>
          </cell>
          <cell r="AV1433">
            <v>0</v>
          </cell>
          <cell r="AZ1433">
            <v>0</v>
          </cell>
        </row>
        <row r="1434">
          <cell r="AV1434">
            <v>0</v>
          </cell>
          <cell r="AZ1434">
            <v>0</v>
          </cell>
        </row>
        <row r="1435">
          <cell r="AV1435">
            <v>0</v>
          </cell>
          <cell r="AZ1435">
            <v>0</v>
          </cell>
        </row>
        <row r="1436">
          <cell r="AV1436">
            <v>0</v>
          </cell>
          <cell r="AZ1436">
            <v>0</v>
          </cell>
        </row>
        <row r="1437">
          <cell r="AV1437">
            <v>0</v>
          </cell>
          <cell r="AZ1437">
            <v>0</v>
          </cell>
        </row>
        <row r="1438">
          <cell r="AV1438">
            <v>-94173.208333333328</v>
          </cell>
          <cell r="AZ1438">
            <v>-873833.875</v>
          </cell>
        </row>
        <row r="1439">
          <cell r="AV1439">
            <v>-2189.5833333333335</v>
          </cell>
          <cell r="AZ1439">
            <v>-19706.25</v>
          </cell>
        </row>
        <row r="1440">
          <cell r="AV1440">
            <v>0</v>
          </cell>
          <cell r="AZ1440">
            <v>0</v>
          </cell>
        </row>
        <row r="1441">
          <cell r="AV1441">
            <v>0</v>
          </cell>
          <cell r="AZ1441">
            <v>0</v>
          </cell>
        </row>
        <row r="1442">
          <cell r="AV1442">
            <v>0</v>
          </cell>
          <cell r="AZ1442">
            <v>0</v>
          </cell>
        </row>
        <row r="1443">
          <cell r="AV1443">
            <v>-1094.7916666666667</v>
          </cell>
          <cell r="AZ1443">
            <v>-9853.125</v>
          </cell>
        </row>
        <row r="1444">
          <cell r="AV1444">
            <v>0</v>
          </cell>
          <cell r="AZ1444">
            <v>0</v>
          </cell>
        </row>
        <row r="1445">
          <cell r="AV1445">
            <v>0</v>
          </cell>
          <cell r="AZ1445">
            <v>0</v>
          </cell>
        </row>
        <row r="1446">
          <cell r="AV1446">
            <v>0</v>
          </cell>
          <cell r="AZ1446">
            <v>0</v>
          </cell>
        </row>
        <row r="1447">
          <cell r="AV1447">
            <v>0</v>
          </cell>
          <cell r="AZ1447">
            <v>0</v>
          </cell>
        </row>
        <row r="1448">
          <cell r="U1448">
            <v>-15253885.119999999</v>
          </cell>
          <cell r="V1448">
            <v>-14906969.26</v>
          </cell>
          <cell r="W1448">
            <v>-14348397.539999999</v>
          </cell>
          <cell r="Y1448">
            <v>-13587687.189999999</v>
          </cell>
          <cell r="AA1448">
            <v>-12877073.34</v>
          </cell>
          <cell r="AJ1448">
            <v>0</v>
          </cell>
          <cell r="AN1448">
            <v>-1935595.9433333334</v>
          </cell>
          <cell r="AR1448">
            <v>-6739250.61625</v>
          </cell>
          <cell r="AV1448">
            <v>-11017168.754999999</v>
          </cell>
          <cell r="AZ1448">
            <v>-9573430.5791666657</v>
          </cell>
        </row>
        <row r="1449">
          <cell r="Q1449">
            <v>-22739197.710000001</v>
          </cell>
          <cell r="S1449">
            <v>0</v>
          </cell>
          <cell r="U1449">
            <v>0</v>
          </cell>
          <cell r="V1449">
            <v>0</v>
          </cell>
          <cell r="W1449">
            <v>0</v>
          </cell>
          <cell r="Y1449">
            <v>0</v>
          </cell>
          <cell r="AA1449">
            <v>0</v>
          </cell>
          <cell r="AJ1449">
            <v>-19961333.408750001</v>
          </cell>
          <cell r="AN1449">
            <v>-18027089.832083341</v>
          </cell>
          <cell r="AR1449">
            <v>-10422132.283750001</v>
          </cell>
          <cell r="AV1449">
            <v>-2842399.7137499996</v>
          </cell>
          <cell r="AZ1449">
            <v>0</v>
          </cell>
        </row>
        <row r="1450">
          <cell r="Q1450">
            <v>-45846943.020000003</v>
          </cell>
          <cell r="S1450">
            <v>-45259391.049999997</v>
          </cell>
          <cell r="U1450">
            <v>-44869994.159999996</v>
          </cell>
          <cell r="V1450">
            <v>-44544949.149999999</v>
          </cell>
          <cell r="W1450">
            <v>-44066127.07</v>
          </cell>
          <cell r="Y1450">
            <v>-43473648.030000001</v>
          </cell>
          <cell r="AA1450">
            <v>-43002486.130000003</v>
          </cell>
          <cell r="AJ1450">
            <v>-1910289.2925000002</v>
          </cell>
          <cell r="AN1450">
            <v>-17024115.043333333</v>
          </cell>
          <cell r="AR1450">
            <v>-31736847.115416665</v>
          </cell>
          <cell r="AV1450">
            <v>-44155354.499583326</v>
          </cell>
          <cell r="AZ1450">
            <v>-30807831.670000002</v>
          </cell>
        </row>
        <row r="1451">
          <cell r="Q1451">
            <v>-5284492</v>
          </cell>
          <cell r="S1451">
            <v>-7277948.79</v>
          </cell>
          <cell r="U1451">
            <v>-47214426.090000004</v>
          </cell>
          <cell r="V1451">
            <v>-42951910.009999998</v>
          </cell>
          <cell r="W1451">
            <v>-53765020</v>
          </cell>
          <cell r="Y1451">
            <v>-136888713.97</v>
          </cell>
          <cell r="AA1451">
            <v>-90779508.310000002</v>
          </cell>
          <cell r="AJ1451">
            <v>-4079302.875</v>
          </cell>
          <cell r="AN1451">
            <v>-10215434.367083333</v>
          </cell>
          <cell r="AR1451">
            <v>-35971356.855416663</v>
          </cell>
          <cell r="AV1451">
            <v>-66217350.58625</v>
          </cell>
          <cell r="AZ1451">
            <v>-91946591.767499998</v>
          </cell>
        </row>
        <row r="1452">
          <cell r="Q1452">
            <v>-146627437</v>
          </cell>
          <cell r="S1452">
            <v>-174733257.81999999</v>
          </cell>
          <cell r="U1452">
            <v>-153346024.08000001</v>
          </cell>
          <cell r="V1452">
            <v>-131389310.18000001</v>
          </cell>
          <cell r="W1452">
            <v>-122462280.81</v>
          </cell>
          <cell r="Y1452">
            <v>-132728656.68000001</v>
          </cell>
          <cell r="AA1452">
            <v>-94851571.670000002</v>
          </cell>
          <cell r="AJ1452">
            <v>-35063785.458333336</v>
          </cell>
          <cell r="AN1452">
            <v>-90200928.605000004</v>
          </cell>
          <cell r="AR1452">
            <v>-132804927.82749999</v>
          </cell>
          <cell r="AV1452">
            <v>-129416185.69541667</v>
          </cell>
          <cell r="AZ1452">
            <v>-101565399.33375001</v>
          </cell>
        </row>
        <row r="1453">
          <cell r="Q1453">
            <v>-3042121</v>
          </cell>
          <cell r="S1453">
            <v>-3199319.12</v>
          </cell>
          <cell r="U1453">
            <v>-36843688.369999997</v>
          </cell>
          <cell r="V1453">
            <v>-29512015.59</v>
          </cell>
          <cell r="W1453">
            <v>-31061844.82</v>
          </cell>
          <cell r="Y1453">
            <v>-90773648.450000003</v>
          </cell>
          <cell r="AA1453">
            <v>-68807119.890000001</v>
          </cell>
          <cell r="AJ1453">
            <v>-5544070.416666667</v>
          </cell>
          <cell r="AN1453">
            <v>-8978652.6970833335</v>
          </cell>
          <cell r="AR1453">
            <v>-24550238.513750002</v>
          </cell>
          <cell r="AV1453">
            <v>-47266621.321666658</v>
          </cell>
          <cell r="AZ1453">
            <v>-70688125.567916662</v>
          </cell>
        </row>
        <row r="1454">
          <cell r="Q1454">
            <v>-62495473</v>
          </cell>
          <cell r="S1454">
            <v>-70238454.790000007</v>
          </cell>
          <cell r="U1454">
            <v>-51097143.75</v>
          </cell>
          <cell r="V1454">
            <v>-34581627.18</v>
          </cell>
          <cell r="W1454">
            <v>-31546380.68</v>
          </cell>
          <cell r="Y1454">
            <v>-34071970.619999997</v>
          </cell>
          <cell r="AA1454">
            <v>-25151454.940000001</v>
          </cell>
          <cell r="AJ1454">
            <v>-12955949.791666666</v>
          </cell>
          <cell r="AN1454">
            <v>-33141180.537916671</v>
          </cell>
          <cell r="AR1454">
            <v>-44026800.607500009</v>
          </cell>
          <cell r="AV1454">
            <v>-39986123.31333334</v>
          </cell>
          <cell r="AZ1454">
            <v>-28822538.374166667</v>
          </cell>
        </row>
        <row r="1455">
          <cell r="Q1455">
            <v>0</v>
          </cell>
          <cell r="S1455">
            <v>0</v>
          </cell>
          <cell r="U1455">
            <v>0</v>
          </cell>
          <cell r="V1455">
            <v>0</v>
          </cell>
          <cell r="W1455">
            <v>0</v>
          </cell>
          <cell r="Y1455">
            <v>0</v>
          </cell>
          <cell r="AA1455">
            <v>0</v>
          </cell>
          <cell r="AJ1455">
            <v>494570.625</v>
          </cell>
          <cell r="AN1455">
            <v>0</v>
          </cell>
          <cell r="AR1455">
            <v>0</v>
          </cell>
          <cell r="AV1455">
            <v>0</v>
          </cell>
          <cell r="AZ1455">
            <v>0</v>
          </cell>
        </row>
        <row r="1456">
          <cell r="Q1456">
            <v>337205</v>
          </cell>
          <cell r="S1456">
            <v>337205</v>
          </cell>
          <cell r="U1456">
            <v>0</v>
          </cell>
          <cell r="V1456">
            <v>0</v>
          </cell>
          <cell r="W1456">
            <v>0</v>
          </cell>
          <cell r="Y1456">
            <v>0</v>
          </cell>
          <cell r="AA1456">
            <v>0</v>
          </cell>
          <cell r="AJ1456">
            <v>426179.54166666669</v>
          </cell>
          <cell r="AN1456">
            <v>495807.125</v>
          </cell>
          <cell r="AR1456">
            <v>493291.95833333331</v>
          </cell>
          <cell r="AV1456">
            <v>70251.041666666672</v>
          </cell>
          <cell r="AZ1456">
            <v>0</v>
          </cell>
        </row>
        <row r="1457">
          <cell r="Q1457">
            <v>0</v>
          </cell>
          <cell r="S1457">
            <v>0</v>
          </cell>
          <cell r="U1457">
            <v>0</v>
          </cell>
          <cell r="V1457">
            <v>0</v>
          </cell>
          <cell r="W1457">
            <v>0</v>
          </cell>
          <cell r="Y1457">
            <v>0</v>
          </cell>
          <cell r="AA1457">
            <v>0</v>
          </cell>
          <cell r="AJ1457">
            <v>1379983.5416666667</v>
          </cell>
          <cell r="AN1457">
            <v>0</v>
          </cell>
          <cell r="AR1457">
            <v>0</v>
          </cell>
          <cell r="AV1457">
            <v>0</v>
          </cell>
          <cell r="AZ1457">
            <v>0</v>
          </cell>
        </row>
        <row r="1458">
          <cell r="Q1458">
            <v>187642</v>
          </cell>
          <cell r="S1458">
            <v>187642</v>
          </cell>
          <cell r="U1458">
            <v>0</v>
          </cell>
          <cell r="V1458">
            <v>0</v>
          </cell>
          <cell r="W1458">
            <v>0</v>
          </cell>
          <cell r="Y1458">
            <v>0</v>
          </cell>
          <cell r="AA1458">
            <v>0</v>
          </cell>
          <cell r="AJ1458">
            <v>153891.5</v>
          </cell>
          <cell r="AN1458">
            <v>192735.5</v>
          </cell>
          <cell r="AR1458">
            <v>184477.29166666666</v>
          </cell>
          <cell r="AV1458">
            <v>39092.083333333336</v>
          </cell>
          <cell r="AZ1458">
            <v>0</v>
          </cell>
        </row>
        <row r="1459">
          <cell r="Q1459">
            <v>28158</v>
          </cell>
          <cell r="S1459">
            <v>28158</v>
          </cell>
          <cell r="U1459">
            <v>0</v>
          </cell>
          <cell r="V1459">
            <v>0</v>
          </cell>
          <cell r="W1459">
            <v>0</v>
          </cell>
          <cell r="Y1459">
            <v>0</v>
          </cell>
          <cell r="AA1459">
            <v>0</v>
          </cell>
          <cell r="AJ1459">
            <v>41793.75</v>
          </cell>
          <cell r="AN1459">
            <v>40971.75</v>
          </cell>
          <cell r="AR1459">
            <v>29832.458333333332</v>
          </cell>
          <cell r="AV1459">
            <v>5866.25</v>
          </cell>
          <cell r="AZ1459">
            <v>0</v>
          </cell>
        </row>
        <row r="1460">
          <cell r="Q1460">
            <v>17952</v>
          </cell>
          <cell r="S1460">
            <v>17952</v>
          </cell>
          <cell r="U1460">
            <v>0</v>
          </cell>
          <cell r="V1460">
            <v>0</v>
          </cell>
          <cell r="W1460">
            <v>0</v>
          </cell>
          <cell r="Y1460">
            <v>0</v>
          </cell>
          <cell r="AA1460">
            <v>0</v>
          </cell>
          <cell r="AJ1460">
            <v>62107.25</v>
          </cell>
          <cell r="AN1460">
            <v>54741.875</v>
          </cell>
          <cell r="AR1460">
            <v>26282.958333333332</v>
          </cell>
          <cell r="AV1460">
            <v>3740</v>
          </cell>
          <cell r="AZ1460">
            <v>0</v>
          </cell>
        </row>
        <row r="1461">
          <cell r="Q1461">
            <v>0</v>
          </cell>
          <cell r="S1461">
            <v>0</v>
          </cell>
          <cell r="U1461">
            <v>0</v>
          </cell>
          <cell r="V1461">
            <v>0</v>
          </cell>
          <cell r="W1461">
            <v>0</v>
          </cell>
          <cell r="Y1461">
            <v>0</v>
          </cell>
          <cell r="AA1461">
            <v>0</v>
          </cell>
          <cell r="AJ1461">
            <v>-43831.358333333337</v>
          </cell>
          <cell r="AN1461">
            <v>-43831.358333333337</v>
          </cell>
          <cell r="AR1461">
            <v>0</v>
          </cell>
          <cell r="AV1461">
            <v>0</v>
          </cell>
          <cell r="AZ1461">
            <v>0</v>
          </cell>
        </row>
        <row r="1462">
          <cell r="Q1462">
            <v>0</v>
          </cell>
          <cell r="S1462">
            <v>0</v>
          </cell>
          <cell r="U1462">
            <v>0</v>
          </cell>
          <cell r="V1462">
            <v>0</v>
          </cell>
          <cell r="W1462">
            <v>0</v>
          </cell>
          <cell r="Y1462">
            <v>0</v>
          </cell>
          <cell r="AA1462">
            <v>0</v>
          </cell>
          <cell r="AJ1462">
            <v>-6020.6500000000005</v>
          </cell>
          <cell r="AN1462">
            <v>-6020.6500000000005</v>
          </cell>
          <cell r="AR1462">
            <v>0</v>
          </cell>
          <cell r="AV1462">
            <v>0</v>
          </cell>
          <cell r="AZ1462">
            <v>0</v>
          </cell>
        </row>
        <row r="1463">
          <cell r="Q1463">
            <v>-83392136</v>
          </cell>
          <cell r="S1463">
            <v>-131126367.93000001</v>
          </cell>
          <cell r="U1463">
            <v>-116413391.34</v>
          </cell>
          <cell r="V1463">
            <v>-109603898.62</v>
          </cell>
          <cell r="W1463">
            <v>-99191965.030000001</v>
          </cell>
          <cell r="Y1463">
            <v>0</v>
          </cell>
          <cell r="AA1463">
            <v>0</v>
          </cell>
          <cell r="AJ1463">
            <v>-12611336.333333334</v>
          </cell>
          <cell r="AN1463">
            <v>-48323100.975833327</v>
          </cell>
          <cell r="AR1463">
            <v>-70565554.460833326</v>
          </cell>
          <cell r="AV1463">
            <v>-59775370.419166662</v>
          </cell>
          <cell r="AZ1463">
            <v>-22250213.276666667</v>
          </cell>
        </row>
        <row r="1464">
          <cell r="Q1464">
            <v>0</v>
          </cell>
          <cell r="S1464">
            <v>0</v>
          </cell>
          <cell r="U1464">
            <v>0</v>
          </cell>
          <cell r="V1464">
            <v>0</v>
          </cell>
          <cell r="W1464">
            <v>0</v>
          </cell>
          <cell r="Y1464">
            <v>0</v>
          </cell>
          <cell r="AA1464">
            <v>0</v>
          </cell>
          <cell r="AJ1464">
            <v>-3697037.0833333335</v>
          </cell>
          <cell r="AN1464">
            <v>0</v>
          </cell>
          <cell r="AR1464">
            <v>0</v>
          </cell>
          <cell r="AV1464">
            <v>0</v>
          </cell>
          <cell r="AZ1464">
            <v>0</v>
          </cell>
        </row>
        <row r="1465">
          <cell r="Q1465">
            <v>0</v>
          </cell>
          <cell r="S1465">
            <v>0</v>
          </cell>
          <cell r="U1465">
            <v>0</v>
          </cell>
          <cell r="V1465">
            <v>0</v>
          </cell>
          <cell r="W1465">
            <v>0</v>
          </cell>
          <cell r="Y1465">
            <v>0</v>
          </cell>
          <cell r="AA1465">
            <v>0</v>
          </cell>
          <cell r="AJ1465">
            <v>0</v>
          </cell>
          <cell r="AN1465">
            <v>0</v>
          </cell>
          <cell r="AR1465">
            <v>0</v>
          </cell>
          <cell r="AV1465">
            <v>0</v>
          </cell>
          <cell r="AZ1465">
            <v>0</v>
          </cell>
        </row>
        <row r="1466">
          <cell r="Q1466">
            <v>-89829695</v>
          </cell>
          <cell r="S1466">
            <v>-126532001.87</v>
          </cell>
          <cell r="U1466">
            <v>-78552028.540000007</v>
          </cell>
          <cell r="V1466">
            <v>-64924091.229999997</v>
          </cell>
          <cell r="W1466">
            <v>-60608616.539999999</v>
          </cell>
          <cell r="Y1466">
            <v>0</v>
          </cell>
          <cell r="AA1466">
            <v>0</v>
          </cell>
          <cell r="AJ1466">
            <v>-9694466.416666666</v>
          </cell>
          <cell r="AN1466">
            <v>-42255288.224166669</v>
          </cell>
          <cell r="AR1466">
            <v>-55882172.519166671</v>
          </cell>
          <cell r="AV1466">
            <v>-46489706.810833335</v>
          </cell>
          <cell r="AZ1466">
            <v>-13734060.17</v>
          </cell>
        </row>
        <row r="1467">
          <cell r="Q1467">
            <v>0</v>
          </cell>
          <cell r="S1467">
            <v>0</v>
          </cell>
          <cell r="U1467">
            <v>0</v>
          </cell>
          <cell r="V1467">
            <v>0</v>
          </cell>
          <cell r="W1467">
            <v>0</v>
          </cell>
          <cell r="Y1467">
            <v>0</v>
          </cell>
          <cell r="AA1467">
            <v>0</v>
          </cell>
          <cell r="AJ1467">
            <v>-33882.5</v>
          </cell>
          <cell r="AN1467">
            <v>0</v>
          </cell>
          <cell r="AR1467">
            <v>0</v>
          </cell>
          <cell r="AV1467">
            <v>0</v>
          </cell>
          <cell r="AZ1467">
            <v>0</v>
          </cell>
        </row>
        <row r="1468">
          <cell r="Q1468">
            <v>-2249252</v>
          </cell>
          <cell r="S1468">
            <v>0</v>
          </cell>
          <cell r="U1468">
            <v>0</v>
          </cell>
          <cell r="V1468">
            <v>0</v>
          </cell>
          <cell r="W1468">
            <v>0</v>
          </cell>
          <cell r="Y1468">
            <v>0</v>
          </cell>
          <cell r="AA1468">
            <v>0</v>
          </cell>
          <cell r="AJ1468">
            <v>-217795.08333333334</v>
          </cell>
          <cell r="AN1468">
            <v>-311513.91666666669</v>
          </cell>
          <cell r="AR1468">
            <v>-311513.91666666669</v>
          </cell>
          <cell r="AV1468">
            <v>-93718.833333333328</v>
          </cell>
          <cell r="AZ1468">
            <v>0</v>
          </cell>
        </row>
        <row r="1469">
          <cell r="Q1469">
            <v>0</v>
          </cell>
          <cell r="S1469">
            <v>0</v>
          </cell>
          <cell r="U1469">
            <v>0</v>
          </cell>
          <cell r="V1469">
            <v>0</v>
          </cell>
          <cell r="W1469">
            <v>0</v>
          </cell>
          <cell r="Y1469">
            <v>0</v>
          </cell>
          <cell r="AA1469">
            <v>0</v>
          </cell>
          <cell r="AJ1469">
            <v>1246.9166666666667</v>
          </cell>
          <cell r="AN1469">
            <v>0</v>
          </cell>
          <cell r="AR1469">
            <v>0</v>
          </cell>
          <cell r="AV1469">
            <v>0</v>
          </cell>
          <cell r="AZ1469">
            <v>0</v>
          </cell>
        </row>
        <row r="1470">
          <cell r="Q1470">
            <v>0</v>
          </cell>
          <cell r="S1470">
            <v>0</v>
          </cell>
          <cell r="U1470">
            <v>0</v>
          </cell>
          <cell r="V1470">
            <v>0</v>
          </cell>
          <cell r="W1470">
            <v>0</v>
          </cell>
          <cell r="Y1470">
            <v>0</v>
          </cell>
          <cell r="AA1470">
            <v>0</v>
          </cell>
          <cell r="AJ1470">
            <v>0</v>
          </cell>
          <cell r="AN1470">
            <v>0</v>
          </cell>
          <cell r="AR1470">
            <v>0</v>
          </cell>
          <cell r="AV1470">
            <v>0</v>
          </cell>
          <cell r="AZ1470">
            <v>0</v>
          </cell>
        </row>
        <row r="1471">
          <cell r="Q1471">
            <v>-3858235</v>
          </cell>
          <cell r="S1471">
            <v>0</v>
          </cell>
          <cell r="U1471">
            <v>0</v>
          </cell>
          <cell r="V1471">
            <v>0</v>
          </cell>
          <cell r="W1471">
            <v>0</v>
          </cell>
          <cell r="Y1471">
            <v>0</v>
          </cell>
          <cell r="AA1471">
            <v>0</v>
          </cell>
          <cell r="AJ1471">
            <v>-335751.04166666669</v>
          </cell>
          <cell r="AN1471">
            <v>-496510.83333333331</v>
          </cell>
          <cell r="AR1471">
            <v>-496510.83333333331</v>
          </cell>
          <cell r="AV1471">
            <v>-160759.79166666666</v>
          </cell>
          <cell r="AZ1471">
            <v>0</v>
          </cell>
        </row>
        <row r="1472">
          <cell r="Q1472">
            <v>0</v>
          </cell>
          <cell r="S1472">
            <v>0</v>
          </cell>
          <cell r="U1472">
            <v>0</v>
          </cell>
          <cell r="V1472">
            <v>0</v>
          </cell>
          <cell r="W1472">
            <v>0</v>
          </cell>
          <cell r="Y1472">
            <v>0</v>
          </cell>
          <cell r="AA1472">
            <v>0</v>
          </cell>
          <cell r="AJ1472">
            <v>496.16666666666669</v>
          </cell>
          <cell r="AN1472">
            <v>0</v>
          </cell>
          <cell r="AR1472">
            <v>0</v>
          </cell>
          <cell r="AV1472">
            <v>0</v>
          </cell>
          <cell r="AZ1472">
            <v>0</v>
          </cell>
        </row>
        <row r="1473">
          <cell r="Q1473">
            <v>322134</v>
          </cell>
          <cell r="S1473">
            <v>322134</v>
          </cell>
          <cell r="U1473">
            <v>0</v>
          </cell>
          <cell r="V1473">
            <v>0</v>
          </cell>
          <cell r="W1473">
            <v>0</v>
          </cell>
          <cell r="Y1473">
            <v>0</v>
          </cell>
          <cell r="AA1473">
            <v>0</v>
          </cell>
          <cell r="AJ1473">
            <v>143802</v>
          </cell>
          <cell r="AN1473">
            <v>210868.125</v>
          </cell>
          <cell r="AR1473">
            <v>210808.41666666666</v>
          </cell>
          <cell r="AV1473">
            <v>67111.25</v>
          </cell>
          <cell r="AZ1473">
            <v>0</v>
          </cell>
        </row>
        <row r="1474">
          <cell r="Q1474">
            <v>596946</v>
          </cell>
          <cell r="S1474">
            <v>596946</v>
          </cell>
          <cell r="U1474">
            <v>0</v>
          </cell>
          <cell r="V1474">
            <v>0</v>
          </cell>
          <cell r="W1474">
            <v>0</v>
          </cell>
          <cell r="Y1474">
            <v>0</v>
          </cell>
          <cell r="AA1474">
            <v>0</v>
          </cell>
          <cell r="AJ1474">
            <v>128731.25</v>
          </cell>
          <cell r="AN1474">
            <v>251938.625</v>
          </cell>
          <cell r="AR1474">
            <v>250346.83333333334</v>
          </cell>
          <cell r="AV1474">
            <v>124363.75</v>
          </cell>
          <cell r="AZ1474">
            <v>0</v>
          </cell>
        </row>
        <row r="1475">
          <cell r="Q1475">
            <v>0</v>
          </cell>
          <cell r="S1475">
            <v>0</v>
          </cell>
          <cell r="U1475">
            <v>0</v>
          </cell>
          <cell r="V1475">
            <v>0</v>
          </cell>
          <cell r="W1475">
            <v>0</v>
          </cell>
          <cell r="Y1475">
            <v>0</v>
          </cell>
          <cell r="AA1475">
            <v>0</v>
          </cell>
          <cell r="AJ1475">
            <v>0</v>
          </cell>
          <cell r="AN1475">
            <v>0</v>
          </cell>
          <cell r="AR1475">
            <v>0</v>
          </cell>
          <cell r="AV1475">
            <v>0</v>
          </cell>
          <cell r="AZ1475">
            <v>0</v>
          </cell>
        </row>
        <row r="1476">
          <cell r="Q1476">
            <v>0</v>
          </cell>
          <cell r="S1476">
            <v>0</v>
          </cell>
          <cell r="U1476">
            <v>0</v>
          </cell>
          <cell r="V1476">
            <v>0</v>
          </cell>
          <cell r="W1476">
            <v>0</v>
          </cell>
          <cell r="Y1476">
            <v>0</v>
          </cell>
          <cell r="AA1476">
            <v>0</v>
          </cell>
          <cell r="AJ1476">
            <v>0</v>
          </cell>
          <cell r="AN1476">
            <v>0</v>
          </cell>
          <cell r="AR1476">
            <v>0</v>
          </cell>
          <cell r="AV1476">
            <v>0</v>
          </cell>
          <cell r="AZ1476">
            <v>0</v>
          </cell>
        </row>
        <row r="1477">
          <cell r="Q1477">
            <v>0</v>
          </cell>
          <cell r="S1477">
            <v>0</v>
          </cell>
          <cell r="U1477">
            <v>0</v>
          </cell>
          <cell r="V1477">
            <v>0</v>
          </cell>
          <cell r="W1477">
            <v>0</v>
          </cell>
          <cell r="Y1477">
            <v>0</v>
          </cell>
          <cell r="AA1477">
            <v>0</v>
          </cell>
          <cell r="AJ1477">
            <v>0</v>
          </cell>
          <cell r="AN1477">
            <v>0</v>
          </cell>
          <cell r="AR1477">
            <v>0</v>
          </cell>
          <cell r="AV1477">
            <v>0</v>
          </cell>
          <cell r="AZ1477">
            <v>0</v>
          </cell>
        </row>
        <row r="1478">
          <cell r="Q1478">
            <v>0</v>
          </cell>
          <cell r="S1478">
            <v>0</v>
          </cell>
          <cell r="U1478">
            <v>0</v>
          </cell>
          <cell r="V1478">
            <v>0</v>
          </cell>
          <cell r="W1478">
            <v>0</v>
          </cell>
          <cell r="Y1478">
            <v>0</v>
          </cell>
          <cell r="AA1478">
            <v>0</v>
          </cell>
          <cell r="AJ1478">
            <v>0</v>
          </cell>
          <cell r="AN1478">
            <v>0</v>
          </cell>
          <cell r="AR1478">
            <v>0</v>
          </cell>
          <cell r="AV1478">
            <v>0</v>
          </cell>
          <cell r="AZ1478">
            <v>0</v>
          </cell>
        </row>
        <row r="1479">
          <cell r="Q1479">
            <v>-5703829.3499999996</v>
          </cell>
          <cell r="S1479">
            <v>-5703829.3499999996</v>
          </cell>
          <cell r="U1479">
            <v>-5538136.6100000003</v>
          </cell>
          <cell r="V1479">
            <v>-5334768.82</v>
          </cell>
          <cell r="W1479">
            <v>-5330002.57</v>
          </cell>
          <cell r="Y1479">
            <v>-5748539.3700000001</v>
          </cell>
          <cell r="AA1479">
            <v>-5748539.3700000001</v>
          </cell>
          <cell r="AJ1479">
            <v>-7046691.6079166671</v>
          </cell>
          <cell r="AN1479">
            <v>-6577921.217083334</v>
          </cell>
          <cell r="AR1479">
            <v>-6044138.8395833336</v>
          </cell>
          <cell r="AV1479">
            <v>-5645895.6695833318</v>
          </cell>
          <cell r="AZ1479">
            <v>-5659567.8966666674</v>
          </cell>
        </row>
        <row r="1480">
          <cell r="Q1480">
            <v>-2180468.58</v>
          </cell>
          <cell r="S1480">
            <v>-2164411.83</v>
          </cell>
          <cell r="U1480">
            <v>-2155602.66</v>
          </cell>
          <cell r="V1480">
            <v>-2155602.66</v>
          </cell>
          <cell r="W1480">
            <v>-2155602.66</v>
          </cell>
          <cell r="Y1480">
            <v>-2159969.66</v>
          </cell>
          <cell r="AA1480">
            <v>-2141041.9900000002</v>
          </cell>
          <cell r="AJ1480">
            <v>-4189567.5199999982</v>
          </cell>
          <cell r="AN1480">
            <v>-3478449.2999999993</v>
          </cell>
          <cell r="AR1480">
            <v>-2771708.0716666663</v>
          </cell>
          <cell r="AV1480">
            <v>-2097476.5595833338</v>
          </cell>
          <cell r="AZ1480">
            <v>-1721835.1758333331</v>
          </cell>
        </row>
        <row r="1481">
          <cell r="Q1481">
            <v>-96358.61</v>
          </cell>
          <cell r="S1481">
            <v>-92105.61</v>
          </cell>
          <cell r="U1481">
            <v>-90828.61</v>
          </cell>
          <cell r="V1481">
            <v>-90828.61</v>
          </cell>
          <cell r="W1481">
            <v>-90828.61</v>
          </cell>
          <cell r="Y1481">
            <v>-77696.61</v>
          </cell>
          <cell r="AA1481">
            <v>-77696.61</v>
          </cell>
          <cell r="AJ1481">
            <v>-147304.80166666667</v>
          </cell>
          <cell r="AN1481">
            <v>-123679.13500000005</v>
          </cell>
          <cell r="AR1481">
            <v>-102195.84541666666</v>
          </cell>
          <cell r="AV1481">
            <v>-84457.193333333329</v>
          </cell>
          <cell r="AZ1481">
            <v>-70434.401666666658</v>
          </cell>
        </row>
        <row r="1482">
          <cell r="Q1482">
            <v>0</v>
          </cell>
          <cell r="S1482">
            <v>0</v>
          </cell>
          <cell r="U1482">
            <v>0</v>
          </cell>
          <cell r="V1482">
            <v>0</v>
          </cell>
          <cell r="W1482">
            <v>0</v>
          </cell>
          <cell r="Y1482">
            <v>0</v>
          </cell>
          <cell r="AA1482">
            <v>0</v>
          </cell>
          <cell r="AJ1482">
            <v>0</v>
          </cell>
          <cell r="AN1482">
            <v>0</v>
          </cell>
          <cell r="AR1482">
            <v>0</v>
          </cell>
          <cell r="AV1482">
            <v>0</v>
          </cell>
          <cell r="AZ1482">
            <v>0</v>
          </cell>
        </row>
        <row r="1483">
          <cell r="Q1483">
            <v>-156915.16</v>
          </cell>
          <cell r="S1483">
            <v>-157071.22</v>
          </cell>
          <cell r="U1483">
            <v>-147703.67999999999</v>
          </cell>
          <cell r="V1483">
            <v>-147753.01</v>
          </cell>
          <cell r="W1483">
            <v>-148147.14000000001</v>
          </cell>
          <cell r="Y1483">
            <v>-148183.21</v>
          </cell>
          <cell r="AA1483">
            <v>-146145.63</v>
          </cell>
          <cell r="AJ1483">
            <v>-165375.01625000002</v>
          </cell>
          <cell r="AN1483">
            <v>-155593.65208333332</v>
          </cell>
          <cell r="AR1483">
            <v>-152024.71333333335</v>
          </cell>
          <cell r="AV1483">
            <v>-143251.48083333331</v>
          </cell>
          <cell r="AZ1483">
            <v>-92196.883333333317</v>
          </cell>
        </row>
        <row r="1484">
          <cell r="Q1484">
            <v>-493325.13</v>
          </cell>
          <cell r="S1484">
            <v>-446077.1</v>
          </cell>
          <cell r="U1484">
            <v>-406580.41</v>
          </cell>
          <cell r="V1484">
            <v>-404482.26</v>
          </cell>
          <cell r="W1484">
            <v>-448891.57</v>
          </cell>
          <cell r="Y1484">
            <v>-485771.23</v>
          </cell>
          <cell r="AA1484">
            <v>-530124.57999999996</v>
          </cell>
          <cell r="AJ1484">
            <v>-421708.8133333333</v>
          </cell>
          <cell r="AN1484">
            <v>-467797.61833333323</v>
          </cell>
          <cell r="AR1484">
            <v>-464473.02083333343</v>
          </cell>
          <cell r="AV1484">
            <v>-448426.25708333327</v>
          </cell>
          <cell r="AZ1484">
            <v>-325382.53875000001</v>
          </cell>
        </row>
        <row r="1485">
          <cell r="Q1485">
            <v>-9814381.7599999998</v>
          </cell>
          <cell r="S1485">
            <v>-9958249.6999999993</v>
          </cell>
          <cell r="U1485">
            <v>-10148679.85</v>
          </cell>
          <cell r="V1485">
            <v>-10183766.1</v>
          </cell>
          <cell r="W1485">
            <v>-10300305.710000001</v>
          </cell>
          <cell r="Y1485">
            <v>-10562930.16</v>
          </cell>
          <cell r="AA1485">
            <v>-10853505.689999999</v>
          </cell>
          <cell r="AJ1485">
            <v>-9877708.2725000009</v>
          </cell>
          <cell r="AN1485">
            <v>-10085280.320000002</v>
          </cell>
          <cell r="AR1485">
            <v>-10223412.430833332</v>
          </cell>
          <cell r="AV1485">
            <v>-10301385.624583334</v>
          </cell>
          <cell r="AZ1485">
            <v>-10211877.561666667</v>
          </cell>
        </row>
        <row r="1486">
          <cell r="Q1486">
            <v>-38407724.189999998</v>
          </cell>
          <cell r="S1486">
            <v>-37862453.899999999</v>
          </cell>
          <cell r="U1486">
            <v>-37217649.630000003</v>
          </cell>
          <cell r="V1486">
            <v>-36898152.020000003</v>
          </cell>
          <cell r="W1486">
            <v>-36897762.960000001</v>
          </cell>
          <cell r="Y1486">
            <v>-36494878.210000001</v>
          </cell>
          <cell r="AA1486">
            <v>-36252905.82</v>
          </cell>
          <cell r="AJ1486">
            <v>-39741337.699999996</v>
          </cell>
          <cell r="AN1486">
            <v>-39220873.08208333</v>
          </cell>
          <cell r="AR1486">
            <v>-38308646.715833329</v>
          </cell>
          <cell r="AV1486">
            <v>-36827052.832500003</v>
          </cell>
          <cell r="AZ1486">
            <v>-35008207.40208333</v>
          </cell>
        </row>
        <row r="1487">
          <cell r="Q1487">
            <v>-18424349.27</v>
          </cell>
          <cell r="S1487">
            <v>-18762662.010000002</v>
          </cell>
          <cell r="U1487">
            <v>-19548287.32</v>
          </cell>
          <cell r="V1487">
            <v>-20517183.539999999</v>
          </cell>
          <cell r="W1487">
            <v>-21527662.640000001</v>
          </cell>
          <cell r="Y1487">
            <v>-21971183.539999999</v>
          </cell>
          <cell r="AA1487">
            <v>-22555322.109999999</v>
          </cell>
          <cell r="AJ1487">
            <v>-16867196.293749999</v>
          </cell>
          <cell r="AN1487">
            <v>-18045655.948333334</v>
          </cell>
          <cell r="AR1487">
            <v>-19466867.16333333</v>
          </cell>
          <cell r="AV1487">
            <v>-20710784.743333332</v>
          </cell>
          <cell r="AZ1487">
            <v>-21235453.459166665</v>
          </cell>
        </row>
        <row r="1488">
          <cell r="Q1488">
            <v>0</v>
          </cell>
          <cell r="S1488">
            <v>0</v>
          </cell>
          <cell r="U1488">
            <v>0</v>
          </cell>
          <cell r="V1488">
            <v>0</v>
          </cell>
          <cell r="W1488">
            <v>0</v>
          </cell>
          <cell r="Y1488">
            <v>0</v>
          </cell>
          <cell r="AA1488">
            <v>0</v>
          </cell>
          <cell r="AJ1488">
            <v>-305849.84499999997</v>
          </cell>
          <cell r="AN1488">
            <v>0</v>
          </cell>
          <cell r="AR1488">
            <v>0</v>
          </cell>
          <cell r="AV1488">
            <v>0</v>
          </cell>
          <cell r="AZ1488">
            <v>0</v>
          </cell>
        </row>
        <row r="1489">
          <cell r="Q1489">
            <v>-20298892.399999999</v>
          </cell>
          <cell r="S1489">
            <v>-21179628.649999999</v>
          </cell>
          <cell r="U1489">
            <v>-22944967.27</v>
          </cell>
          <cell r="V1489">
            <v>-23365290.359999999</v>
          </cell>
          <cell r="W1489">
            <v>-23484038.18</v>
          </cell>
          <cell r="Y1489">
            <v>-24168660.719999999</v>
          </cell>
          <cell r="AA1489">
            <v>-24744281.829999998</v>
          </cell>
          <cell r="AJ1489">
            <v>-17200543.927499998</v>
          </cell>
          <cell r="AN1489">
            <v>-19244718.727500003</v>
          </cell>
          <cell r="AR1489">
            <v>-21366762.397916667</v>
          </cell>
          <cell r="AV1489">
            <v>-23150241.051666666</v>
          </cell>
          <cell r="AZ1489">
            <v>-24340624.892916668</v>
          </cell>
        </row>
        <row r="1490">
          <cell r="Q1490">
            <v>-3375333.02</v>
          </cell>
          <cell r="S1490">
            <v>-3375333.02</v>
          </cell>
          <cell r="U1490">
            <v>-3369236.18</v>
          </cell>
          <cell r="V1490">
            <v>-3374983.18</v>
          </cell>
          <cell r="W1490">
            <v>-3374983.18</v>
          </cell>
          <cell r="Y1490">
            <v>-3374983.18</v>
          </cell>
          <cell r="AA1490">
            <v>-3374983.18</v>
          </cell>
          <cell r="AJ1490">
            <v>-3375352.3079166673</v>
          </cell>
          <cell r="AN1490">
            <v>-3374259.14</v>
          </cell>
          <cell r="AR1490">
            <v>-3372436.5983333332</v>
          </cell>
          <cell r="AV1490">
            <v>-3374098.2300000004</v>
          </cell>
          <cell r="AZ1490">
            <v>-3374784.47</v>
          </cell>
        </row>
        <row r="1491">
          <cell r="Q1491">
            <v>-1561823.95</v>
          </cell>
          <cell r="S1491">
            <v>-1548865.95</v>
          </cell>
          <cell r="U1491">
            <v>-1653833.95</v>
          </cell>
          <cell r="V1491">
            <v>-1664735.95</v>
          </cell>
          <cell r="W1491">
            <v>-1647253.95</v>
          </cell>
          <cell r="Y1491">
            <v>-1628234.95</v>
          </cell>
          <cell r="AA1491">
            <v>-1632176.95</v>
          </cell>
          <cell r="AJ1491">
            <v>-1516607.0391666663</v>
          </cell>
          <cell r="AN1491">
            <v>-1550014.5624999998</v>
          </cell>
          <cell r="AR1491">
            <v>-1590715.1274999997</v>
          </cell>
          <cell r="AV1491">
            <v>-1608556.678333333</v>
          </cell>
          <cell r="AZ1491">
            <v>-1591925.0466666666</v>
          </cell>
        </row>
        <row r="1492">
          <cell r="Q1492">
            <v>-20968.5</v>
          </cell>
          <cell r="S1492">
            <v>-20968.5</v>
          </cell>
          <cell r="U1492">
            <v>-20968.5</v>
          </cell>
          <cell r="V1492">
            <v>-20968.5</v>
          </cell>
          <cell r="W1492">
            <v>-20968.5</v>
          </cell>
          <cell r="Y1492">
            <v>-20968.5</v>
          </cell>
          <cell r="AA1492">
            <v>-20968.5</v>
          </cell>
          <cell r="AJ1492">
            <v>-20941.8</v>
          </cell>
          <cell r="AN1492">
            <v>-21039.898333333331</v>
          </cell>
          <cell r="AR1492">
            <v>-21016.611666666668</v>
          </cell>
          <cell r="AV1492">
            <v>-20864.270833333332</v>
          </cell>
          <cell r="AZ1492">
            <v>-20030.4375</v>
          </cell>
        </row>
        <row r="1493">
          <cell r="Q1493">
            <v>-12063.15</v>
          </cell>
          <cell r="S1493">
            <v>-12063.15</v>
          </cell>
          <cell r="U1493">
            <v>-12063.15</v>
          </cell>
          <cell r="V1493">
            <v>-12063.15</v>
          </cell>
          <cell r="W1493">
            <v>-12063.15</v>
          </cell>
          <cell r="Y1493">
            <v>-12063.15</v>
          </cell>
          <cell r="AA1493">
            <v>-13547.57</v>
          </cell>
          <cell r="AJ1493">
            <v>-12063.149999999996</v>
          </cell>
          <cell r="AN1493">
            <v>-12063.149999999996</v>
          </cell>
          <cell r="AR1493">
            <v>-12063.149999999996</v>
          </cell>
          <cell r="AV1493">
            <v>-13065.6075</v>
          </cell>
          <cell r="AZ1493">
            <v>-18116.427500000002</v>
          </cell>
        </row>
        <row r="1494">
          <cell r="Q1494">
            <v>-338</v>
          </cell>
          <cell r="S1494">
            <v>-338</v>
          </cell>
          <cell r="U1494">
            <v>-338</v>
          </cell>
          <cell r="V1494">
            <v>-338</v>
          </cell>
          <cell r="W1494">
            <v>-338</v>
          </cell>
          <cell r="Y1494">
            <v>-338</v>
          </cell>
          <cell r="AA1494">
            <v>-338</v>
          </cell>
          <cell r="AJ1494">
            <v>-338</v>
          </cell>
          <cell r="AN1494">
            <v>-338</v>
          </cell>
          <cell r="AR1494">
            <v>-338</v>
          </cell>
          <cell r="AV1494">
            <v>-338</v>
          </cell>
          <cell r="AZ1494">
            <v>-338</v>
          </cell>
        </row>
        <row r="1495">
          <cell r="Q1495">
            <v>-156752.21</v>
          </cell>
          <cell r="S1495">
            <v>-137372.69</v>
          </cell>
          <cell r="U1495">
            <v>-53846.38</v>
          </cell>
          <cell r="V1495">
            <v>-47025.33</v>
          </cell>
          <cell r="W1495">
            <v>-52226.720000000001</v>
          </cell>
          <cell r="Y1495">
            <v>-70259.08</v>
          </cell>
          <cell r="AA1495">
            <v>-70263.960000000006</v>
          </cell>
          <cell r="AJ1495">
            <v>-138342.32416666663</v>
          </cell>
          <cell r="AN1495">
            <v>-132643.47874999998</v>
          </cell>
          <cell r="AR1495">
            <v>-111391.26749999997</v>
          </cell>
          <cell r="AV1495">
            <v>-93822.723750000005</v>
          </cell>
          <cell r="AZ1495">
            <v>-93356.091250000012</v>
          </cell>
        </row>
        <row r="1496">
          <cell r="Q1496">
            <v>0</v>
          </cell>
          <cell r="S1496">
            <v>0</v>
          </cell>
          <cell r="U1496">
            <v>0</v>
          </cell>
          <cell r="V1496">
            <v>0</v>
          </cell>
          <cell r="W1496">
            <v>0</v>
          </cell>
          <cell r="Y1496">
            <v>0</v>
          </cell>
          <cell r="AA1496">
            <v>0</v>
          </cell>
          <cell r="AJ1496">
            <v>-44443.38041666666</v>
          </cell>
          <cell r="AN1496">
            <v>-22158.974999999995</v>
          </cell>
          <cell r="AR1496">
            <v>-3667.188333333333</v>
          </cell>
          <cell r="AV1496">
            <v>0</v>
          </cell>
          <cell r="AZ1496">
            <v>0</v>
          </cell>
        </row>
        <row r="1497">
          <cell r="Q1497">
            <v>-5000</v>
          </cell>
          <cell r="S1497">
            <v>-5000</v>
          </cell>
          <cell r="U1497">
            <v>-5000</v>
          </cell>
          <cell r="V1497">
            <v>-5000</v>
          </cell>
          <cell r="W1497">
            <v>-5000</v>
          </cell>
          <cell r="Y1497">
            <v>-5000</v>
          </cell>
          <cell r="AA1497">
            <v>-5000</v>
          </cell>
          <cell r="AJ1497">
            <v>-5000</v>
          </cell>
          <cell r="AN1497">
            <v>-5000</v>
          </cell>
          <cell r="AR1497">
            <v>-5000</v>
          </cell>
          <cell r="AV1497">
            <v>-5000</v>
          </cell>
          <cell r="AZ1497">
            <v>-5000</v>
          </cell>
        </row>
        <row r="1498">
          <cell r="Q1498">
            <v>0</v>
          </cell>
          <cell r="S1498">
            <v>0</v>
          </cell>
          <cell r="U1498">
            <v>0</v>
          </cell>
          <cell r="V1498">
            <v>0</v>
          </cell>
          <cell r="W1498">
            <v>0</v>
          </cell>
          <cell r="Y1498">
            <v>0</v>
          </cell>
          <cell r="AA1498">
            <v>0</v>
          </cell>
          <cell r="AJ1498">
            <v>0</v>
          </cell>
          <cell r="AN1498">
            <v>0</v>
          </cell>
          <cell r="AR1498">
            <v>0</v>
          </cell>
          <cell r="AV1498">
            <v>0</v>
          </cell>
          <cell r="AZ1498">
            <v>0</v>
          </cell>
        </row>
        <row r="1499">
          <cell r="Q1499">
            <v>-1948000</v>
          </cell>
          <cell r="S1499">
            <v>-1948000</v>
          </cell>
          <cell r="U1499">
            <v>-1948000</v>
          </cell>
          <cell r="V1499">
            <v>-1948000</v>
          </cell>
          <cell r="W1499">
            <v>-1948000</v>
          </cell>
          <cell r="Y1499">
            <v>-275000</v>
          </cell>
          <cell r="AA1499">
            <v>0</v>
          </cell>
          <cell r="AJ1499">
            <v>-2078634.375</v>
          </cell>
          <cell r="AN1499">
            <v>-2053435.625</v>
          </cell>
          <cell r="AR1499">
            <v>-1805921.0416666667</v>
          </cell>
          <cell r="AV1499">
            <v>-1101000</v>
          </cell>
          <cell r="AZ1499">
            <v>-451666.66666666669</v>
          </cell>
        </row>
        <row r="1500">
          <cell r="Q1500">
            <v>-30851482.609999999</v>
          </cell>
          <cell r="S1500">
            <v>-34234965.18</v>
          </cell>
          <cell r="U1500">
            <v>-35299440</v>
          </cell>
          <cell r="V1500">
            <v>-34869554.359999999</v>
          </cell>
          <cell r="W1500">
            <v>-34852355.299999997</v>
          </cell>
          <cell r="Y1500">
            <v>-34607370.18</v>
          </cell>
          <cell r="AA1500">
            <v>-34675694.850000001</v>
          </cell>
          <cell r="AJ1500">
            <v>-32704944.824583333</v>
          </cell>
          <cell r="AN1500">
            <v>-32417860.783333335</v>
          </cell>
          <cell r="AR1500">
            <v>-33204812.603333339</v>
          </cell>
          <cell r="AV1500">
            <v>-34225881.300416671</v>
          </cell>
          <cell r="AZ1500">
            <v>-33834356.530416667</v>
          </cell>
        </row>
        <row r="1501">
          <cell r="Q1501">
            <v>-151595</v>
          </cell>
          <cell r="S1501">
            <v>-151595</v>
          </cell>
          <cell r="U1501">
            <v>-151595</v>
          </cell>
          <cell r="V1501">
            <v>-151595</v>
          </cell>
          <cell r="W1501">
            <v>-70275</v>
          </cell>
          <cell r="Y1501">
            <v>-70275</v>
          </cell>
          <cell r="AA1501">
            <v>-70275</v>
          </cell>
          <cell r="AJ1501">
            <v>-151595</v>
          </cell>
          <cell r="AN1501">
            <v>-151595</v>
          </cell>
          <cell r="AR1501">
            <v>-134653.33333333334</v>
          </cell>
          <cell r="AV1501">
            <v>-107546.66666666667</v>
          </cell>
          <cell r="AZ1501">
            <v>-80440</v>
          </cell>
        </row>
        <row r="1502">
          <cell r="Q1502">
            <v>-2776000</v>
          </cell>
          <cell r="S1502">
            <v>-2776000</v>
          </cell>
          <cell r="U1502">
            <v>-2776000</v>
          </cell>
          <cell r="V1502">
            <v>-2776000</v>
          </cell>
          <cell r="W1502">
            <v>-2776000</v>
          </cell>
          <cell r="Y1502">
            <v>-156765.63</v>
          </cell>
          <cell r="AA1502">
            <v>0</v>
          </cell>
          <cell r="AJ1502">
            <v>-919000</v>
          </cell>
          <cell r="AN1502">
            <v>-1844333.3333333333</v>
          </cell>
          <cell r="AR1502">
            <v>-2192262.3704166668</v>
          </cell>
          <cell r="AV1502">
            <v>-1529794.2716666665</v>
          </cell>
          <cell r="AZ1502">
            <v>-604460.93833333335</v>
          </cell>
        </row>
        <row r="1503">
          <cell r="Q1503">
            <v>0</v>
          </cell>
          <cell r="S1503">
            <v>0</v>
          </cell>
          <cell r="U1503">
            <v>0</v>
          </cell>
          <cell r="V1503">
            <v>0</v>
          </cell>
          <cell r="W1503">
            <v>0</v>
          </cell>
          <cell r="Y1503">
            <v>0</v>
          </cell>
          <cell r="AA1503">
            <v>0</v>
          </cell>
          <cell r="AJ1503">
            <v>0</v>
          </cell>
          <cell r="AN1503">
            <v>0</v>
          </cell>
          <cell r="AR1503">
            <v>0</v>
          </cell>
          <cell r="AV1503">
            <v>0</v>
          </cell>
          <cell r="AZ1503">
            <v>0</v>
          </cell>
        </row>
        <row r="1504">
          <cell r="Q1504">
            <v>-1656522.76</v>
          </cell>
          <cell r="S1504">
            <v>-1404536.98</v>
          </cell>
          <cell r="U1504">
            <v>-1252677.4099999999</v>
          </cell>
          <cell r="V1504">
            <v>-1403362.33</v>
          </cell>
          <cell r="W1504">
            <v>-1279150.8700000001</v>
          </cell>
          <cell r="Y1504">
            <v>-3974484.47</v>
          </cell>
          <cell r="AA1504">
            <v>-2795694.06</v>
          </cell>
          <cell r="AJ1504">
            <v>-1612519.05375</v>
          </cell>
          <cell r="AN1504">
            <v>-1638366.5549999999</v>
          </cell>
          <cell r="AR1504">
            <v>-1936568.9645833336</v>
          </cell>
          <cell r="AV1504">
            <v>-2179111.4529166664</v>
          </cell>
          <cell r="AZ1504">
            <v>-2206500.2745833336</v>
          </cell>
        </row>
        <row r="1505">
          <cell r="Q1505">
            <v>0</v>
          </cell>
          <cell r="S1505">
            <v>0</v>
          </cell>
          <cell r="U1505">
            <v>0</v>
          </cell>
          <cell r="V1505">
            <v>0</v>
          </cell>
          <cell r="W1505">
            <v>0</v>
          </cell>
          <cell r="Y1505">
            <v>0</v>
          </cell>
          <cell r="AA1505">
            <v>0</v>
          </cell>
          <cell r="AJ1505">
            <v>0</v>
          </cell>
          <cell r="AN1505">
            <v>0</v>
          </cell>
          <cell r="AR1505">
            <v>0</v>
          </cell>
          <cell r="AV1505">
            <v>0</v>
          </cell>
          <cell r="AZ1505">
            <v>0</v>
          </cell>
        </row>
        <row r="1506">
          <cell r="Q1506">
            <v>-6145815.3399999999</v>
          </cell>
          <cell r="S1506">
            <v>-6289315.6799999997</v>
          </cell>
          <cell r="U1506">
            <v>-6561471.5199999996</v>
          </cell>
          <cell r="V1506">
            <v>-6574889.0199999996</v>
          </cell>
          <cell r="W1506">
            <v>-6648068.5999999996</v>
          </cell>
          <cell r="Y1506">
            <v>-6709544.7199999997</v>
          </cell>
          <cell r="AA1506">
            <v>-6884927.0999999996</v>
          </cell>
          <cell r="AJ1506">
            <v>-5392785.3862499995</v>
          </cell>
          <cell r="AN1506">
            <v>-5843228.5945833325</v>
          </cell>
          <cell r="AR1506">
            <v>-6262244.5524999993</v>
          </cell>
          <cell r="AV1506">
            <v>-6594866.0787499994</v>
          </cell>
          <cell r="AZ1506">
            <v>-6807892.8975</v>
          </cell>
        </row>
        <row r="1507">
          <cell r="Q1507">
            <v>-1059385.5</v>
          </cell>
          <cell r="S1507">
            <v>-1035456.14</v>
          </cell>
          <cell r="U1507">
            <v>-984554.79</v>
          </cell>
          <cell r="V1507">
            <v>-963429.88</v>
          </cell>
          <cell r="W1507">
            <v>-1090066.8999999999</v>
          </cell>
          <cell r="Y1507">
            <v>-736117.3</v>
          </cell>
          <cell r="AA1507">
            <v>0</v>
          </cell>
          <cell r="AJ1507">
            <v>-946955.60625000007</v>
          </cell>
          <cell r="AN1507">
            <v>-1040569.4704166665</v>
          </cell>
          <cell r="AR1507">
            <v>-1032111.8816666667</v>
          </cell>
          <cell r="AV1507">
            <v>-736394.87416666653</v>
          </cell>
          <cell r="AZ1507">
            <v>-406474.14291666658</v>
          </cell>
        </row>
        <row r="1508">
          <cell r="Q1508">
            <v>0</v>
          </cell>
          <cell r="S1508">
            <v>0</v>
          </cell>
          <cell r="U1508">
            <v>0</v>
          </cell>
          <cell r="V1508">
            <v>0</v>
          </cell>
          <cell r="W1508">
            <v>0</v>
          </cell>
          <cell r="Y1508">
            <v>0</v>
          </cell>
          <cell r="AA1508">
            <v>0</v>
          </cell>
          <cell r="AJ1508">
            <v>0</v>
          </cell>
          <cell r="AN1508">
            <v>0</v>
          </cell>
          <cell r="AR1508">
            <v>0</v>
          </cell>
          <cell r="AV1508">
            <v>0</v>
          </cell>
          <cell r="AZ1508">
            <v>0</v>
          </cell>
        </row>
        <row r="1509">
          <cell r="Q1509">
            <v>0</v>
          </cell>
          <cell r="S1509">
            <v>0</v>
          </cell>
          <cell r="U1509">
            <v>0</v>
          </cell>
          <cell r="V1509">
            <v>0</v>
          </cell>
          <cell r="W1509">
            <v>0</v>
          </cell>
          <cell r="Y1509">
            <v>0</v>
          </cell>
          <cell r="AA1509">
            <v>0</v>
          </cell>
          <cell r="AJ1509">
            <v>0</v>
          </cell>
          <cell r="AN1509">
            <v>0</v>
          </cell>
          <cell r="AR1509">
            <v>0</v>
          </cell>
          <cell r="AV1509">
            <v>0</v>
          </cell>
          <cell r="AZ1509">
            <v>0</v>
          </cell>
        </row>
        <row r="1510">
          <cell r="Q1510">
            <v>0</v>
          </cell>
          <cell r="S1510">
            <v>0</v>
          </cell>
          <cell r="U1510">
            <v>0</v>
          </cell>
          <cell r="V1510">
            <v>0</v>
          </cell>
          <cell r="W1510">
            <v>0</v>
          </cell>
          <cell r="Y1510">
            <v>0</v>
          </cell>
          <cell r="AA1510">
            <v>0</v>
          </cell>
          <cell r="AJ1510">
            <v>-75863.583333333328</v>
          </cell>
          <cell r="AN1510">
            <v>-49476.25</v>
          </cell>
          <cell r="AR1510">
            <v>-23088.916666666668</v>
          </cell>
          <cell r="AV1510">
            <v>0</v>
          </cell>
          <cell r="AZ1510">
            <v>0</v>
          </cell>
        </row>
        <row r="1511">
          <cell r="AV1511">
            <v>0</v>
          </cell>
          <cell r="AZ1511">
            <v>-63847.289583333331</v>
          </cell>
        </row>
        <row r="1512">
          <cell r="AA1512">
            <v>0</v>
          </cell>
          <cell r="AJ1512">
            <v>0</v>
          </cell>
          <cell r="AN1512">
            <v>0</v>
          </cell>
          <cell r="AR1512">
            <v>0</v>
          </cell>
          <cell r="AV1512">
            <v>-84285.136666666673</v>
          </cell>
          <cell r="AZ1512">
            <v>-583319.07999999996</v>
          </cell>
        </row>
        <row r="1513">
          <cell r="Q1513">
            <v>0</v>
          </cell>
          <cell r="S1513">
            <v>0</v>
          </cell>
          <cell r="U1513">
            <v>0</v>
          </cell>
          <cell r="V1513">
            <v>0</v>
          </cell>
          <cell r="W1513">
            <v>0</v>
          </cell>
          <cell r="Y1513">
            <v>0</v>
          </cell>
          <cell r="AA1513">
            <v>0</v>
          </cell>
          <cell r="AJ1513">
            <v>0</v>
          </cell>
          <cell r="AN1513">
            <v>0</v>
          </cell>
          <cell r="AR1513">
            <v>0</v>
          </cell>
          <cell r="AV1513">
            <v>0</v>
          </cell>
          <cell r="AZ1513">
            <v>0</v>
          </cell>
        </row>
        <row r="1514">
          <cell r="AA1514">
            <v>0</v>
          </cell>
          <cell r="AJ1514">
            <v>0</v>
          </cell>
          <cell r="AN1514">
            <v>0</v>
          </cell>
          <cell r="AR1514">
            <v>0</v>
          </cell>
          <cell r="AV1514">
            <v>938.03750000000002</v>
          </cell>
          <cell r="AZ1514">
            <v>-2791.3299999999995</v>
          </cell>
        </row>
        <row r="1515">
          <cell r="Q1515">
            <v>0</v>
          </cell>
          <cell r="S1515">
            <v>0</v>
          </cell>
          <cell r="U1515">
            <v>0</v>
          </cell>
          <cell r="V1515">
            <v>0</v>
          </cell>
          <cell r="W1515">
            <v>0</v>
          </cell>
          <cell r="Y1515">
            <v>0</v>
          </cell>
          <cell r="AA1515">
            <v>0</v>
          </cell>
          <cell r="AJ1515">
            <v>0</v>
          </cell>
          <cell r="AN1515">
            <v>0</v>
          </cell>
          <cell r="AR1515">
            <v>0</v>
          </cell>
          <cell r="AV1515">
            <v>0</v>
          </cell>
          <cell r="AZ1515">
            <v>0</v>
          </cell>
        </row>
        <row r="1516">
          <cell r="Q1516">
            <v>0</v>
          </cell>
          <cell r="S1516">
            <v>0</v>
          </cell>
          <cell r="U1516">
            <v>0</v>
          </cell>
          <cell r="V1516">
            <v>0</v>
          </cell>
          <cell r="W1516">
            <v>-395600</v>
          </cell>
          <cell r="Y1516">
            <v>-527400</v>
          </cell>
          <cell r="AA1516">
            <v>-671583</v>
          </cell>
          <cell r="AJ1516">
            <v>0.25</v>
          </cell>
          <cell r="AN1516">
            <v>0</v>
          </cell>
          <cell r="AR1516">
            <v>-93400</v>
          </cell>
          <cell r="AV1516">
            <v>-316849.875</v>
          </cell>
          <cell r="AZ1516">
            <v>-674272.625</v>
          </cell>
        </row>
        <row r="1517">
          <cell r="Q1517">
            <v>-11112</v>
          </cell>
          <cell r="S1517">
            <v>-16668</v>
          </cell>
          <cell r="U1517">
            <v>-22224</v>
          </cell>
          <cell r="V1517">
            <v>-25002</v>
          </cell>
          <cell r="W1517">
            <v>-32761</v>
          </cell>
          <cell r="Y1517">
            <v>-41651</v>
          </cell>
          <cell r="AA1517">
            <v>-50541</v>
          </cell>
          <cell r="AJ1517">
            <v>-1852</v>
          </cell>
          <cell r="AN1517">
            <v>-7408</v>
          </cell>
          <cell r="AR1517">
            <v>-17983.541666666668</v>
          </cell>
          <cell r="AV1517">
            <v>-32978.541666666664</v>
          </cell>
          <cell r="AZ1517">
            <v>-50196.208333333336</v>
          </cell>
        </row>
        <row r="1518">
          <cell r="Q1518">
            <v>0</v>
          </cell>
          <cell r="S1518">
            <v>0</v>
          </cell>
          <cell r="U1518">
            <v>0</v>
          </cell>
          <cell r="V1518">
            <v>0</v>
          </cell>
          <cell r="W1518">
            <v>0</v>
          </cell>
          <cell r="Y1518">
            <v>0</v>
          </cell>
          <cell r="AA1518">
            <v>0</v>
          </cell>
          <cell r="AJ1518">
            <v>-395.09833333333336</v>
          </cell>
          <cell r="AN1518">
            <v>-395.09833333333336</v>
          </cell>
          <cell r="AR1518">
            <v>-395.09833333333336</v>
          </cell>
          <cell r="AV1518">
            <v>-2724.1916666666666</v>
          </cell>
          <cell r="AZ1518">
            <v>-2724.1916666666666</v>
          </cell>
        </row>
        <row r="1519">
          <cell r="U1519">
            <v>0</v>
          </cell>
          <cell r="V1519">
            <v>0</v>
          </cell>
          <cell r="W1519">
            <v>0</v>
          </cell>
          <cell r="Y1519">
            <v>0</v>
          </cell>
          <cell r="AA1519">
            <v>0</v>
          </cell>
          <cell r="AJ1519">
            <v>0</v>
          </cell>
          <cell r="AN1519">
            <v>0</v>
          </cell>
          <cell r="AR1519">
            <v>0</v>
          </cell>
          <cell r="AV1519">
            <v>0</v>
          </cell>
          <cell r="AZ1519">
            <v>0</v>
          </cell>
        </row>
        <row r="1520">
          <cell r="Q1520">
            <v>-150622.04</v>
          </cell>
          <cell r="S1520">
            <v>-148330.38</v>
          </cell>
          <cell r="U1520">
            <v>-146038.72</v>
          </cell>
          <cell r="V1520">
            <v>-144892.89000000001</v>
          </cell>
          <cell r="W1520">
            <v>-143747.06</v>
          </cell>
          <cell r="Y1520">
            <v>-141455.4</v>
          </cell>
          <cell r="AA1520">
            <v>-139163.74</v>
          </cell>
          <cell r="AJ1520">
            <v>-157497.02000000002</v>
          </cell>
          <cell r="AN1520">
            <v>-152913.69999999998</v>
          </cell>
          <cell r="AR1520">
            <v>-148330.38</v>
          </cell>
          <cell r="AV1520">
            <v>-143747.06</v>
          </cell>
          <cell r="AZ1520">
            <v>-139163.74000000002</v>
          </cell>
        </row>
        <row r="1521">
          <cell r="Q1521">
            <v>-7404933.4699999997</v>
          </cell>
          <cell r="S1521">
            <v>-7217466.8099999996</v>
          </cell>
          <cell r="U1521">
            <v>-7030000.1500000004</v>
          </cell>
          <cell r="V1521">
            <v>-6936266.8200000003</v>
          </cell>
          <cell r="W1521">
            <v>-6842533.4900000002</v>
          </cell>
          <cell r="Y1521">
            <v>-6655066.8300000001</v>
          </cell>
          <cell r="AA1521">
            <v>-6467600.1699999999</v>
          </cell>
          <cell r="AJ1521">
            <v>-7967333.4499999993</v>
          </cell>
          <cell r="AN1521">
            <v>-7592400.1299999999</v>
          </cell>
          <cell r="AR1521">
            <v>-7217466.8099999996</v>
          </cell>
          <cell r="AV1521">
            <v>-6842533.4899999993</v>
          </cell>
          <cell r="AZ1521">
            <v>-6467600.1700000009</v>
          </cell>
        </row>
        <row r="1522">
          <cell r="Q1522">
            <v>-2571574.2599999998</v>
          </cell>
          <cell r="S1522">
            <v>-2478062.48</v>
          </cell>
          <cell r="U1522">
            <v>-2384550.7000000002</v>
          </cell>
          <cell r="V1522">
            <v>-2337794.81</v>
          </cell>
          <cell r="W1522">
            <v>-2291038.92</v>
          </cell>
          <cell r="Y1522">
            <v>-2197527.14</v>
          </cell>
          <cell r="AA1522">
            <v>-2104015.36</v>
          </cell>
          <cell r="AJ1522">
            <v>-2852109.5999999996</v>
          </cell>
          <cell r="AN1522">
            <v>-2665086.04</v>
          </cell>
          <cell r="AR1522">
            <v>-2478062.48</v>
          </cell>
          <cell r="AV1522">
            <v>-2291038.92</v>
          </cell>
          <cell r="AZ1522">
            <v>-2104015.3600000003</v>
          </cell>
        </row>
        <row r="1523">
          <cell r="Q1523">
            <v>0</v>
          </cell>
          <cell r="S1523">
            <v>-5984536.9500000002</v>
          </cell>
          <cell r="U1523">
            <v>-5984536.9500000002</v>
          </cell>
          <cell r="V1523">
            <v>-5984536.9500000002</v>
          </cell>
          <cell r="W1523">
            <v>-4308944.53</v>
          </cell>
          <cell r="Y1523">
            <v>0</v>
          </cell>
          <cell r="AA1523">
            <v>0</v>
          </cell>
          <cell r="AJ1523">
            <v>-5071020.9075000007</v>
          </cell>
          <cell r="AN1523">
            <v>-3851349.8212500005</v>
          </cell>
          <cell r="AR1523">
            <v>-2728786.6358333332</v>
          </cell>
          <cell r="AV1523">
            <v>-2728786.6358333332</v>
          </cell>
          <cell r="AZ1523">
            <v>-2433229.7033333331</v>
          </cell>
        </row>
        <row r="1524">
          <cell r="Q1524">
            <v>-8124679.9900000002</v>
          </cell>
          <cell r="S1524">
            <v>0</v>
          </cell>
          <cell r="U1524">
            <v>0</v>
          </cell>
          <cell r="V1524">
            <v>0</v>
          </cell>
          <cell r="W1524">
            <v>0</v>
          </cell>
          <cell r="Y1524">
            <v>0</v>
          </cell>
          <cell r="AA1524">
            <v>0</v>
          </cell>
          <cell r="AJ1524">
            <v>-4446683.2025000015</v>
          </cell>
          <cell r="AN1524">
            <v>-3756188.5754166674</v>
          </cell>
          <cell r="AR1524">
            <v>-2621156.1204166668</v>
          </cell>
          <cell r="AV1524">
            <v>-1015584.9987499999</v>
          </cell>
          <cell r="AZ1524">
            <v>0</v>
          </cell>
        </row>
        <row r="1525">
          <cell r="Q1525">
            <v>-21742.99</v>
          </cell>
          <cell r="S1525">
            <v>-32174.6</v>
          </cell>
          <cell r="U1525">
            <v>-104127.54</v>
          </cell>
          <cell r="V1525">
            <v>-252935.03</v>
          </cell>
          <cell r="W1525">
            <v>-261544.25</v>
          </cell>
          <cell r="Y1525">
            <v>-261544.25</v>
          </cell>
          <cell r="AA1525">
            <v>-17909.689999999999</v>
          </cell>
          <cell r="AJ1525">
            <v>-126423.34791666665</v>
          </cell>
          <cell r="AN1525">
            <v>-122157.96208333335</v>
          </cell>
          <cell r="AR1525">
            <v>-128779.52666666666</v>
          </cell>
          <cell r="AV1525">
            <v>-142073.81041666665</v>
          </cell>
          <cell r="AZ1525">
            <v>-218217.9725</v>
          </cell>
        </row>
        <row r="1526">
          <cell r="Q1526">
            <v>-454094.6</v>
          </cell>
          <cell r="S1526">
            <v>-423821.64</v>
          </cell>
          <cell r="U1526">
            <v>-393548.68</v>
          </cell>
          <cell r="V1526">
            <v>-378412.2</v>
          </cell>
          <cell r="W1526">
            <v>-363275.72</v>
          </cell>
          <cell r="Y1526">
            <v>-333002.76</v>
          </cell>
          <cell r="AA1526">
            <v>-302729.8</v>
          </cell>
          <cell r="AJ1526">
            <v>-544913.48</v>
          </cell>
          <cell r="AN1526">
            <v>-484367.56</v>
          </cell>
          <cell r="AR1526">
            <v>-423821.64000000007</v>
          </cell>
          <cell r="AV1526">
            <v>-363275.72</v>
          </cell>
          <cell r="AZ1526">
            <v>-302729.79999999993</v>
          </cell>
        </row>
        <row r="1527">
          <cell r="Q1527">
            <v>-526317.36</v>
          </cell>
          <cell r="S1527">
            <v>-1592852.4</v>
          </cell>
          <cell r="U1527">
            <v>-1719931.68</v>
          </cell>
          <cell r="V1527">
            <v>-2229050.9</v>
          </cell>
          <cell r="W1527">
            <v>-2208786.7999999998</v>
          </cell>
          <cell r="Y1527">
            <v>-2168258.6</v>
          </cell>
          <cell r="AA1527">
            <v>-2127730.4</v>
          </cell>
          <cell r="AJ1527">
            <v>-172412.87916666668</v>
          </cell>
          <cell r="AN1527">
            <v>-603841.73583333322</v>
          </cell>
          <cell r="AR1527">
            <v>-1298038.7070833331</v>
          </cell>
          <cell r="AV1527">
            <v>-1854876.9516666669</v>
          </cell>
          <cell r="AZ1527">
            <v>-2105672.7616666663</v>
          </cell>
        </row>
        <row r="1528">
          <cell r="AV1528">
            <v>-3002.7983333333336</v>
          </cell>
          <cell r="AZ1528">
            <v>-6005.5966666666673</v>
          </cell>
        </row>
        <row r="1529">
          <cell r="Q1529">
            <v>-4619653</v>
          </cell>
          <cell r="S1529">
            <v>-4327987</v>
          </cell>
          <cell r="U1529">
            <v>-4036321</v>
          </cell>
          <cell r="V1529">
            <v>-3890488</v>
          </cell>
          <cell r="W1529">
            <v>-3744655</v>
          </cell>
          <cell r="Y1529">
            <v>-3452989</v>
          </cell>
          <cell r="AA1529">
            <v>-3161323</v>
          </cell>
          <cell r="AJ1529">
            <v>-5494651</v>
          </cell>
          <cell r="AN1529">
            <v>-4911319</v>
          </cell>
          <cell r="AR1529">
            <v>-4327987</v>
          </cell>
          <cell r="AV1529">
            <v>-3744655</v>
          </cell>
          <cell r="AZ1529">
            <v>-3161323</v>
          </cell>
        </row>
        <row r="1530">
          <cell r="Q1530">
            <v>0</v>
          </cell>
          <cell r="S1530">
            <v>0</v>
          </cell>
          <cell r="U1530">
            <v>0</v>
          </cell>
          <cell r="V1530">
            <v>0</v>
          </cell>
          <cell r="W1530">
            <v>0</v>
          </cell>
          <cell r="Y1530">
            <v>0</v>
          </cell>
          <cell r="AA1530">
            <v>0</v>
          </cell>
          <cell r="AJ1530">
            <v>0</v>
          </cell>
          <cell r="AN1530">
            <v>0</v>
          </cell>
          <cell r="AR1530">
            <v>0</v>
          </cell>
          <cell r="AV1530">
            <v>0</v>
          </cell>
          <cell r="AZ1530">
            <v>0</v>
          </cell>
        </row>
        <row r="1531">
          <cell r="Q1531">
            <v>0</v>
          </cell>
          <cell r="S1531">
            <v>0</v>
          </cell>
          <cell r="U1531">
            <v>0</v>
          </cell>
          <cell r="V1531">
            <v>0</v>
          </cell>
          <cell r="W1531">
            <v>0</v>
          </cell>
          <cell r="Y1531">
            <v>-3393.04</v>
          </cell>
          <cell r="AA1531">
            <v>0</v>
          </cell>
          <cell r="AJ1531">
            <v>-17127.990833333333</v>
          </cell>
          <cell r="AN1531">
            <v>-17124.865833333333</v>
          </cell>
          <cell r="AR1531">
            <v>-17210.697499999998</v>
          </cell>
          <cell r="AV1531">
            <v>-18043.30916666667</v>
          </cell>
          <cell r="AZ1531">
            <v>-18043.30916666667</v>
          </cell>
        </row>
        <row r="1532">
          <cell r="AR1532">
            <v>0</v>
          </cell>
          <cell r="AV1532">
            <v>-71410.951249999998</v>
          </cell>
          <cell r="AZ1532">
            <v>-288593.2408333334</v>
          </cell>
        </row>
        <row r="1533">
          <cell r="Q1533">
            <v>0</v>
          </cell>
          <cell r="S1533">
            <v>0</v>
          </cell>
          <cell r="U1533">
            <v>0</v>
          </cell>
          <cell r="V1533">
            <v>0</v>
          </cell>
          <cell r="W1533">
            <v>-248.9</v>
          </cell>
          <cell r="Y1533">
            <v>-248.9</v>
          </cell>
          <cell r="AA1533">
            <v>0</v>
          </cell>
          <cell r="AJ1533">
            <v>0</v>
          </cell>
          <cell r="AN1533">
            <v>0</v>
          </cell>
          <cell r="AR1533">
            <v>-51.854166666666664</v>
          </cell>
          <cell r="AV1533">
            <v>-82.966666666666669</v>
          </cell>
          <cell r="AZ1533">
            <v>-122.21916666666668</v>
          </cell>
        </row>
        <row r="1534">
          <cell r="Q1534">
            <v>0</v>
          </cell>
          <cell r="S1534">
            <v>0</v>
          </cell>
          <cell r="U1534">
            <v>0</v>
          </cell>
          <cell r="V1534">
            <v>0</v>
          </cell>
          <cell r="W1534">
            <v>0</v>
          </cell>
          <cell r="Y1534">
            <v>0</v>
          </cell>
          <cell r="AA1534">
            <v>0</v>
          </cell>
          <cell r="AJ1534">
            <v>0</v>
          </cell>
          <cell r="AN1534">
            <v>0</v>
          </cell>
          <cell r="AR1534">
            <v>0</v>
          </cell>
          <cell r="AV1534">
            <v>0</v>
          </cell>
          <cell r="AZ1534">
            <v>0</v>
          </cell>
        </row>
        <row r="1535">
          <cell r="Q1535">
            <v>0</v>
          </cell>
          <cell r="S1535">
            <v>0</v>
          </cell>
          <cell r="U1535">
            <v>0</v>
          </cell>
          <cell r="V1535">
            <v>0</v>
          </cell>
          <cell r="W1535">
            <v>0</v>
          </cell>
          <cell r="Y1535">
            <v>0</v>
          </cell>
          <cell r="AA1535">
            <v>0</v>
          </cell>
          <cell r="AJ1535">
            <v>0</v>
          </cell>
          <cell r="AN1535">
            <v>0</v>
          </cell>
          <cell r="AR1535">
            <v>0</v>
          </cell>
          <cell r="AV1535">
            <v>0</v>
          </cell>
          <cell r="AZ1535">
            <v>0</v>
          </cell>
        </row>
        <row r="1536">
          <cell r="Q1536">
            <v>-4923783.32</v>
          </cell>
          <cell r="S1536">
            <v>-9484838.9299999997</v>
          </cell>
          <cell r="U1536">
            <v>-12917162.029999999</v>
          </cell>
          <cell r="V1536">
            <v>-14476793.810000001</v>
          </cell>
          <cell r="W1536">
            <v>-5845923.2699999996</v>
          </cell>
          <cell r="Y1536">
            <v>-5113690.21</v>
          </cell>
          <cell r="AA1536">
            <v>-3995554.2</v>
          </cell>
          <cell r="AJ1536">
            <v>-6259406.5566666657</v>
          </cell>
          <cell r="AN1536">
            <v>-4580676.8516666666</v>
          </cell>
          <cell r="AR1536">
            <v>-7227685.1212500008</v>
          </cell>
          <cell r="AV1536">
            <v>-7098980.3970833346</v>
          </cell>
          <cell r="AZ1536">
            <v>-4699578.2058333335</v>
          </cell>
        </row>
        <row r="1537">
          <cell r="Q1537">
            <v>-174.29</v>
          </cell>
          <cell r="S1537">
            <v>-174.29</v>
          </cell>
          <cell r="U1537">
            <v>-174.29</v>
          </cell>
          <cell r="V1537">
            <v>-174.29</v>
          </cell>
          <cell r="W1537">
            <v>0</v>
          </cell>
          <cell r="Y1537">
            <v>0</v>
          </cell>
          <cell r="AA1537">
            <v>0</v>
          </cell>
          <cell r="AJ1537">
            <v>-1228.2070833333337</v>
          </cell>
          <cell r="AN1537">
            <v>-419.66374999999999</v>
          </cell>
          <cell r="AR1537">
            <v>-130.7175</v>
          </cell>
          <cell r="AV1537">
            <v>-79.882916666666659</v>
          </cell>
          <cell r="AZ1537">
            <v>-21.786249999999999</v>
          </cell>
        </row>
        <row r="1538">
          <cell r="Q1538">
            <v>0</v>
          </cell>
          <cell r="S1538">
            <v>0</v>
          </cell>
          <cell r="U1538">
            <v>0</v>
          </cell>
          <cell r="V1538">
            <v>0</v>
          </cell>
          <cell r="W1538">
            <v>0</v>
          </cell>
          <cell r="Y1538">
            <v>0</v>
          </cell>
          <cell r="AA1538">
            <v>0</v>
          </cell>
          <cell r="AJ1538">
            <v>0</v>
          </cell>
          <cell r="AN1538">
            <v>0</v>
          </cell>
          <cell r="AR1538">
            <v>0</v>
          </cell>
          <cell r="AV1538">
            <v>0</v>
          </cell>
          <cell r="AZ1538">
            <v>0</v>
          </cell>
        </row>
        <row r="1539">
          <cell r="Q1539">
            <v>-2514.42</v>
          </cell>
          <cell r="S1539">
            <v>-2514.42</v>
          </cell>
          <cell r="U1539">
            <v>-2514.42</v>
          </cell>
          <cell r="V1539">
            <v>-2514.42</v>
          </cell>
          <cell r="W1539">
            <v>0</v>
          </cell>
          <cell r="Y1539">
            <v>0</v>
          </cell>
          <cell r="AA1539">
            <v>-2756.61</v>
          </cell>
          <cell r="AJ1539">
            <v>-1833.9841666666664</v>
          </cell>
          <cell r="AN1539">
            <v>-1710.2212500000003</v>
          </cell>
          <cell r="AR1539">
            <v>-1676.28</v>
          </cell>
          <cell r="AV1539">
            <v>-1726.7362499999999</v>
          </cell>
          <cell r="AZ1539">
            <v>-1807.4662500000002</v>
          </cell>
        </row>
        <row r="1540">
          <cell r="Q1540">
            <v>-9569652</v>
          </cell>
          <cell r="S1540">
            <v>-9569652</v>
          </cell>
          <cell r="U1540">
            <v>-9474576</v>
          </cell>
          <cell r="V1540">
            <v>-9474576</v>
          </cell>
          <cell r="W1540">
            <v>-9346571</v>
          </cell>
          <cell r="Y1540">
            <v>-9346571</v>
          </cell>
          <cell r="AA1540">
            <v>-9180611</v>
          </cell>
          <cell r="AJ1540">
            <v>-1914838.375</v>
          </cell>
          <cell r="AN1540">
            <v>-4524461.375</v>
          </cell>
          <cell r="AR1540">
            <v>-7123704.583333333</v>
          </cell>
          <cell r="AV1540">
            <v>-9370496.458333334</v>
          </cell>
          <cell r="AZ1540">
            <v>-9186160.625</v>
          </cell>
        </row>
        <row r="1541">
          <cell r="Q1541">
            <v>-158750</v>
          </cell>
          <cell r="S1541">
            <v>0</v>
          </cell>
          <cell r="U1541">
            <v>0</v>
          </cell>
          <cell r="V1541">
            <v>0</v>
          </cell>
          <cell r="W1541">
            <v>0</v>
          </cell>
          <cell r="Y1541">
            <v>0</v>
          </cell>
          <cell r="AA1541">
            <v>0</v>
          </cell>
          <cell r="AJ1541">
            <v>-112447.91666666667</v>
          </cell>
          <cell r="AN1541">
            <v>-119062.5</v>
          </cell>
          <cell r="AR1541">
            <v>-59531.25</v>
          </cell>
          <cell r="AV1541">
            <v>-6614.583333333333</v>
          </cell>
          <cell r="AZ1541">
            <v>0</v>
          </cell>
        </row>
        <row r="1542">
          <cell r="Q1542">
            <v>0</v>
          </cell>
          <cell r="S1542">
            <v>0</v>
          </cell>
          <cell r="U1542">
            <v>0</v>
          </cell>
          <cell r="V1542">
            <v>0</v>
          </cell>
          <cell r="W1542">
            <v>0</v>
          </cell>
          <cell r="Y1542">
            <v>0</v>
          </cell>
          <cell r="AA1542">
            <v>0</v>
          </cell>
          <cell r="AJ1542">
            <v>-1608.34</v>
          </cell>
          <cell r="AN1542">
            <v>0</v>
          </cell>
          <cell r="AR1542">
            <v>0</v>
          </cell>
          <cell r="AV1542">
            <v>0</v>
          </cell>
          <cell r="AZ1542">
            <v>0</v>
          </cell>
        </row>
        <row r="1543">
          <cell r="Q1543">
            <v>-610736.85</v>
          </cell>
          <cell r="S1543">
            <v>-679132.36</v>
          </cell>
          <cell r="U1543">
            <v>-679132.36</v>
          </cell>
          <cell r="V1543">
            <v>-679132.36</v>
          </cell>
          <cell r="W1543">
            <v>-679132.36</v>
          </cell>
          <cell r="Y1543">
            <v>-679132.36</v>
          </cell>
          <cell r="AA1543">
            <v>-679132.36</v>
          </cell>
          <cell r="AJ1543">
            <v>-56757.506249999999</v>
          </cell>
          <cell r="AN1543">
            <v>-280285.14666666667</v>
          </cell>
          <cell r="AR1543">
            <v>-506662.60000000003</v>
          </cell>
          <cell r="AV1543">
            <v>-739144.95125000004</v>
          </cell>
          <cell r="AZ1543">
            <v>-949902.68416666694</v>
          </cell>
        </row>
        <row r="1544">
          <cell r="Q1544">
            <v>-219193.89</v>
          </cell>
          <cell r="S1544">
            <v>-241992.39</v>
          </cell>
          <cell r="U1544">
            <v>-241992.39</v>
          </cell>
          <cell r="V1544">
            <v>-241992.39</v>
          </cell>
          <cell r="W1544">
            <v>-241992.39</v>
          </cell>
          <cell r="Y1544">
            <v>-241992.39</v>
          </cell>
          <cell r="AA1544">
            <v>-241992.39</v>
          </cell>
          <cell r="AJ1544">
            <v>-22172.282083333335</v>
          </cell>
          <cell r="AN1544">
            <v>-101886.47458333334</v>
          </cell>
          <cell r="AR1544">
            <v>-182550.60458333336</v>
          </cell>
          <cell r="AV1544">
            <v>-261996.58750000005</v>
          </cell>
          <cell r="AZ1544">
            <v>-332249.16500000004</v>
          </cell>
        </row>
        <row r="1545">
          <cell r="S1545">
            <v>-23907955</v>
          </cell>
          <cell r="W1545">
            <v>0</v>
          </cell>
          <cell r="Y1545">
            <v>0</v>
          </cell>
          <cell r="AA1545">
            <v>0</v>
          </cell>
          <cell r="AJ1545">
            <v>0</v>
          </cell>
          <cell r="AN1545">
            <v>-3990315.4733333332</v>
          </cell>
          <cell r="AR1545">
            <v>-3990315.4733333332</v>
          </cell>
          <cell r="AV1545">
            <v>-3990315.4733333332</v>
          </cell>
          <cell r="AZ1545">
            <v>0</v>
          </cell>
        </row>
        <row r="1546">
          <cell r="Q1546">
            <v>610736.85</v>
          </cell>
          <cell r="S1546">
            <v>679132.36</v>
          </cell>
          <cell r="U1546">
            <v>679132.36</v>
          </cell>
          <cell r="V1546">
            <v>679132.36</v>
          </cell>
          <cell r="W1546">
            <v>679132.36</v>
          </cell>
          <cell r="Y1546">
            <v>679132.36</v>
          </cell>
          <cell r="AA1546">
            <v>679132.36</v>
          </cell>
          <cell r="AJ1546">
            <v>56757.506249999999</v>
          </cell>
          <cell r="AN1546">
            <v>280285.14666666667</v>
          </cell>
          <cell r="AR1546">
            <v>506662.60000000003</v>
          </cell>
          <cell r="AV1546">
            <v>739144.95125000004</v>
          </cell>
          <cell r="AZ1546">
            <v>949902.68416666694</v>
          </cell>
        </row>
        <row r="1547">
          <cell r="Q1547">
            <v>219193.89</v>
          </cell>
          <cell r="S1547">
            <v>241992.39</v>
          </cell>
          <cell r="U1547">
            <v>241992.39</v>
          </cell>
          <cell r="V1547">
            <v>241992.39</v>
          </cell>
          <cell r="W1547">
            <v>241992.39</v>
          </cell>
          <cell r="Y1547">
            <v>241992.39</v>
          </cell>
          <cell r="AA1547">
            <v>241992.39</v>
          </cell>
          <cell r="AJ1547">
            <v>22172.282083333335</v>
          </cell>
          <cell r="AN1547">
            <v>101886.47458333334</v>
          </cell>
          <cell r="AR1547">
            <v>182550.60458333336</v>
          </cell>
          <cell r="AV1547">
            <v>261996.58750000005</v>
          </cell>
          <cell r="AZ1547">
            <v>332249.16500000004</v>
          </cell>
        </row>
        <row r="1548">
          <cell r="Q1548">
            <v>-3529527.68</v>
          </cell>
          <cell r="S1548">
            <v>-3529527.68</v>
          </cell>
          <cell r="U1548">
            <v>-3529527.68</v>
          </cell>
          <cell r="V1548">
            <v>-3529527.68</v>
          </cell>
          <cell r="W1548">
            <v>-3529527.68</v>
          </cell>
          <cell r="Y1548">
            <v>-3529527.68</v>
          </cell>
          <cell r="AA1548">
            <v>-3529527.68</v>
          </cell>
          <cell r="AJ1548">
            <v>-764729.51666666672</v>
          </cell>
          <cell r="AN1548">
            <v>-1941238.7433333334</v>
          </cell>
          <cell r="AR1548">
            <v>-3117747.9700000007</v>
          </cell>
          <cell r="AV1548">
            <v>-3529527.68</v>
          </cell>
          <cell r="AZ1548">
            <v>-3382464.0266666673</v>
          </cell>
        </row>
        <row r="1549">
          <cell r="Q1549">
            <v>0</v>
          </cell>
          <cell r="S1549">
            <v>0</v>
          </cell>
          <cell r="U1549">
            <v>0</v>
          </cell>
          <cell r="V1549">
            <v>0</v>
          </cell>
          <cell r="W1549">
            <v>0</v>
          </cell>
          <cell r="Y1549">
            <v>0</v>
          </cell>
          <cell r="AA1549">
            <v>0</v>
          </cell>
          <cell r="AJ1549">
            <v>0</v>
          </cell>
          <cell r="AN1549">
            <v>0</v>
          </cell>
          <cell r="AR1549">
            <v>0</v>
          </cell>
          <cell r="AV1549">
            <v>0</v>
          </cell>
          <cell r="AZ1549">
            <v>0</v>
          </cell>
        </row>
        <row r="1550">
          <cell r="Q1550">
            <v>-73864542</v>
          </cell>
          <cell r="S1550">
            <v>-73864542</v>
          </cell>
          <cell r="U1550">
            <v>-73078749</v>
          </cell>
          <cell r="V1550">
            <v>-73078749</v>
          </cell>
          <cell r="W1550">
            <v>-71870994</v>
          </cell>
          <cell r="Y1550">
            <v>-71870994</v>
          </cell>
          <cell r="AA1550">
            <v>-71352663</v>
          </cell>
          <cell r="AJ1550">
            <v>-3077689.25</v>
          </cell>
          <cell r="AN1550">
            <v>-27600979.125</v>
          </cell>
          <cell r="AR1550">
            <v>-51708946.5</v>
          </cell>
          <cell r="AV1550">
            <v>-72380202.541666672</v>
          </cell>
          <cell r="AZ1550">
            <v>-71021880.25</v>
          </cell>
        </row>
        <row r="1551">
          <cell r="Q1551">
            <v>0</v>
          </cell>
          <cell r="S1551">
            <v>0</v>
          </cell>
          <cell r="U1551">
            <v>0</v>
          </cell>
          <cell r="V1551">
            <v>0</v>
          </cell>
          <cell r="W1551">
            <v>0</v>
          </cell>
          <cell r="Y1551">
            <v>0</v>
          </cell>
          <cell r="AA1551">
            <v>0</v>
          </cell>
          <cell r="AJ1551">
            <v>0</v>
          </cell>
          <cell r="AN1551">
            <v>0</v>
          </cell>
          <cell r="AR1551">
            <v>0</v>
          </cell>
          <cell r="AV1551">
            <v>0</v>
          </cell>
          <cell r="AZ1551">
            <v>0</v>
          </cell>
        </row>
        <row r="1552">
          <cell r="Q1552">
            <v>-712862</v>
          </cell>
          <cell r="S1552">
            <v>-2384440</v>
          </cell>
          <cell r="U1552">
            <v>-4054359</v>
          </cell>
          <cell r="V1552">
            <v>-4885903</v>
          </cell>
          <cell r="W1552">
            <v>-5717695</v>
          </cell>
          <cell r="Y1552">
            <v>-7378596</v>
          </cell>
          <cell r="AA1552">
            <v>-9034605</v>
          </cell>
          <cell r="AJ1552">
            <v>-29702.583333333332</v>
          </cell>
          <cell r="AN1552">
            <v>-824443.95833333337</v>
          </cell>
          <cell r="AR1552">
            <v>-2730168.25</v>
          </cell>
          <cell r="AV1552">
            <v>-5708900.1900000004</v>
          </cell>
          <cell r="AZ1552">
            <v>-8972724.4783333335</v>
          </cell>
        </row>
        <row r="1553">
          <cell r="AR1553">
            <v>0</v>
          </cell>
          <cell r="AV1553">
            <v>-19383.083333333332</v>
          </cell>
          <cell r="AZ1553">
            <v>-331289.4941666667</v>
          </cell>
        </row>
        <row r="1554">
          <cell r="Q1554">
            <v>0</v>
          </cell>
          <cell r="S1554">
            <v>0</v>
          </cell>
          <cell r="U1554">
            <v>0</v>
          </cell>
          <cell r="V1554">
            <v>0</v>
          </cell>
          <cell r="W1554">
            <v>0</v>
          </cell>
          <cell r="Y1554">
            <v>0</v>
          </cell>
          <cell r="AA1554">
            <v>0</v>
          </cell>
          <cell r="AJ1554">
            <v>0</v>
          </cell>
          <cell r="AN1554">
            <v>0</v>
          </cell>
          <cell r="AR1554">
            <v>0</v>
          </cell>
          <cell r="AV1554">
            <v>0</v>
          </cell>
          <cell r="AZ1554">
            <v>0</v>
          </cell>
        </row>
        <row r="1555">
          <cell r="AV1555">
            <v>0</v>
          </cell>
          <cell r="AZ1555">
            <v>0</v>
          </cell>
        </row>
        <row r="1556">
          <cell r="Q1556">
            <v>-371750.69</v>
          </cell>
          <cell r="S1556">
            <v>-367257.81</v>
          </cell>
          <cell r="U1556">
            <v>-362764.93</v>
          </cell>
          <cell r="V1556">
            <v>-360518.49</v>
          </cell>
          <cell r="W1556">
            <v>-358272.05</v>
          </cell>
          <cell r="Y1556">
            <v>-353779.17</v>
          </cell>
          <cell r="AA1556">
            <v>-349286.29</v>
          </cell>
          <cell r="AJ1556">
            <v>-385229.33000000007</v>
          </cell>
          <cell r="AN1556">
            <v>-376243.57</v>
          </cell>
          <cell r="AR1556">
            <v>-367257.81</v>
          </cell>
          <cell r="AV1556">
            <v>-358272.05</v>
          </cell>
          <cell r="AZ1556">
            <v>-349286.29000000004</v>
          </cell>
        </row>
        <row r="1557">
          <cell r="Q1557">
            <v>-1186297.4099999999</v>
          </cell>
          <cell r="S1557">
            <v>-1302066.26</v>
          </cell>
          <cell r="U1557">
            <v>-1476939.66</v>
          </cell>
          <cell r="V1557">
            <v>-1299122.24</v>
          </cell>
          <cell r="W1557">
            <v>-1436910.19</v>
          </cell>
          <cell r="Y1557">
            <v>-1279027.46</v>
          </cell>
          <cell r="AA1557">
            <v>-1598408.13</v>
          </cell>
          <cell r="AJ1557">
            <v>-1139547.6220833333</v>
          </cell>
          <cell r="AN1557">
            <v>-1223282.2583333333</v>
          </cell>
          <cell r="AR1557">
            <v>-1287734.7012499999</v>
          </cell>
          <cell r="AV1557">
            <v>-1422753.3541666663</v>
          </cell>
          <cell r="AZ1557">
            <v>-1492860.9395833332</v>
          </cell>
        </row>
        <row r="1558">
          <cell r="Q1558">
            <v>-5838217.0300000003</v>
          </cell>
          <cell r="S1558">
            <v>-7107226.5</v>
          </cell>
          <cell r="U1558">
            <v>-7907672.8700000001</v>
          </cell>
          <cell r="V1558">
            <v>-7896094.5099999998</v>
          </cell>
          <cell r="W1558">
            <v>-7889331.2999999998</v>
          </cell>
          <cell r="Y1558">
            <v>-8393034.1300000008</v>
          </cell>
          <cell r="AA1558">
            <v>-10696176.41</v>
          </cell>
          <cell r="AJ1558">
            <v>-3954826.3787500001</v>
          </cell>
          <cell r="AN1558">
            <v>-5341845.3649999993</v>
          </cell>
          <cell r="AR1558">
            <v>-6773199.1187499994</v>
          </cell>
          <cell r="AV1558">
            <v>-8098421.8341666674</v>
          </cell>
          <cell r="AZ1558">
            <v>-8923384.8687500004</v>
          </cell>
        </row>
        <row r="1559">
          <cell r="Q1559">
            <v>0</v>
          </cell>
          <cell r="S1559">
            <v>0</v>
          </cell>
          <cell r="U1559">
            <v>0</v>
          </cell>
          <cell r="V1559">
            <v>0</v>
          </cell>
          <cell r="W1559">
            <v>0</v>
          </cell>
          <cell r="Y1559">
            <v>0</v>
          </cell>
          <cell r="AA1559">
            <v>0</v>
          </cell>
          <cell r="AJ1559">
            <v>49852.01</v>
          </cell>
          <cell r="AN1559">
            <v>49852.01</v>
          </cell>
          <cell r="AR1559">
            <v>0</v>
          </cell>
          <cell r="AV1559">
            <v>0</v>
          </cell>
          <cell r="AZ1559">
            <v>0</v>
          </cell>
        </row>
        <row r="1560">
          <cell r="Q1560">
            <v>0</v>
          </cell>
          <cell r="S1560">
            <v>0</v>
          </cell>
          <cell r="U1560">
            <v>0</v>
          </cell>
          <cell r="V1560">
            <v>0</v>
          </cell>
          <cell r="W1560">
            <v>0</v>
          </cell>
          <cell r="Y1560">
            <v>0</v>
          </cell>
          <cell r="AA1560">
            <v>0</v>
          </cell>
          <cell r="AJ1560">
            <v>0</v>
          </cell>
          <cell r="AN1560">
            <v>0</v>
          </cell>
          <cell r="AR1560">
            <v>0</v>
          </cell>
          <cell r="AV1560">
            <v>0</v>
          </cell>
          <cell r="AZ1560">
            <v>0</v>
          </cell>
        </row>
        <row r="1561">
          <cell r="Q1561">
            <v>0</v>
          </cell>
          <cell r="S1561">
            <v>0</v>
          </cell>
          <cell r="U1561">
            <v>0</v>
          </cell>
          <cell r="V1561">
            <v>0</v>
          </cell>
          <cell r="W1561">
            <v>0</v>
          </cell>
          <cell r="Y1561">
            <v>0</v>
          </cell>
          <cell r="AA1561">
            <v>0</v>
          </cell>
          <cell r="AJ1561">
            <v>-16501795.45875</v>
          </cell>
          <cell r="AN1561">
            <v>-10216485.367916666</v>
          </cell>
          <cell r="AR1561">
            <v>-3934973.4208333329</v>
          </cell>
          <cell r="AV1561">
            <v>0</v>
          </cell>
          <cell r="AZ1561">
            <v>0</v>
          </cell>
        </row>
        <row r="1562">
          <cell r="Q1562">
            <v>0</v>
          </cell>
          <cell r="S1562">
            <v>0</v>
          </cell>
          <cell r="U1562">
            <v>0</v>
          </cell>
          <cell r="V1562">
            <v>0</v>
          </cell>
          <cell r="W1562">
            <v>0</v>
          </cell>
          <cell r="Y1562">
            <v>0</v>
          </cell>
          <cell r="AA1562">
            <v>0</v>
          </cell>
          <cell r="AJ1562">
            <v>-725750</v>
          </cell>
          <cell r="AN1562">
            <v>-725750</v>
          </cell>
          <cell r="AR1562">
            <v>-604791.66666666663</v>
          </cell>
          <cell r="AV1562">
            <v>0</v>
          </cell>
          <cell r="AZ1562">
            <v>0</v>
          </cell>
        </row>
        <row r="1563">
          <cell r="U1563">
            <v>-658335</v>
          </cell>
          <cell r="V1563">
            <v>-658335</v>
          </cell>
          <cell r="W1563">
            <v>-684640</v>
          </cell>
          <cell r="Y1563">
            <v>-706070</v>
          </cell>
          <cell r="AA1563">
            <v>-722145</v>
          </cell>
          <cell r="AJ1563">
            <v>0</v>
          </cell>
          <cell r="AN1563">
            <v>-67233.958333333328</v>
          </cell>
          <cell r="AR1563">
            <v>-294837.91666666669</v>
          </cell>
          <cell r="AV1563">
            <v>-538911.04166666663</v>
          </cell>
          <cell r="AZ1563">
            <v>-726555.41666666663</v>
          </cell>
        </row>
        <row r="1564">
          <cell r="AA1564">
            <v>-19555784.960000001</v>
          </cell>
          <cell r="AR1564">
            <v>0</v>
          </cell>
          <cell r="AV1564">
            <v>-5907444.9204166671</v>
          </cell>
          <cell r="AZ1564">
            <v>-15193583.160000002</v>
          </cell>
        </row>
        <row r="1565">
          <cell r="AR1565">
            <v>0</v>
          </cell>
          <cell r="AV1565">
            <v>-297759.47249999997</v>
          </cell>
          <cell r="AZ1565">
            <v>-1477783.7916666667</v>
          </cell>
        </row>
        <row r="1566">
          <cell r="Q1566">
            <v>0</v>
          </cell>
          <cell r="S1566">
            <v>0</v>
          </cell>
          <cell r="U1566">
            <v>0</v>
          </cell>
          <cell r="V1566">
            <v>0</v>
          </cell>
          <cell r="W1566">
            <v>0</v>
          </cell>
          <cell r="Y1566">
            <v>0</v>
          </cell>
          <cell r="AA1566">
            <v>0</v>
          </cell>
          <cell r="AJ1566">
            <v>0</v>
          </cell>
          <cell r="AN1566">
            <v>0</v>
          </cell>
          <cell r="AR1566">
            <v>0</v>
          </cell>
          <cell r="AV1566">
            <v>0</v>
          </cell>
          <cell r="AZ1566">
            <v>0</v>
          </cell>
        </row>
        <row r="1567">
          <cell r="Q1567">
            <v>0</v>
          </cell>
          <cell r="S1567">
            <v>0</v>
          </cell>
          <cell r="U1567">
            <v>0</v>
          </cell>
          <cell r="V1567">
            <v>0</v>
          </cell>
          <cell r="W1567">
            <v>0</v>
          </cell>
          <cell r="Y1567">
            <v>0</v>
          </cell>
          <cell r="AA1567">
            <v>0</v>
          </cell>
          <cell r="AJ1567">
            <v>0</v>
          </cell>
          <cell r="AN1567">
            <v>0</v>
          </cell>
          <cell r="AR1567">
            <v>0</v>
          </cell>
          <cell r="AV1567">
            <v>0</v>
          </cell>
          <cell r="AZ1567">
            <v>0</v>
          </cell>
        </row>
        <row r="1568">
          <cell r="Q1568">
            <v>0</v>
          </cell>
          <cell r="S1568">
            <v>0</v>
          </cell>
          <cell r="U1568">
            <v>0</v>
          </cell>
          <cell r="V1568">
            <v>0</v>
          </cell>
          <cell r="W1568">
            <v>0</v>
          </cell>
          <cell r="Y1568">
            <v>0</v>
          </cell>
          <cell r="AA1568">
            <v>0</v>
          </cell>
          <cell r="AJ1568">
            <v>0</v>
          </cell>
          <cell r="AN1568">
            <v>0</v>
          </cell>
          <cell r="AR1568">
            <v>0</v>
          </cell>
          <cell r="AV1568">
            <v>0</v>
          </cell>
          <cell r="AZ1568">
            <v>0</v>
          </cell>
        </row>
        <row r="1569">
          <cell r="Q1569">
            <v>0</v>
          </cell>
          <cell r="S1569">
            <v>0</v>
          </cell>
          <cell r="U1569">
            <v>0</v>
          </cell>
          <cell r="V1569">
            <v>0</v>
          </cell>
          <cell r="W1569">
            <v>0</v>
          </cell>
          <cell r="Y1569">
            <v>0</v>
          </cell>
          <cell r="AA1569">
            <v>0</v>
          </cell>
          <cell r="AJ1569">
            <v>0</v>
          </cell>
          <cell r="AN1569">
            <v>0</v>
          </cell>
          <cell r="AR1569">
            <v>0</v>
          </cell>
          <cell r="AV1569">
            <v>0</v>
          </cell>
          <cell r="AZ1569">
            <v>0</v>
          </cell>
        </row>
        <row r="1570">
          <cell r="Q1570">
            <v>0</v>
          </cell>
          <cell r="S1570">
            <v>0</v>
          </cell>
          <cell r="U1570">
            <v>0</v>
          </cell>
          <cell r="V1570">
            <v>0</v>
          </cell>
          <cell r="W1570">
            <v>0</v>
          </cell>
          <cell r="Y1570">
            <v>0</v>
          </cell>
          <cell r="AA1570">
            <v>0</v>
          </cell>
          <cell r="AJ1570">
            <v>0</v>
          </cell>
          <cell r="AN1570">
            <v>0</v>
          </cell>
          <cell r="AR1570">
            <v>0</v>
          </cell>
          <cell r="AV1570">
            <v>0</v>
          </cell>
          <cell r="AZ1570">
            <v>0</v>
          </cell>
        </row>
        <row r="1571">
          <cell r="Q1571">
            <v>0</v>
          </cell>
          <cell r="S1571">
            <v>0</v>
          </cell>
          <cell r="U1571">
            <v>0</v>
          </cell>
          <cell r="V1571">
            <v>0</v>
          </cell>
          <cell r="W1571">
            <v>0</v>
          </cell>
          <cell r="Y1571">
            <v>0</v>
          </cell>
          <cell r="AA1571">
            <v>0</v>
          </cell>
          <cell r="AJ1571">
            <v>0</v>
          </cell>
          <cell r="AN1571">
            <v>0</v>
          </cell>
          <cell r="AR1571">
            <v>0</v>
          </cell>
          <cell r="AV1571">
            <v>0</v>
          </cell>
          <cell r="AZ1571">
            <v>0</v>
          </cell>
        </row>
        <row r="1572">
          <cell r="Q1572">
            <v>0</v>
          </cell>
          <cell r="S1572">
            <v>0</v>
          </cell>
          <cell r="U1572">
            <v>0</v>
          </cell>
          <cell r="V1572">
            <v>0</v>
          </cell>
          <cell r="W1572">
            <v>0</v>
          </cell>
          <cell r="Y1572">
            <v>0</v>
          </cell>
          <cell r="AA1572">
            <v>0</v>
          </cell>
          <cell r="AJ1572">
            <v>0</v>
          </cell>
          <cell r="AN1572">
            <v>0</v>
          </cell>
          <cell r="AR1572">
            <v>0</v>
          </cell>
          <cell r="AV1572">
            <v>0</v>
          </cell>
          <cell r="AZ1572">
            <v>0</v>
          </cell>
        </row>
        <row r="1573">
          <cell r="Q1573">
            <v>0</v>
          </cell>
          <cell r="S1573">
            <v>0</v>
          </cell>
          <cell r="U1573">
            <v>0</v>
          </cell>
          <cell r="V1573">
            <v>0</v>
          </cell>
          <cell r="W1573">
            <v>0</v>
          </cell>
          <cell r="Y1573">
            <v>0</v>
          </cell>
          <cell r="AA1573">
            <v>0</v>
          </cell>
          <cell r="AJ1573">
            <v>0</v>
          </cell>
          <cell r="AN1573">
            <v>0</v>
          </cell>
          <cell r="AR1573">
            <v>0</v>
          </cell>
          <cell r="AV1573">
            <v>0</v>
          </cell>
          <cell r="AZ1573">
            <v>0</v>
          </cell>
        </row>
        <row r="1574">
          <cell r="Q1574">
            <v>0</v>
          </cell>
          <cell r="S1574">
            <v>0</v>
          </cell>
          <cell r="U1574">
            <v>0</v>
          </cell>
          <cell r="V1574">
            <v>0</v>
          </cell>
          <cell r="W1574">
            <v>0</v>
          </cell>
          <cell r="Y1574">
            <v>0</v>
          </cell>
          <cell r="AA1574">
            <v>0</v>
          </cell>
          <cell r="AJ1574">
            <v>0</v>
          </cell>
          <cell r="AN1574">
            <v>0</v>
          </cell>
          <cell r="AR1574">
            <v>0</v>
          </cell>
          <cell r="AV1574">
            <v>0</v>
          </cell>
          <cell r="AZ1574">
            <v>0</v>
          </cell>
        </row>
        <row r="1575">
          <cell r="Q1575">
            <v>0</v>
          </cell>
          <cell r="S1575">
            <v>0</v>
          </cell>
          <cell r="U1575">
            <v>0</v>
          </cell>
          <cell r="V1575">
            <v>0</v>
          </cell>
          <cell r="W1575">
            <v>0</v>
          </cell>
          <cell r="Y1575">
            <v>0</v>
          </cell>
          <cell r="AA1575">
            <v>0</v>
          </cell>
          <cell r="AJ1575">
            <v>0</v>
          </cell>
          <cell r="AN1575">
            <v>0</v>
          </cell>
          <cell r="AR1575">
            <v>0</v>
          </cell>
          <cell r="AV1575">
            <v>0</v>
          </cell>
          <cell r="AZ1575">
            <v>0</v>
          </cell>
        </row>
        <row r="1576">
          <cell r="Q1576">
            <v>0</v>
          </cell>
          <cell r="S1576">
            <v>-122.09</v>
          </cell>
          <cell r="U1576">
            <v>-329.5</v>
          </cell>
          <cell r="V1576">
            <v>-410.97</v>
          </cell>
          <cell r="W1576">
            <v>-451.17</v>
          </cell>
          <cell r="Y1576">
            <v>-581.80999999999995</v>
          </cell>
          <cell r="AA1576">
            <v>-802.43</v>
          </cell>
          <cell r="AJ1576">
            <v>-1186.2070833333332</v>
          </cell>
          <cell r="AN1576">
            <v>-768.36374999999987</v>
          </cell>
          <cell r="AR1576">
            <v>-593.54750000000001</v>
          </cell>
          <cell r="AV1576">
            <v>-413.91333333333341</v>
          </cell>
          <cell r="AZ1576">
            <v>-538.49124999999992</v>
          </cell>
        </row>
        <row r="1577">
          <cell r="Q1577">
            <v>-652254.21</v>
          </cell>
          <cell r="S1577">
            <v>-640062.55000000005</v>
          </cell>
          <cell r="U1577">
            <v>-627870.89</v>
          </cell>
          <cell r="V1577">
            <v>-621775.06000000006</v>
          </cell>
          <cell r="W1577">
            <v>-615679.23</v>
          </cell>
          <cell r="Y1577">
            <v>-760897.57</v>
          </cell>
          <cell r="AA1577">
            <v>-745525.91</v>
          </cell>
          <cell r="AJ1577">
            <v>-691115.12625000009</v>
          </cell>
          <cell r="AN1577">
            <v>-664699.86291666667</v>
          </cell>
          <cell r="AR1577">
            <v>-659871.30000000005</v>
          </cell>
          <cell r="AV1577">
            <v>-686897.9800000001</v>
          </cell>
          <cell r="AZ1577">
            <v>-711804.66</v>
          </cell>
        </row>
        <row r="1578">
          <cell r="Q1578">
            <v>0</v>
          </cell>
          <cell r="S1578">
            <v>0</v>
          </cell>
          <cell r="U1578">
            <v>0</v>
          </cell>
          <cell r="V1578">
            <v>0</v>
          </cell>
          <cell r="W1578">
            <v>0</v>
          </cell>
          <cell r="Y1578">
            <v>0</v>
          </cell>
          <cell r="AA1578">
            <v>0</v>
          </cell>
          <cell r="AJ1578">
            <v>0</v>
          </cell>
          <cell r="AN1578">
            <v>0</v>
          </cell>
          <cell r="AR1578">
            <v>0</v>
          </cell>
          <cell r="AV1578">
            <v>0</v>
          </cell>
          <cell r="AZ1578">
            <v>0</v>
          </cell>
        </row>
        <row r="1579">
          <cell r="Q1579">
            <v>0</v>
          </cell>
          <cell r="S1579">
            <v>0</v>
          </cell>
          <cell r="U1579">
            <v>0</v>
          </cell>
          <cell r="V1579">
            <v>0</v>
          </cell>
          <cell r="W1579">
            <v>0</v>
          </cell>
          <cell r="Y1579">
            <v>0</v>
          </cell>
          <cell r="AA1579">
            <v>0</v>
          </cell>
          <cell r="AJ1579">
            <v>0</v>
          </cell>
          <cell r="AN1579">
            <v>0</v>
          </cell>
          <cell r="AR1579">
            <v>0</v>
          </cell>
          <cell r="AV1579">
            <v>0</v>
          </cell>
          <cell r="AZ1579">
            <v>0</v>
          </cell>
        </row>
        <row r="1580">
          <cell r="Q1580">
            <v>0</v>
          </cell>
          <cell r="S1580">
            <v>0</v>
          </cell>
          <cell r="U1580">
            <v>0</v>
          </cell>
          <cell r="V1580">
            <v>0</v>
          </cell>
          <cell r="W1580">
            <v>0</v>
          </cell>
          <cell r="Y1580">
            <v>0</v>
          </cell>
          <cell r="AA1580">
            <v>0</v>
          </cell>
          <cell r="AJ1580">
            <v>0</v>
          </cell>
          <cell r="AN1580">
            <v>0</v>
          </cell>
          <cell r="AR1580">
            <v>0</v>
          </cell>
          <cell r="AV1580">
            <v>0</v>
          </cell>
          <cell r="AZ1580">
            <v>0</v>
          </cell>
        </row>
        <row r="1581">
          <cell r="Q1581">
            <v>0</v>
          </cell>
          <cell r="S1581">
            <v>0</v>
          </cell>
          <cell r="U1581">
            <v>0</v>
          </cell>
          <cell r="V1581">
            <v>0</v>
          </cell>
          <cell r="W1581">
            <v>0</v>
          </cell>
          <cell r="Y1581">
            <v>0</v>
          </cell>
          <cell r="AA1581">
            <v>0</v>
          </cell>
          <cell r="AJ1581">
            <v>0</v>
          </cell>
          <cell r="AN1581">
            <v>0</v>
          </cell>
          <cell r="AR1581">
            <v>0</v>
          </cell>
          <cell r="AV1581">
            <v>0</v>
          </cell>
          <cell r="AZ1581">
            <v>0</v>
          </cell>
        </row>
        <row r="1582">
          <cell r="Q1582">
            <v>0</v>
          </cell>
          <cell r="S1582">
            <v>0</v>
          </cell>
          <cell r="U1582">
            <v>0</v>
          </cell>
          <cell r="V1582">
            <v>0</v>
          </cell>
          <cell r="W1582">
            <v>0</v>
          </cell>
          <cell r="Y1582">
            <v>0</v>
          </cell>
          <cell r="AA1582">
            <v>0</v>
          </cell>
          <cell r="AJ1582">
            <v>0</v>
          </cell>
          <cell r="AN1582">
            <v>0</v>
          </cell>
          <cell r="AR1582">
            <v>0</v>
          </cell>
          <cell r="AV1582">
            <v>0</v>
          </cell>
          <cell r="AZ1582">
            <v>0</v>
          </cell>
        </row>
        <row r="1583">
          <cell r="Q1583">
            <v>0</v>
          </cell>
          <cell r="S1583">
            <v>0</v>
          </cell>
          <cell r="U1583">
            <v>0</v>
          </cell>
          <cell r="V1583">
            <v>0</v>
          </cell>
          <cell r="W1583">
            <v>0</v>
          </cell>
          <cell r="Y1583">
            <v>0</v>
          </cell>
          <cell r="AA1583">
            <v>0</v>
          </cell>
          <cell r="AJ1583">
            <v>0</v>
          </cell>
          <cell r="AN1583">
            <v>0</v>
          </cell>
          <cell r="AR1583">
            <v>0</v>
          </cell>
          <cell r="AV1583">
            <v>0</v>
          </cell>
          <cell r="AZ1583">
            <v>0</v>
          </cell>
        </row>
        <row r="1584">
          <cell r="Q1584">
            <v>0</v>
          </cell>
          <cell r="S1584">
            <v>0</v>
          </cell>
          <cell r="U1584">
            <v>0</v>
          </cell>
          <cell r="V1584">
            <v>0</v>
          </cell>
          <cell r="W1584">
            <v>0</v>
          </cell>
          <cell r="Y1584">
            <v>0</v>
          </cell>
          <cell r="AA1584">
            <v>0</v>
          </cell>
          <cell r="AJ1584">
            <v>0</v>
          </cell>
          <cell r="AN1584">
            <v>0</v>
          </cell>
          <cell r="AR1584">
            <v>0</v>
          </cell>
          <cell r="AV1584">
            <v>0</v>
          </cell>
          <cell r="AZ1584">
            <v>0</v>
          </cell>
        </row>
        <row r="1585">
          <cell r="Q1585">
            <v>0</v>
          </cell>
          <cell r="S1585">
            <v>0</v>
          </cell>
          <cell r="U1585">
            <v>0</v>
          </cell>
          <cell r="V1585">
            <v>0</v>
          </cell>
          <cell r="W1585">
            <v>0</v>
          </cell>
          <cell r="Y1585">
            <v>0</v>
          </cell>
          <cell r="AA1585">
            <v>0</v>
          </cell>
          <cell r="AJ1585">
            <v>0</v>
          </cell>
          <cell r="AN1585">
            <v>0</v>
          </cell>
          <cell r="AR1585">
            <v>0</v>
          </cell>
          <cell r="AV1585">
            <v>0</v>
          </cell>
          <cell r="AZ1585">
            <v>0</v>
          </cell>
        </row>
        <row r="1586">
          <cell r="Q1586">
            <v>0</v>
          </cell>
          <cell r="S1586">
            <v>0</v>
          </cell>
          <cell r="U1586">
            <v>0</v>
          </cell>
          <cell r="V1586">
            <v>-0.42</v>
          </cell>
          <cell r="W1586">
            <v>-6.01</v>
          </cell>
          <cell r="Y1586">
            <v>-99.28</v>
          </cell>
          <cell r="AA1586">
            <v>-111.7</v>
          </cell>
          <cell r="AJ1586">
            <v>-14.294166666666664</v>
          </cell>
          <cell r="AN1586">
            <v>-14.294166666666664</v>
          </cell>
          <cell r="AR1586">
            <v>-19.759166666666669</v>
          </cell>
          <cell r="AV1586">
            <v>-41.004166666666663</v>
          </cell>
          <cell r="AZ1586">
            <v>-41.004166666666663</v>
          </cell>
        </row>
        <row r="1587">
          <cell r="Q1587">
            <v>-135444.15</v>
          </cell>
          <cell r="S1587">
            <v>-105444.15</v>
          </cell>
          <cell r="U1587">
            <v>-105444.15</v>
          </cell>
          <cell r="V1587">
            <v>-55444.15</v>
          </cell>
          <cell r="W1587">
            <v>-55444.15</v>
          </cell>
          <cell r="Y1587">
            <v>-55444.15</v>
          </cell>
          <cell r="AA1587">
            <v>-55444.15</v>
          </cell>
          <cell r="AJ1587">
            <v>-146287.66499999995</v>
          </cell>
          <cell r="AN1587">
            <v>-127235.81666666664</v>
          </cell>
          <cell r="AR1587">
            <v>-102110.81666666665</v>
          </cell>
          <cell r="AV1587">
            <v>-75444.150000000009</v>
          </cell>
          <cell r="AZ1587">
            <v>-57527.483333333344</v>
          </cell>
        </row>
        <row r="1588">
          <cell r="AV1588">
            <v>0</v>
          </cell>
          <cell r="AZ1588">
            <v>-403779.6875</v>
          </cell>
        </row>
        <row r="1589">
          <cell r="Q1589">
            <v>-2197040.91</v>
          </cell>
          <cell r="S1589">
            <v>-1722538.41</v>
          </cell>
          <cell r="U1589">
            <v>-2554040.5</v>
          </cell>
          <cell r="V1589">
            <v>-2017522.1</v>
          </cell>
          <cell r="W1589">
            <v>-845849.71</v>
          </cell>
          <cell r="Y1589">
            <v>0</v>
          </cell>
          <cell r="AA1589">
            <v>-563305.79</v>
          </cell>
          <cell r="AJ1589">
            <v>-565895.25875000004</v>
          </cell>
          <cell r="AN1589">
            <v>-1033453.5712499999</v>
          </cell>
          <cell r="AR1589">
            <v>-1396618.86375</v>
          </cell>
          <cell r="AV1589">
            <v>-1293923.5183333333</v>
          </cell>
          <cell r="AZ1589">
            <v>-642227.95666666667</v>
          </cell>
        </row>
        <row r="1590">
          <cell r="Q1590">
            <v>-1083075.74</v>
          </cell>
          <cell r="S1590">
            <v>-1322696.8999999999</v>
          </cell>
          <cell r="U1590">
            <v>-1748446.9</v>
          </cell>
          <cell r="V1590">
            <v>-1520136.37</v>
          </cell>
          <cell r="W1590">
            <v>-1006637.48</v>
          </cell>
          <cell r="Y1590">
            <v>-485182.09</v>
          </cell>
          <cell r="AA1590">
            <v>-623552.09</v>
          </cell>
          <cell r="AJ1590">
            <v>-1058514.385</v>
          </cell>
          <cell r="AN1590">
            <v>-1093487.3987499999</v>
          </cell>
          <cell r="AR1590">
            <v>-1115845.0991666666</v>
          </cell>
          <cell r="AV1590">
            <v>-1027146.3050000001</v>
          </cell>
          <cell r="AZ1590">
            <v>-638954.57416666672</v>
          </cell>
        </row>
        <row r="1591">
          <cell r="Q1591">
            <v>0</v>
          </cell>
          <cell r="S1591">
            <v>0</v>
          </cell>
          <cell r="U1591">
            <v>0</v>
          </cell>
          <cell r="V1591">
            <v>0</v>
          </cell>
          <cell r="W1591">
            <v>0</v>
          </cell>
          <cell r="Y1591">
            <v>0</v>
          </cell>
          <cell r="AA1591">
            <v>0</v>
          </cell>
          <cell r="AJ1591">
            <v>0</v>
          </cell>
          <cell r="AN1591">
            <v>0</v>
          </cell>
          <cell r="AR1591">
            <v>0</v>
          </cell>
          <cell r="AV1591">
            <v>0</v>
          </cell>
          <cell r="AZ1591">
            <v>0</v>
          </cell>
        </row>
        <row r="1592">
          <cell r="Q1592">
            <v>0</v>
          </cell>
          <cell r="S1592">
            <v>0</v>
          </cell>
          <cell r="U1592">
            <v>0</v>
          </cell>
          <cell r="V1592">
            <v>0</v>
          </cell>
          <cell r="W1592">
            <v>0</v>
          </cell>
          <cell r="Y1592">
            <v>0</v>
          </cell>
          <cell r="AA1592">
            <v>0</v>
          </cell>
          <cell r="AJ1592">
            <v>0</v>
          </cell>
          <cell r="AN1592">
            <v>0</v>
          </cell>
          <cell r="AR1592">
            <v>0</v>
          </cell>
          <cell r="AV1592">
            <v>0</v>
          </cell>
          <cell r="AZ1592">
            <v>0</v>
          </cell>
        </row>
        <row r="1593">
          <cell r="Q1593">
            <v>0</v>
          </cell>
          <cell r="S1593">
            <v>0</v>
          </cell>
          <cell r="U1593">
            <v>0</v>
          </cell>
          <cell r="V1593">
            <v>0</v>
          </cell>
          <cell r="W1593">
            <v>0</v>
          </cell>
          <cell r="Y1593">
            <v>0</v>
          </cell>
          <cell r="AA1593">
            <v>0</v>
          </cell>
          <cell r="AJ1593">
            <v>0</v>
          </cell>
          <cell r="AN1593">
            <v>0</v>
          </cell>
          <cell r="AR1593">
            <v>0</v>
          </cell>
          <cell r="AV1593">
            <v>0</v>
          </cell>
          <cell r="AZ1593">
            <v>0</v>
          </cell>
        </row>
        <row r="1594">
          <cell r="Q1594">
            <v>0</v>
          </cell>
          <cell r="S1594">
            <v>0</v>
          </cell>
          <cell r="U1594">
            <v>0</v>
          </cell>
          <cell r="V1594">
            <v>0</v>
          </cell>
          <cell r="W1594">
            <v>0</v>
          </cell>
          <cell r="Y1594">
            <v>0</v>
          </cell>
          <cell r="AA1594">
            <v>0</v>
          </cell>
          <cell r="AJ1594">
            <v>0</v>
          </cell>
          <cell r="AN1594">
            <v>0</v>
          </cell>
          <cell r="AR1594">
            <v>0</v>
          </cell>
          <cell r="AV1594">
            <v>0</v>
          </cell>
          <cell r="AZ1594">
            <v>0</v>
          </cell>
        </row>
        <row r="1595">
          <cell r="Q1595">
            <v>0</v>
          </cell>
          <cell r="S1595">
            <v>0</v>
          </cell>
          <cell r="U1595">
            <v>0</v>
          </cell>
          <cell r="V1595">
            <v>0</v>
          </cell>
          <cell r="W1595">
            <v>0</v>
          </cell>
          <cell r="Y1595">
            <v>0</v>
          </cell>
          <cell r="AA1595">
            <v>0</v>
          </cell>
          <cell r="AJ1595">
            <v>0</v>
          </cell>
          <cell r="AN1595">
            <v>0</v>
          </cell>
          <cell r="AR1595">
            <v>0</v>
          </cell>
          <cell r="AV1595">
            <v>0</v>
          </cell>
          <cell r="AZ1595">
            <v>0</v>
          </cell>
        </row>
        <row r="1596">
          <cell r="Q1596">
            <v>0</v>
          </cell>
          <cell r="S1596">
            <v>0</v>
          </cell>
          <cell r="U1596">
            <v>0</v>
          </cell>
          <cell r="V1596">
            <v>0</v>
          </cell>
          <cell r="W1596">
            <v>0</v>
          </cell>
          <cell r="Y1596">
            <v>0</v>
          </cell>
          <cell r="AA1596">
            <v>0</v>
          </cell>
          <cell r="AJ1596">
            <v>-474682.3125</v>
          </cell>
          <cell r="AN1596">
            <v>-52741.479166666664</v>
          </cell>
          <cell r="AR1596">
            <v>0</v>
          </cell>
          <cell r="AV1596">
            <v>0</v>
          </cell>
          <cell r="AZ1596">
            <v>0</v>
          </cell>
        </row>
        <row r="1597">
          <cell r="Q1597">
            <v>-603750.76</v>
          </cell>
          <cell r="S1597">
            <v>-574463.52</v>
          </cell>
          <cell r="U1597">
            <v>-545176.28</v>
          </cell>
          <cell r="V1597">
            <v>-530532.66</v>
          </cell>
          <cell r="W1597">
            <v>-515889.04</v>
          </cell>
          <cell r="Y1597">
            <v>-486601.8</v>
          </cell>
          <cell r="AA1597">
            <v>-457314.56</v>
          </cell>
          <cell r="AJ1597">
            <v>-691612.48</v>
          </cell>
          <cell r="AN1597">
            <v>-633038</v>
          </cell>
          <cell r="AR1597">
            <v>-574463.52</v>
          </cell>
          <cell r="AV1597">
            <v>-515889.04</v>
          </cell>
          <cell r="AZ1597">
            <v>-457314.56000000006</v>
          </cell>
        </row>
        <row r="1598">
          <cell r="Q1598">
            <v>0</v>
          </cell>
          <cell r="S1598">
            <v>0</v>
          </cell>
          <cell r="U1598">
            <v>0</v>
          </cell>
          <cell r="V1598">
            <v>0</v>
          </cell>
          <cell r="W1598">
            <v>0</v>
          </cell>
          <cell r="Y1598">
            <v>0</v>
          </cell>
          <cell r="AA1598">
            <v>0</v>
          </cell>
          <cell r="AJ1598">
            <v>0</v>
          </cell>
          <cell r="AN1598">
            <v>0</v>
          </cell>
          <cell r="AR1598">
            <v>0</v>
          </cell>
          <cell r="AV1598">
            <v>0</v>
          </cell>
          <cell r="AZ1598">
            <v>0</v>
          </cell>
        </row>
        <row r="1599">
          <cell r="Q1599">
            <v>0</v>
          </cell>
          <cell r="S1599">
            <v>0</v>
          </cell>
          <cell r="U1599">
            <v>0</v>
          </cell>
          <cell r="V1599">
            <v>0</v>
          </cell>
          <cell r="W1599">
            <v>0</v>
          </cell>
          <cell r="Y1599">
            <v>0</v>
          </cell>
          <cell r="AA1599">
            <v>0</v>
          </cell>
          <cell r="AJ1599">
            <v>0</v>
          </cell>
          <cell r="AN1599">
            <v>0</v>
          </cell>
          <cell r="AR1599">
            <v>0</v>
          </cell>
          <cell r="AV1599">
            <v>0</v>
          </cell>
          <cell r="AZ1599">
            <v>0</v>
          </cell>
        </row>
        <row r="1600">
          <cell r="Q1600">
            <v>0</v>
          </cell>
          <cell r="S1600">
            <v>0</v>
          </cell>
          <cell r="U1600">
            <v>0</v>
          </cell>
          <cell r="V1600">
            <v>0</v>
          </cell>
          <cell r="W1600">
            <v>0</v>
          </cell>
          <cell r="Y1600">
            <v>0</v>
          </cell>
          <cell r="AA1600">
            <v>0</v>
          </cell>
          <cell r="AJ1600">
            <v>0</v>
          </cell>
          <cell r="AN1600">
            <v>0</v>
          </cell>
          <cell r="AR1600">
            <v>0</v>
          </cell>
          <cell r="AV1600">
            <v>0</v>
          </cell>
          <cell r="AZ1600">
            <v>0</v>
          </cell>
        </row>
        <row r="1601">
          <cell r="Q1601">
            <v>0</v>
          </cell>
          <cell r="S1601">
            <v>0</v>
          </cell>
          <cell r="U1601">
            <v>0</v>
          </cell>
          <cell r="V1601">
            <v>0</v>
          </cell>
          <cell r="W1601">
            <v>0</v>
          </cell>
          <cell r="Y1601">
            <v>0</v>
          </cell>
          <cell r="AA1601">
            <v>0</v>
          </cell>
          <cell r="AJ1601">
            <v>0</v>
          </cell>
          <cell r="AN1601">
            <v>0</v>
          </cell>
          <cell r="AR1601">
            <v>0</v>
          </cell>
          <cell r="AV1601">
            <v>0</v>
          </cell>
          <cell r="AZ1601">
            <v>0</v>
          </cell>
        </row>
        <row r="1602">
          <cell r="Q1602">
            <v>-7833.48</v>
          </cell>
          <cell r="S1602">
            <v>-7121.34</v>
          </cell>
          <cell r="U1602">
            <v>-6409.2</v>
          </cell>
          <cell r="V1602">
            <v>-6053.13</v>
          </cell>
          <cell r="W1602">
            <v>-5697.06</v>
          </cell>
          <cell r="Y1602">
            <v>-4984.92</v>
          </cell>
          <cell r="AA1602">
            <v>-4272.78</v>
          </cell>
          <cell r="AJ1602">
            <v>-9969.8954166666663</v>
          </cell>
          <cell r="AN1602">
            <v>-8545.6187500000015</v>
          </cell>
          <cell r="AR1602">
            <v>-7121.34</v>
          </cell>
          <cell r="AV1602">
            <v>-5697.0599999999986</v>
          </cell>
          <cell r="AZ1602">
            <v>-4272.78</v>
          </cell>
        </row>
        <row r="1603">
          <cell r="Q1603">
            <v>-1087281.32</v>
          </cell>
          <cell r="S1603">
            <v>-1020097.94</v>
          </cell>
          <cell r="U1603">
            <v>-952914.56</v>
          </cell>
          <cell r="V1603">
            <v>-919322.87</v>
          </cell>
          <cell r="W1603">
            <v>-893865.18</v>
          </cell>
          <cell r="Y1603">
            <v>-826478.42</v>
          </cell>
          <cell r="AA1603">
            <v>-759159.48</v>
          </cell>
          <cell r="AJ1603">
            <v>-1262680.55375</v>
          </cell>
          <cell r="AN1603">
            <v>-1147445.7570833333</v>
          </cell>
          <cell r="AR1603">
            <v>-1021772.7491666666</v>
          </cell>
          <cell r="AV1603">
            <v>-890004.34249999991</v>
          </cell>
          <cell r="AZ1603">
            <v>-758145.56249999988</v>
          </cell>
        </row>
        <row r="1604">
          <cell r="Q1604">
            <v>-76768.37</v>
          </cell>
          <cell r="S1604">
            <v>-74548.850000000006</v>
          </cell>
          <cell r="U1604">
            <v>-72329.33</v>
          </cell>
          <cell r="V1604">
            <v>-71219.570000000007</v>
          </cell>
          <cell r="W1604">
            <v>-71932.81</v>
          </cell>
          <cell r="Y1604">
            <v>-69667.81</v>
          </cell>
          <cell r="AA1604">
            <v>-67417.91</v>
          </cell>
          <cell r="AJ1604">
            <v>-77568.67</v>
          </cell>
          <cell r="AN1604">
            <v>-77415.523333333331</v>
          </cell>
          <cell r="AR1604">
            <v>-74924.222500000003</v>
          </cell>
          <cell r="AV1604">
            <v>-71067.5625</v>
          </cell>
          <cell r="AZ1604">
            <v>-67190.64916666667</v>
          </cell>
        </row>
        <row r="1605">
          <cell r="Q1605">
            <v>-26957.31</v>
          </cell>
          <cell r="S1605">
            <v>-24883.67</v>
          </cell>
          <cell r="U1605">
            <v>-22810.03</v>
          </cell>
          <cell r="V1605">
            <v>-21773.21</v>
          </cell>
          <cell r="W1605">
            <v>-20736.39</v>
          </cell>
          <cell r="Y1605">
            <v>-18662.75</v>
          </cell>
          <cell r="AA1605">
            <v>-16589.11</v>
          </cell>
          <cell r="AJ1605">
            <v>-33178.225416666668</v>
          </cell>
          <cell r="AN1605">
            <v>-29030.94875</v>
          </cell>
          <cell r="AR1605">
            <v>-24883.67</v>
          </cell>
          <cell r="AV1605">
            <v>-20736.39</v>
          </cell>
          <cell r="AZ1605">
            <v>-16589.11</v>
          </cell>
        </row>
        <row r="1606">
          <cell r="Q1606">
            <v>-1735183.24</v>
          </cell>
          <cell r="S1606">
            <v>-1633113.64</v>
          </cell>
          <cell r="U1606">
            <v>-1531044.04</v>
          </cell>
          <cell r="V1606">
            <v>-1480009.24</v>
          </cell>
          <cell r="W1606">
            <v>-1428974.44</v>
          </cell>
          <cell r="Y1606">
            <v>-1326904.8400000001</v>
          </cell>
          <cell r="AA1606">
            <v>-1224835.24</v>
          </cell>
          <cell r="AJ1606">
            <v>-2354470.9658333329</v>
          </cell>
          <cell r="AN1606">
            <v>-1945872.0591666671</v>
          </cell>
          <cell r="AR1606">
            <v>-1639503.0058333334</v>
          </cell>
          <cell r="AV1606">
            <v>-1428974.4400000002</v>
          </cell>
          <cell r="AZ1606">
            <v>-1186559.1383333332</v>
          </cell>
        </row>
        <row r="1607">
          <cell r="Q1607">
            <v>-965070.64</v>
          </cell>
          <cell r="S1607">
            <v>-908301.78</v>
          </cell>
          <cell r="U1607">
            <v>-851532.92</v>
          </cell>
          <cell r="V1607">
            <v>-823148.49</v>
          </cell>
          <cell r="W1607">
            <v>-794764.06</v>
          </cell>
          <cell r="Y1607">
            <v>-737995.2</v>
          </cell>
          <cell r="AA1607">
            <v>-681226.34</v>
          </cell>
          <cell r="AJ1607">
            <v>-1309504.8858333332</v>
          </cell>
          <cell r="AN1607">
            <v>-1082251.1391666667</v>
          </cell>
          <cell r="AR1607">
            <v>-911855.40583333327</v>
          </cell>
          <cell r="AV1607">
            <v>-794764.06</v>
          </cell>
          <cell r="AZ1607">
            <v>-659938.01666666672</v>
          </cell>
        </row>
        <row r="1608">
          <cell r="Q1608">
            <v>-245876.41</v>
          </cell>
          <cell r="S1608">
            <v>-231413.09</v>
          </cell>
          <cell r="U1608">
            <v>-216949.77</v>
          </cell>
          <cell r="V1608">
            <v>-209718.11</v>
          </cell>
          <cell r="W1608">
            <v>-202486.45</v>
          </cell>
          <cell r="Y1608">
            <v>-188023.13</v>
          </cell>
          <cell r="AA1608">
            <v>-173559.81</v>
          </cell>
          <cell r="AJ1608">
            <v>-334519.05416666664</v>
          </cell>
          <cell r="AN1608">
            <v>-276039.64083333337</v>
          </cell>
          <cell r="AR1608">
            <v>-232336.61416666667</v>
          </cell>
          <cell r="AV1608">
            <v>-202486.45000000004</v>
          </cell>
          <cell r="AZ1608">
            <v>-168136.06625</v>
          </cell>
        </row>
        <row r="1609">
          <cell r="Q1609">
            <v>-136751.20000000001</v>
          </cell>
          <cell r="S1609">
            <v>-128707.02</v>
          </cell>
          <cell r="U1609">
            <v>-120662.84</v>
          </cell>
          <cell r="V1609">
            <v>-116640.75</v>
          </cell>
          <cell r="W1609">
            <v>-112618.66</v>
          </cell>
          <cell r="Y1609">
            <v>-104574.48</v>
          </cell>
          <cell r="AA1609">
            <v>-96530.3</v>
          </cell>
          <cell r="AJ1609">
            <v>-186052.26333333334</v>
          </cell>
          <cell r="AN1609">
            <v>-153527.31666666668</v>
          </cell>
          <cell r="AR1609">
            <v>-129220.66333333334</v>
          </cell>
          <cell r="AV1609">
            <v>-112618.65999999999</v>
          </cell>
          <cell r="AZ1609">
            <v>-93513.726666666669</v>
          </cell>
        </row>
        <row r="1610">
          <cell r="Q1610">
            <v>-3980451.34</v>
          </cell>
          <cell r="S1610">
            <v>-3746307.14</v>
          </cell>
          <cell r="U1610">
            <v>-3512162.94</v>
          </cell>
          <cell r="V1610">
            <v>-3395090.84</v>
          </cell>
          <cell r="W1610">
            <v>-3278018.74</v>
          </cell>
          <cell r="Y1610">
            <v>-3043874.54</v>
          </cell>
          <cell r="AA1610">
            <v>-2809730.34</v>
          </cell>
          <cell r="AJ1610">
            <v>-4205732.9191666665</v>
          </cell>
          <cell r="AN1610">
            <v>-4048743.3983333334</v>
          </cell>
          <cell r="AR1610">
            <v>-3736551.1316666673</v>
          </cell>
          <cell r="AV1610">
            <v>-3278018.7400000007</v>
          </cell>
          <cell r="AZ1610">
            <v>-2721926.2675000001</v>
          </cell>
        </row>
        <row r="1611">
          <cell r="Q1611">
            <v>-2661083.56</v>
          </cell>
          <cell r="S1611">
            <v>-2419167.12</v>
          </cell>
          <cell r="U1611">
            <v>-2177250.6800000002</v>
          </cell>
          <cell r="V1611">
            <v>-2056292.46</v>
          </cell>
          <cell r="W1611">
            <v>-1935334.24</v>
          </cell>
          <cell r="Y1611">
            <v>-1693417.8</v>
          </cell>
          <cell r="AA1611">
            <v>-1451501.36</v>
          </cell>
          <cell r="AJ1611">
            <v>-342715.29666666663</v>
          </cell>
          <cell r="AN1611">
            <v>-1149104.3366666667</v>
          </cell>
          <cell r="AR1611">
            <v>-1794215.7499999998</v>
          </cell>
          <cell r="AV1611">
            <v>-1935334.24</v>
          </cell>
          <cell r="AZ1611">
            <v>-1451501.36</v>
          </cell>
        </row>
        <row r="1612">
          <cell r="Q1612">
            <v>-12142332</v>
          </cell>
          <cell r="S1612">
            <v>-11971314</v>
          </cell>
          <cell r="U1612">
            <v>-11800296</v>
          </cell>
          <cell r="V1612">
            <v>-11714787</v>
          </cell>
          <cell r="W1612">
            <v>-11629278</v>
          </cell>
          <cell r="Y1612">
            <v>-11458260</v>
          </cell>
          <cell r="AA1612">
            <v>-11287242</v>
          </cell>
          <cell r="AJ1612">
            <v>-1524917.25</v>
          </cell>
          <cell r="AN1612">
            <v>-5515355.25</v>
          </cell>
          <cell r="AR1612">
            <v>-9391781.25</v>
          </cell>
          <cell r="AV1612">
            <v>-11629278</v>
          </cell>
          <cell r="AZ1612">
            <v>-11287242</v>
          </cell>
        </row>
        <row r="1613">
          <cell r="Q1613">
            <v>-6495168</v>
          </cell>
          <cell r="S1613">
            <v>-6403686</v>
          </cell>
          <cell r="U1613">
            <v>-6312204</v>
          </cell>
          <cell r="V1613">
            <v>-6266463</v>
          </cell>
          <cell r="W1613">
            <v>-6220722</v>
          </cell>
          <cell r="Y1613">
            <v>-6129240</v>
          </cell>
          <cell r="AA1613">
            <v>-6037758</v>
          </cell>
          <cell r="AJ1613">
            <v>-815707.75</v>
          </cell>
          <cell r="AN1613">
            <v>-2950269.75</v>
          </cell>
          <cell r="AR1613">
            <v>-5023843.75</v>
          </cell>
          <cell r="AV1613">
            <v>-6220722</v>
          </cell>
          <cell r="AZ1613">
            <v>-6037758</v>
          </cell>
        </row>
        <row r="1614">
          <cell r="AV1614">
            <v>0</v>
          </cell>
          <cell r="AZ1614">
            <v>-190409.28416666668</v>
          </cell>
        </row>
        <row r="1615">
          <cell r="AV1615">
            <v>0</v>
          </cell>
          <cell r="AZ1615">
            <v>-138893.45083333334</v>
          </cell>
        </row>
        <row r="1616">
          <cell r="Q1616">
            <v>-18763387.649999999</v>
          </cell>
          <cell r="S1616">
            <v>-17527010.649999999</v>
          </cell>
          <cell r="U1616">
            <v>-16248721.65</v>
          </cell>
          <cell r="V1616">
            <v>-15599099.65</v>
          </cell>
          <cell r="W1616">
            <v>-14970432.65</v>
          </cell>
          <cell r="Y1616">
            <v>-13671188.65</v>
          </cell>
          <cell r="AA1616">
            <v>-12392899.65</v>
          </cell>
          <cell r="AJ1616">
            <v>-22038678.858333338</v>
          </cell>
          <cell r="AN1616">
            <v>-19718629.19166667</v>
          </cell>
          <cell r="AR1616">
            <v>-17464134.025000002</v>
          </cell>
          <cell r="AV1616">
            <v>-14955589.275000004</v>
          </cell>
          <cell r="AZ1616">
            <v>-12405996.94166667</v>
          </cell>
        </row>
        <row r="1617">
          <cell r="Q1617">
            <v>-4069475.84</v>
          </cell>
          <cell r="S1617">
            <v>-3972185.41</v>
          </cell>
          <cell r="U1617">
            <v>-3860489.97</v>
          </cell>
          <cell r="V1617">
            <v>-3800387.97</v>
          </cell>
          <cell r="W1617">
            <v>-3743967.97</v>
          </cell>
          <cell r="Y1617">
            <v>-3625593.88</v>
          </cell>
          <cell r="AA1617">
            <v>-3503941.73</v>
          </cell>
          <cell r="AJ1617">
            <v>-4440597.6379166665</v>
          </cell>
          <cell r="AN1617">
            <v>-4192514.8200000003</v>
          </cell>
          <cell r="AR1617">
            <v>-3963671.4670833331</v>
          </cell>
          <cell r="AV1617">
            <v>-3738513.0516666663</v>
          </cell>
          <cell r="AZ1617">
            <v>-3500501.2120833336</v>
          </cell>
        </row>
        <row r="1618">
          <cell r="Q1618">
            <v>-1247864</v>
          </cell>
          <cell r="S1618">
            <v>-1074252</v>
          </cell>
          <cell r="U1618">
            <v>-839540</v>
          </cell>
          <cell r="V1618">
            <v>-803534</v>
          </cell>
          <cell r="W1618">
            <v>-715256</v>
          </cell>
          <cell r="Y1618">
            <v>-532816</v>
          </cell>
          <cell r="AA1618">
            <v>-353318</v>
          </cell>
          <cell r="AJ1618">
            <v>-2005745.0416666667</v>
          </cell>
          <cell r="AN1618">
            <v>-1524217.875</v>
          </cell>
          <cell r="AR1618">
            <v>-1090927.0833333333</v>
          </cell>
          <cell r="AV1618">
            <v>-708570.66666666663</v>
          </cell>
          <cell r="AZ1618">
            <v>-402183.70833333331</v>
          </cell>
        </row>
        <row r="1619">
          <cell r="AV1619">
            <v>0</v>
          </cell>
          <cell r="AZ1619">
            <v>0</v>
          </cell>
        </row>
        <row r="1620">
          <cell r="Q1620">
            <v>-8165809</v>
          </cell>
          <cell r="S1620">
            <v>-8165809</v>
          </cell>
          <cell r="U1620">
            <v>-8165809</v>
          </cell>
          <cell r="V1620">
            <v>-8165809</v>
          </cell>
          <cell r="W1620">
            <v>-8165809</v>
          </cell>
          <cell r="Y1620">
            <v>-8165809</v>
          </cell>
          <cell r="AA1620">
            <v>-8165809</v>
          </cell>
          <cell r="AJ1620">
            <v>-8165809</v>
          </cell>
          <cell r="AN1620">
            <v>-8165809</v>
          </cell>
          <cell r="AR1620">
            <v>-8165809</v>
          </cell>
          <cell r="AV1620">
            <v>-8165809</v>
          </cell>
          <cell r="AZ1620">
            <v>-8165809</v>
          </cell>
        </row>
        <row r="1621">
          <cell r="Q1621">
            <v>7497843</v>
          </cell>
          <cell r="S1621">
            <v>7638843</v>
          </cell>
          <cell r="U1621">
            <v>7722843</v>
          </cell>
          <cell r="V1621">
            <v>7749843</v>
          </cell>
          <cell r="W1621">
            <v>7789843</v>
          </cell>
          <cell r="Y1621">
            <v>7774843</v>
          </cell>
          <cell r="AA1621">
            <v>7752843</v>
          </cell>
          <cell r="AJ1621">
            <v>7106477.541666667</v>
          </cell>
          <cell r="AN1621">
            <v>7318628.208333333</v>
          </cell>
          <cell r="AR1621">
            <v>7540987.208333333</v>
          </cell>
          <cell r="AV1621">
            <v>7726253.333333333</v>
          </cell>
          <cell r="AZ1621">
            <v>7797327.666666667</v>
          </cell>
        </row>
        <row r="1622">
          <cell r="Q1622">
            <v>-802274.98</v>
          </cell>
          <cell r="S1622">
            <v>-755082.34</v>
          </cell>
          <cell r="U1622">
            <v>-707889.7</v>
          </cell>
          <cell r="V1622">
            <v>-684293.38</v>
          </cell>
          <cell r="W1622">
            <v>-660697.06000000006</v>
          </cell>
          <cell r="Y1622">
            <v>-613504.42000000004</v>
          </cell>
          <cell r="AA1622">
            <v>-566311.78</v>
          </cell>
          <cell r="AJ1622">
            <v>-1094283.8391666666</v>
          </cell>
          <cell r="AN1622">
            <v>-901657.94583333342</v>
          </cell>
          <cell r="AR1622">
            <v>-758152.35916666675</v>
          </cell>
          <cell r="AV1622">
            <v>-660697.06000000006</v>
          </cell>
          <cell r="AZ1622">
            <v>-548614.53583333327</v>
          </cell>
        </row>
        <row r="1623">
          <cell r="Q1623">
            <v>-161712.82999999999</v>
          </cell>
          <cell r="S1623">
            <v>-152200.31</v>
          </cell>
          <cell r="U1623">
            <v>-142687.79</v>
          </cell>
          <cell r="V1623">
            <v>-137931.53</v>
          </cell>
          <cell r="W1623">
            <v>-133175.26999999999</v>
          </cell>
          <cell r="Y1623">
            <v>-123662.75</v>
          </cell>
          <cell r="AA1623">
            <v>-114150.23</v>
          </cell>
          <cell r="AJ1623">
            <v>-219426.25583333333</v>
          </cell>
          <cell r="AN1623">
            <v>-181347.5891666667</v>
          </cell>
          <cell r="AR1623">
            <v>-152795.73583333334</v>
          </cell>
          <cell r="AV1623">
            <v>-133175.26999999999</v>
          </cell>
          <cell r="AZ1623">
            <v>-110583.03541666665</v>
          </cell>
        </row>
        <row r="1624">
          <cell r="Q1624">
            <v>-5851.43</v>
          </cell>
          <cell r="S1624">
            <v>-5507.23</v>
          </cell>
          <cell r="U1624">
            <v>-5163.03</v>
          </cell>
          <cell r="V1624">
            <v>-4990.93</v>
          </cell>
          <cell r="W1624">
            <v>-4818.83</v>
          </cell>
          <cell r="Y1624">
            <v>-4474.63</v>
          </cell>
          <cell r="AA1624">
            <v>-4130.43</v>
          </cell>
          <cell r="AJ1624">
            <v>-6181.288333333333</v>
          </cell>
          <cell r="AN1624">
            <v>-5951.8216666666667</v>
          </cell>
          <cell r="AR1624">
            <v>-5492.8883333333333</v>
          </cell>
          <cell r="AV1624">
            <v>-4818.829999999999</v>
          </cell>
          <cell r="AZ1624">
            <v>-4001.3537499999998</v>
          </cell>
        </row>
        <row r="1625">
          <cell r="Q1625">
            <v>-1245502.8600000001</v>
          </cell>
          <cell r="S1625">
            <v>-1240219.77</v>
          </cell>
          <cell r="U1625">
            <v>-1366269.66</v>
          </cell>
          <cell r="V1625">
            <v>-952259.06</v>
          </cell>
          <cell r="W1625">
            <v>-919422.54</v>
          </cell>
          <cell r="Y1625">
            <v>-853749.5</v>
          </cell>
          <cell r="AA1625">
            <v>-788076.46</v>
          </cell>
          <cell r="AJ1625">
            <v>-1226867.93875</v>
          </cell>
          <cell r="AN1625">
            <v>-1266022.7133333334</v>
          </cell>
          <cell r="AR1625">
            <v>-1181303.1916666667</v>
          </cell>
          <cell r="AV1625">
            <v>-1014938.42</v>
          </cell>
          <cell r="AZ1625">
            <v>-779331.32416666672</v>
          </cell>
        </row>
        <row r="1626">
          <cell r="V1626">
            <v>-819929.85</v>
          </cell>
          <cell r="W1626">
            <v>-830133.46</v>
          </cell>
          <cell r="Y1626">
            <v>-1170132.25</v>
          </cell>
          <cell r="AA1626">
            <v>-1524478.16</v>
          </cell>
          <cell r="AJ1626">
            <v>0</v>
          </cell>
          <cell r="AN1626">
            <v>0</v>
          </cell>
          <cell r="AR1626">
            <v>-283769.87541666668</v>
          </cell>
          <cell r="AV1626">
            <v>-748208.6958333333</v>
          </cell>
          <cell r="AZ1626">
            <v>-1198280.9099999999</v>
          </cell>
        </row>
        <row r="1627">
          <cell r="V1627">
            <v>0</v>
          </cell>
          <cell r="W1627">
            <v>0</v>
          </cell>
          <cell r="Y1627">
            <v>0</v>
          </cell>
          <cell r="AA1627">
            <v>0</v>
          </cell>
          <cell r="AJ1627">
            <v>0</v>
          </cell>
          <cell r="AN1627">
            <v>0</v>
          </cell>
          <cell r="AR1627">
            <v>0</v>
          </cell>
          <cell r="AV1627">
            <v>0</v>
          </cell>
          <cell r="AZ1627">
            <v>0</v>
          </cell>
        </row>
        <row r="1628">
          <cell r="AV1628">
            <v>0</v>
          </cell>
          <cell r="AZ1628">
            <v>-880.73291666666671</v>
          </cell>
        </row>
        <row r="1629">
          <cell r="AV1629">
            <v>0</v>
          </cell>
          <cell r="AZ1629">
            <v>-24925.417083333334</v>
          </cell>
        </row>
        <row r="1630">
          <cell r="AV1630">
            <v>0</v>
          </cell>
          <cell r="AZ1630">
            <v>-243130.92041666666</v>
          </cell>
        </row>
        <row r="1631">
          <cell r="Q1631">
            <v>-252077.73</v>
          </cell>
          <cell r="S1631">
            <v>-231911.51</v>
          </cell>
          <cell r="U1631">
            <v>-211745.29</v>
          </cell>
          <cell r="V1631">
            <v>-201662.18</v>
          </cell>
          <cell r="W1631">
            <v>-191579.07</v>
          </cell>
          <cell r="Y1631">
            <v>-171412.85</v>
          </cell>
          <cell r="AA1631">
            <v>-151246.63</v>
          </cell>
          <cell r="AJ1631">
            <v>-312576.32291666669</v>
          </cell>
          <cell r="AN1631">
            <v>-272243.90625000006</v>
          </cell>
          <cell r="AR1631">
            <v>-231911.48958333334</v>
          </cell>
          <cell r="AV1631">
            <v>-191579.06999999998</v>
          </cell>
          <cell r="AZ1631">
            <v>-151246.63</v>
          </cell>
        </row>
        <row r="1632">
          <cell r="Q1632">
            <v>0</v>
          </cell>
          <cell r="S1632">
            <v>0</v>
          </cell>
          <cell r="U1632">
            <v>0</v>
          </cell>
          <cell r="V1632">
            <v>0</v>
          </cell>
          <cell r="W1632">
            <v>0</v>
          </cell>
          <cell r="Y1632">
            <v>0</v>
          </cell>
          <cell r="AA1632">
            <v>0</v>
          </cell>
          <cell r="AJ1632">
            <v>0</v>
          </cell>
          <cell r="AN1632">
            <v>0</v>
          </cell>
          <cell r="AR1632">
            <v>0</v>
          </cell>
          <cell r="AV1632">
            <v>0</v>
          </cell>
          <cell r="AZ1632">
            <v>0</v>
          </cell>
        </row>
        <row r="1633">
          <cell r="Q1633">
            <v>0</v>
          </cell>
          <cell r="S1633">
            <v>0</v>
          </cell>
          <cell r="U1633">
            <v>0</v>
          </cell>
          <cell r="V1633">
            <v>0</v>
          </cell>
          <cell r="W1633">
            <v>0</v>
          </cell>
          <cell r="Y1633">
            <v>0</v>
          </cell>
          <cell r="AA1633">
            <v>0</v>
          </cell>
          <cell r="AJ1633">
            <v>0</v>
          </cell>
          <cell r="AN1633">
            <v>0</v>
          </cell>
          <cell r="AR1633">
            <v>0</v>
          </cell>
          <cell r="AV1633">
            <v>0</v>
          </cell>
          <cell r="AZ1633">
            <v>0</v>
          </cell>
        </row>
        <row r="1634">
          <cell r="Q1634">
            <v>-225923376.66999999</v>
          </cell>
          <cell r="S1634">
            <v>-232441376.66999999</v>
          </cell>
          <cell r="U1634">
            <v>-241815376.66999999</v>
          </cell>
          <cell r="V1634">
            <v>-245795376.66999999</v>
          </cell>
          <cell r="W1634">
            <v>-250495376.66999999</v>
          </cell>
          <cell r="Y1634">
            <v>-258707376.66999999</v>
          </cell>
          <cell r="AA1634">
            <v>-284209376.67000002</v>
          </cell>
          <cell r="AJ1634">
            <v>-207837310.37833336</v>
          </cell>
          <cell r="AN1634">
            <v>-221234700.37833336</v>
          </cell>
          <cell r="AR1634">
            <v>-234723882.04500005</v>
          </cell>
          <cell r="AV1634">
            <v>-254824698.50333336</v>
          </cell>
          <cell r="AZ1634">
            <v>-273380273.17000002</v>
          </cell>
        </row>
        <row r="1635">
          <cell r="Q1635">
            <v>-17674062</v>
          </cell>
          <cell r="S1635">
            <v>-17433062</v>
          </cell>
          <cell r="U1635">
            <v>-19715062</v>
          </cell>
          <cell r="V1635">
            <v>-20244062</v>
          </cell>
          <cell r="W1635">
            <v>-20770062</v>
          </cell>
          <cell r="Y1635">
            <v>-21803062</v>
          </cell>
          <cell r="AA1635">
            <v>-17119324</v>
          </cell>
          <cell r="AJ1635">
            <v>5348064.791666667</v>
          </cell>
          <cell r="AN1635">
            <v>-3094959.2083333335</v>
          </cell>
          <cell r="AR1635">
            <v>-12672024.875</v>
          </cell>
          <cell r="AV1635">
            <v>-18651692.541666668</v>
          </cell>
          <cell r="AZ1635">
            <v>-16263796.208333334</v>
          </cell>
        </row>
        <row r="1636">
          <cell r="Q1636">
            <v>0</v>
          </cell>
          <cell r="S1636">
            <v>0</v>
          </cell>
          <cell r="U1636">
            <v>0</v>
          </cell>
          <cell r="V1636">
            <v>0</v>
          </cell>
          <cell r="W1636">
            <v>0</v>
          </cell>
          <cell r="Y1636">
            <v>0</v>
          </cell>
          <cell r="AA1636">
            <v>0</v>
          </cell>
          <cell r="AJ1636">
            <v>-2571208.3333333335</v>
          </cell>
          <cell r="AN1636">
            <v>-1676875</v>
          </cell>
          <cell r="AR1636">
            <v>-782541.66666666663</v>
          </cell>
          <cell r="AV1636">
            <v>0</v>
          </cell>
          <cell r="AZ1636">
            <v>0</v>
          </cell>
        </row>
        <row r="1637">
          <cell r="Q1637">
            <v>0</v>
          </cell>
          <cell r="S1637">
            <v>0</v>
          </cell>
          <cell r="U1637">
            <v>0</v>
          </cell>
          <cell r="V1637">
            <v>0</v>
          </cell>
          <cell r="W1637">
            <v>0</v>
          </cell>
          <cell r="Y1637">
            <v>0</v>
          </cell>
          <cell r="AA1637">
            <v>0</v>
          </cell>
          <cell r="AJ1637">
            <v>-322613.33333333331</v>
          </cell>
          <cell r="AN1637">
            <v>-210400</v>
          </cell>
          <cell r="AR1637">
            <v>-98186.666666666672</v>
          </cell>
          <cell r="AV1637">
            <v>0</v>
          </cell>
          <cell r="AZ1637">
            <v>0</v>
          </cell>
        </row>
        <row r="1638">
          <cell r="Q1638">
            <v>-562517040</v>
          </cell>
          <cell r="S1638">
            <v>-574468040</v>
          </cell>
          <cell r="U1638">
            <v>-599703040</v>
          </cell>
          <cell r="V1638">
            <v>-608888040</v>
          </cell>
          <cell r="W1638">
            <v>-618047040</v>
          </cell>
          <cell r="Y1638">
            <v>-636557040</v>
          </cell>
          <cell r="AA1638">
            <v>-715888218.41999996</v>
          </cell>
          <cell r="AJ1638">
            <v>-526735779.16666669</v>
          </cell>
          <cell r="AN1638">
            <v>-555405387.16666663</v>
          </cell>
          <cell r="AR1638">
            <v>-583946245.16666663</v>
          </cell>
          <cell r="AV1638">
            <v>-634515744.83083332</v>
          </cell>
          <cell r="AZ1638">
            <v>-686361855.47083342</v>
          </cell>
        </row>
        <row r="1639">
          <cell r="Q1639">
            <v>0</v>
          </cell>
          <cell r="S1639">
            <v>0</v>
          </cell>
          <cell r="U1639">
            <v>0</v>
          </cell>
          <cell r="V1639">
            <v>0</v>
          </cell>
          <cell r="W1639">
            <v>0</v>
          </cell>
          <cell r="Y1639">
            <v>0</v>
          </cell>
          <cell r="AA1639">
            <v>0</v>
          </cell>
          <cell r="AJ1639">
            <v>-708208.33333333337</v>
          </cell>
          <cell r="AN1639">
            <v>-461875</v>
          </cell>
          <cell r="AR1639">
            <v>-215541.66666666666</v>
          </cell>
          <cell r="AV1639">
            <v>0</v>
          </cell>
          <cell r="AZ1639">
            <v>0</v>
          </cell>
        </row>
        <row r="1640">
          <cell r="Q1640">
            <v>0</v>
          </cell>
          <cell r="S1640">
            <v>0</v>
          </cell>
          <cell r="U1640">
            <v>0</v>
          </cell>
          <cell r="V1640">
            <v>0</v>
          </cell>
          <cell r="W1640">
            <v>0</v>
          </cell>
          <cell r="Y1640">
            <v>0</v>
          </cell>
          <cell r="AA1640">
            <v>0</v>
          </cell>
          <cell r="AJ1640">
            <v>0</v>
          </cell>
          <cell r="AN1640">
            <v>0</v>
          </cell>
          <cell r="AR1640">
            <v>0</v>
          </cell>
          <cell r="AV1640">
            <v>0</v>
          </cell>
          <cell r="AZ1640">
            <v>0</v>
          </cell>
        </row>
        <row r="1641">
          <cell r="Q1641">
            <v>0</v>
          </cell>
          <cell r="S1641">
            <v>0</v>
          </cell>
          <cell r="U1641">
            <v>0</v>
          </cell>
          <cell r="V1641">
            <v>0</v>
          </cell>
          <cell r="W1641">
            <v>0</v>
          </cell>
          <cell r="Y1641">
            <v>0</v>
          </cell>
          <cell r="AA1641">
            <v>0</v>
          </cell>
          <cell r="AJ1641">
            <v>0</v>
          </cell>
          <cell r="AN1641">
            <v>0</v>
          </cell>
          <cell r="AR1641">
            <v>0</v>
          </cell>
          <cell r="AV1641">
            <v>0</v>
          </cell>
          <cell r="AZ1641">
            <v>0</v>
          </cell>
        </row>
        <row r="1642">
          <cell r="Q1642">
            <v>0</v>
          </cell>
          <cell r="S1642">
            <v>0</v>
          </cell>
          <cell r="U1642">
            <v>0</v>
          </cell>
          <cell r="V1642">
            <v>0</v>
          </cell>
          <cell r="W1642">
            <v>0</v>
          </cell>
          <cell r="Y1642">
            <v>0</v>
          </cell>
          <cell r="AA1642">
            <v>0</v>
          </cell>
          <cell r="AJ1642">
            <v>0</v>
          </cell>
          <cell r="AN1642">
            <v>0</v>
          </cell>
          <cell r="AR1642">
            <v>0</v>
          </cell>
          <cell r="AV1642">
            <v>0</v>
          </cell>
          <cell r="AZ1642">
            <v>0</v>
          </cell>
        </row>
        <row r="1643">
          <cell r="Q1643">
            <v>0</v>
          </cell>
          <cell r="S1643">
            <v>0</v>
          </cell>
          <cell r="U1643">
            <v>0</v>
          </cell>
          <cell r="V1643">
            <v>0</v>
          </cell>
          <cell r="W1643">
            <v>0</v>
          </cell>
          <cell r="Y1643">
            <v>0</v>
          </cell>
          <cell r="AA1643">
            <v>0</v>
          </cell>
          <cell r="AJ1643">
            <v>0</v>
          </cell>
          <cell r="AN1643">
            <v>0</v>
          </cell>
          <cell r="AR1643">
            <v>0</v>
          </cell>
          <cell r="AV1643">
            <v>0</v>
          </cell>
          <cell r="AZ1643">
            <v>0</v>
          </cell>
        </row>
        <row r="1644">
          <cell r="Q1644">
            <v>-25900290</v>
          </cell>
          <cell r="S1644">
            <v>-25900290</v>
          </cell>
          <cell r="U1644">
            <v>-25900290</v>
          </cell>
          <cell r="V1644">
            <v>-25900290</v>
          </cell>
          <cell r="W1644">
            <v>-25900290</v>
          </cell>
          <cell r="Y1644">
            <v>-25900290</v>
          </cell>
          <cell r="AA1644">
            <v>0</v>
          </cell>
          <cell r="AJ1644">
            <v>-24424184.458333332</v>
          </cell>
          <cell r="AN1644">
            <v>-25152609.125</v>
          </cell>
          <cell r="AR1644">
            <v>-25482992.125</v>
          </cell>
          <cell r="AV1644">
            <v>-18346038.75</v>
          </cell>
          <cell r="AZ1644">
            <v>-9712608.75</v>
          </cell>
        </row>
        <row r="1645">
          <cell r="Q1645">
            <v>-4155604</v>
          </cell>
          <cell r="S1645">
            <v>-4155604</v>
          </cell>
          <cell r="U1645">
            <v>-4155604</v>
          </cell>
          <cell r="V1645">
            <v>-4155604</v>
          </cell>
          <cell r="W1645">
            <v>-4155604</v>
          </cell>
          <cell r="Y1645">
            <v>-4155604</v>
          </cell>
          <cell r="AA1645">
            <v>-4155604</v>
          </cell>
          <cell r="AJ1645">
            <v>-4155604</v>
          </cell>
          <cell r="AN1645">
            <v>-4155604</v>
          </cell>
          <cell r="AR1645">
            <v>-4155604</v>
          </cell>
          <cell r="AV1645">
            <v>-4155604</v>
          </cell>
          <cell r="AZ1645">
            <v>-3982453.8333333335</v>
          </cell>
        </row>
        <row r="1646">
          <cell r="Q1646">
            <v>-65695820</v>
          </cell>
          <cell r="S1646">
            <v>-75695708.079999998</v>
          </cell>
          <cell r="U1646">
            <v>-63311188.689999998</v>
          </cell>
          <cell r="V1646">
            <v>-50040846.079999998</v>
          </cell>
          <cell r="W1646">
            <v>-46912634.079999998</v>
          </cell>
          <cell r="Y1646">
            <v>-53204812.5</v>
          </cell>
          <cell r="AA1646">
            <v>-36554730.109999999</v>
          </cell>
          <cell r="AJ1646">
            <v>-14981518.458333334</v>
          </cell>
          <cell r="AN1646">
            <v>-37796075.551250003</v>
          </cell>
          <cell r="AR1646">
            <v>-54573698.561666667</v>
          </cell>
          <cell r="AV1646">
            <v>-51830974.967916667</v>
          </cell>
          <cell r="AZ1646">
            <v>-29556057.844583333</v>
          </cell>
        </row>
        <row r="1647">
          <cell r="Q1647">
            <v>0</v>
          </cell>
          <cell r="S1647">
            <v>0</v>
          </cell>
          <cell r="U1647">
            <v>0</v>
          </cell>
          <cell r="V1647">
            <v>0</v>
          </cell>
          <cell r="W1647">
            <v>0</v>
          </cell>
          <cell r="Y1647">
            <v>0</v>
          </cell>
          <cell r="AA1647">
            <v>-30000</v>
          </cell>
          <cell r="AJ1647">
            <v>-70166.666666666672</v>
          </cell>
          <cell r="AN1647">
            <v>0</v>
          </cell>
          <cell r="AR1647">
            <v>0</v>
          </cell>
          <cell r="AV1647">
            <v>-10000</v>
          </cell>
          <cell r="AZ1647">
            <v>-30000</v>
          </cell>
        </row>
        <row r="1648">
          <cell r="Q1648">
            <v>0</v>
          </cell>
          <cell r="S1648">
            <v>0</v>
          </cell>
          <cell r="U1648">
            <v>0</v>
          </cell>
          <cell r="V1648">
            <v>0</v>
          </cell>
          <cell r="W1648">
            <v>0</v>
          </cell>
          <cell r="Y1648">
            <v>0</v>
          </cell>
          <cell r="AA1648">
            <v>0</v>
          </cell>
          <cell r="AJ1648">
            <v>0</v>
          </cell>
          <cell r="AN1648">
            <v>0</v>
          </cell>
          <cell r="AR1648">
            <v>0</v>
          </cell>
          <cell r="AV1648">
            <v>0</v>
          </cell>
          <cell r="AZ1648">
            <v>0</v>
          </cell>
        </row>
        <row r="1649">
          <cell r="Q1649">
            <v>0</v>
          </cell>
          <cell r="S1649">
            <v>0</v>
          </cell>
          <cell r="U1649">
            <v>0</v>
          </cell>
          <cell r="V1649">
            <v>0</v>
          </cell>
          <cell r="W1649">
            <v>0</v>
          </cell>
          <cell r="Y1649">
            <v>0</v>
          </cell>
          <cell r="AA1649">
            <v>0</v>
          </cell>
          <cell r="AJ1649">
            <v>0</v>
          </cell>
          <cell r="AN1649">
            <v>0</v>
          </cell>
          <cell r="AR1649">
            <v>0</v>
          </cell>
          <cell r="AV1649">
            <v>0</v>
          </cell>
          <cell r="AZ1649">
            <v>0</v>
          </cell>
        </row>
        <row r="1650">
          <cell r="Q1650">
            <v>0</v>
          </cell>
          <cell r="S1650">
            <v>0</v>
          </cell>
          <cell r="U1650">
            <v>0</v>
          </cell>
          <cell r="V1650">
            <v>0</v>
          </cell>
          <cell r="W1650">
            <v>0</v>
          </cell>
          <cell r="Y1650">
            <v>0</v>
          </cell>
          <cell r="AA1650">
            <v>0</v>
          </cell>
          <cell r="AJ1650">
            <v>-19971312.083333332</v>
          </cell>
          <cell r="AN1650">
            <v>-13024768.75</v>
          </cell>
          <cell r="AR1650">
            <v>-6078225.416666667</v>
          </cell>
          <cell r="AV1650">
            <v>0</v>
          </cell>
          <cell r="AZ1650">
            <v>0</v>
          </cell>
        </row>
        <row r="1651">
          <cell r="Q1651">
            <v>-145379</v>
          </cell>
          <cell r="S1651">
            <v>-183846.74</v>
          </cell>
          <cell r="U1651">
            <v>-551394.42000000004</v>
          </cell>
          <cell r="V1651">
            <v>-495204.95</v>
          </cell>
          <cell r="W1651">
            <v>-357899.51</v>
          </cell>
          <cell r="Y1651">
            <v>-476689.54</v>
          </cell>
          <cell r="AA1651">
            <v>-744413.88</v>
          </cell>
          <cell r="AJ1651">
            <v>-15685506.833333334</v>
          </cell>
          <cell r="AN1651">
            <v>-12517527.558333335</v>
          </cell>
          <cell r="AR1651">
            <v>-2054490.425</v>
          </cell>
          <cell r="AV1651">
            <v>-552155.8041666667</v>
          </cell>
          <cell r="AZ1651">
            <v>-791996.74083333334</v>
          </cell>
        </row>
        <row r="1652">
          <cell r="Q1652">
            <v>0</v>
          </cell>
          <cell r="S1652">
            <v>0</v>
          </cell>
          <cell r="U1652">
            <v>0</v>
          </cell>
          <cell r="V1652">
            <v>0</v>
          </cell>
          <cell r="W1652">
            <v>0</v>
          </cell>
          <cell r="Y1652">
            <v>0</v>
          </cell>
          <cell r="AA1652">
            <v>0</v>
          </cell>
          <cell r="AJ1652">
            <v>0</v>
          </cell>
          <cell r="AN1652">
            <v>0</v>
          </cell>
          <cell r="AR1652">
            <v>0</v>
          </cell>
          <cell r="AV1652">
            <v>0</v>
          </cell>
          <cell r="AZ1652">
            <v>0</v>
          </cell>
        </row>
        <row r="1653">
          <cell r="Q1653">
            <v>-46058869</v>
          </cell>
          <cell r="S1653">
            <v>-45977869</v>
          </cell>
          <cell r="U1653">
            <v>-45895869</v>
          </cell>
          <cell r="V1653">
            <v>-44928869</v>
          </cell>
          <cell r="W1653">
            <v>-47098869</v>
          </cell>
          <cell r="Y1653">
            <v>-49320869</v>
          </cell>
          <cell r="AA1653">
            <v>-56152607</v>
          </cell>
          <cell r="AJ1653">
            <v>-37530195.5</v>
          </cell>
          <cell r="AN1653">
            <v>-40546367.833333336</v>
          </cell>
          <cell r="AR1653">
            <v>-43880873.5</v>
          </cell>
          <cell r="AV1653">
            <v>-49476042.583333336</v>
          </cell>
          <cell r="AZ1653">
            <v>-53053580.25</v>
          </cell>
        </row>
        <row r="1654">
          <cell r="Q1654">
            <v>-187730</v>
          </cell>
          <cell r="S1654">
            <v>-303359.07</v>
          </cell>
          <cell r="U1654">
            <v>-417350.83</v>
          </cell>
          <cell r="V1654">
            <v>-1291557.27</v>
          </cell>
          <cell r="W1654">
            <v>-1137075.49</v>
          </cell>
          <cell r="Y1654">
            <v>-553801.24</v>
          </cell>
          <cell r="AA1654">
            <v>-1316105.46</v>
          </cell>
          <cell r="AJ1654">
            <v>-16529942.5</v>
          </cell>
          <cell r="AN1654">
            <v>-14287806.985416666</v>
          </cell>
          <cell r="AR1654">
            <v>-2747895.5150000001</v>
          </cell>
          <cell r="AV1654">
            <v>-815731.5045833335</v>
          </cell>
          <cell r="AZ1654">
            <v>-780478.70458333322</v>
          </cell>
        </row>
        <row r="1655">
          <cell r="Q1655">
            <v>0</v>
          </cell>
          <cell r="S1655">
            <v>0</v>
          </cell>
          <cell r="U1655">
            <v>0</v>
          </cell>
          <cell r="V1655">
            <v>0</v>
          </cell>
          <cell r="W1655">
            <v>0</v>
          </cell>
          <cell r="Y1655">
            <v>0</v>
          </cell>
          <cell r="AA1655">
            <v>0</v>
          </cell>
          <cell r="AJ1655">
            <v>0</v>
          </cell>
          <cell r="AN1655">
            <v>0</v>
          </cell>
          <cell r="AR1655">
            <v>0</v>
          </cell>
          <cell r="AV1655">
            <v>0</v>
          </cell>
          <cell r="AZ1655">
            <v>0</v>
          </cell>
        </row>
        <row r="1656">
          <cell r="Q1656">
            <v>-7713943</v>
          </cell>
          <cell r="S1656">
            <v>-7649943</v>
          </cell>
          <cell r="U1656">
            <v>-7585943</v>
          </cell>
          <cell r="V1656">
            <v>-7553943</v>
          </cell>
          <cell r="W1656">
            <v>-7521943</v>
          </cell>
          <cell r="Y1656">
            <v>-7457943</v>
          </cell>
          <cell r="AA1656">
            <v>-7393943</v>
          </cell>
          <cell r="AJ1656">
            <v>-7904984.666666667</v>
          </cell>
          <cell r="AN1656">
            <v>-7777318</v>
          </cell>
          <cell r="AR1656">
            <v>-7649651.333333333</v>
          </cell>
          <cell r="AV1656">
            <v>-7521984.666666667</v>
          </cell>
          <cell r="AZ1656">
            <v>-7394318</v>
          </cell>
        </row>
        <row r="1657">
          <cell r="Q1657">
            <v>295</v>
          </cell>
          <cell r="S1657">
            <v>295</v>
          </cell>
          <cell r="U1657">
            <v>0</v>
          </cell>
          <cell r="V1657">
            <v>0</v>
          </cell>
          <cell r="W1657">
            <v>0</v>
          </cell>
          <cell r="Y1657">
            <v>0</v>
          </cell>
          <cell r="AA1657">
            <v>0</v>
          </cell>
          <cell r="AJ1657">
            <v>21889.791666666668</v>
          </cell>
          <cell r="AN1657">
            <v>12421.625</v>
          </cell>
          <cell r="AR1657">
            <v>544.29166666666663</v>
          </cell>
          <cell r="AV1657">
            <v>61.458333333333336</v>
          </cell>
          <cell r="AZ1657">
            <v>0</v>
          </cell>
        </row>
        <row r="1658">
          <cell r="Q1658">
            <v>0</v>
          </cell>
          <cell r="S1658">
            <v>0</v>
          </cell>
          <cell r="U1658">
            <v>0</v>
          </cell>
          <cell r="V1658">
            <v>0</v>
          </cell>
          <cell r="W1658">
            <v>0</v>
          </cell>
          <cell r="Y1658">
            <v>0</v>
          </cell>
          <cell r="AA1658">
            <v>0</v>
          </cell>
          <cell r="AJ1658">
            <v>0</v>
          </cell>
          <cell r="AN1658">
            <v>0</v>
          </cell>
          <cell r="AR1658">
            <v>0</v>
          </cell>
          <cell r="AV1658">
            <v>0</v>
          </cell>
          <cell r="AZ1658">
            <v>0</v>
          </cell>
        </row>
        <row r="1659">
          <cell r="Q1659">
            <v>-248764</v>
          </cell>
          <cell r="S1659">
            <v>-248764</v>
          </cell>
          <cell r="U1659">
            <v>-248764</v>
          </cell>
          <cell r="V1659">
            <v>-248764</v>
          </cell>
          <cell r="W1659">
            <v>-248764</v>
          </cell>
          <cell r="Y1659">
            <v>-248764</v>
          </cell>
          <cell r="AA1659">
            <v>-248764</v>
          </cell>
          <cell r="AJ1659">
            <v>-248764</v>
          </cell>
          <cell r="AN1659">
            <v>-248764</v>
          </cell>
          <cell r="AR1659">
            <v>-248764</v>
          </cell>
          <cell r="AV1659">
            <v>-248764</v>
          </cell>
          <cell r="AZ1659">
            <v>-248764</v>
          </cell>
        </row>
        <row r="1660">
          <cell r="Q1660">
            <v>349</v>
          </cell>
          <cell r="S1660">
            <v>349</v>
          </cell>
          <cell r="U1660">
            <v>0</v>
          </cell>
          <cell r="V1660">
            <v>0</v>
          </cell>
          <cell r="W1660">
            <v>0</v>
          </cell>
          <cell r="Y1660">
            <v>0</v>
          </cell>
          <cell r="AA1660">
            <v>0</v>
          </cell>
          <cell r="AJ1660">
            <v>68832.791666666672</v>
          </cell>
          <cell r="AN1660">
            <v>63291.5</v>
          </cell>
          <cell r="AR1660">
            <v>9686.25</v>
          </cell>
          <cell r="AV1660">
            <v>72.708333333333329</v>
          </cell>
          <cell r="AZ1660">
            <v>0</v>
          </cell>
        </row>
        <row r="1661">
          <cell r="Q1661">
            <v>0</v>
          </cell>
          <cell r="S1661">
            <v>0</v>
          </cell>
          <cell r="U1661">
            <v>0</v>
          </cell>
          <cell r="V1661">
            <v>0</v>
          </cell>
          <cell r="W1661">
            <v>0</v>
          </cell>
          <cell r="Y1661">
            <v>0</v>
          </cell>
          <cell r="AA1661">
            <v>0</v>
          </cell>
          <cell r="AJ1661">
            <v>0</v>
          </cell>
          <cell r="AN1661">
            <v>0</v>
          </cell>
          <cell r="AR1661">
            <v>0</v>
          </cell>
          <cell r="AV1661">
            <v>0</v>
          </cell>
          <cell r="AZ1661">
            <v>0</v>
          </cell>
        </row>
        <row r="1662">
          <cell r="Q1662">
            <v>0</v>
          </cell>
          <cell r="S1662">
            <v>0</v>
          </cell>
          <cell r="U1662">
            <v>0</v>
          </cell>
          <cell r="V1662">
            <v>0</v>
          </cell>
          <cell r="W1662">
            <v>0</v>
          </cell>
          <cell r="Y1662">
            <v>0</v>
          </cell>
          <cell r="AA1662">
            <v>0</v>
          </cell>
          <cell r="AJ1662">
            <v>-17448.204999999998</v>
          </cell>
          <cell r="AN1662">
            <v>-17448.204999999998</v>
          </cell>
          <cell r="AR1662">
            <v>0</v>
          </cell>
          <cell r="AV1662">
            <v>0</v>
          </cell>
          <cell r="AZ1662">
            <v>0</v>
          </cell>
        </row>
        <row r="1663">
          <cell r="Q1663">
            <v>0</v>
          </cell>
          <cell r="S1663">
            <v>0</v>
          </cell>
          <cell r="U1663">
            <v>0</v>
          </cell>
          <cell r="V1663">
            <v>0</v>
          </cell>
          <cell r="W1663">
            <v>0</v>
          </cell>
          <cell r="Y1663">
            <v>0</v>
          </cell>
          <cell r="AA1663">
            <v>0</v>
          </cell>
          <cell r="AJ1663">
            <v>0</v>
          </cell>
          <cell r="AN1663">
            <v>0</v>
          </cell>
          <cell r="AR1663">
            <v>0</v>
          </cell>
          <cell r="AV1663">
            <v>0</v>
          </cell>
          <cell r="AZ1663">
            <v>0</v>
          </cell>
        </row>
        <row r="1664">
          <cell r="Q1664">
            <v>0</v>
          </cell>
          <cell r="S1664">
            <v>0</v>
          </cell>
          <cell r="U1664">
            <v>0</v>
          </cell>
          <cell r="V1664">
            <v>0</v>
          </cell>
          <cell r="W1664">
            <v>0</v>
          </cell>
          <cell r="Y1664">
            <v>0</v>
          </cell>
          <cell r="AA1664">
            <v>0</v>
          </cell>
          <cell r="AJ1664">
            <v>0</v>
          </cell>
          <cell r="AN1664">
            <v>0</v>
          </cell>
          <cell r="AR1664">
            <v>0</v>
          </cell>
          <cell r="AV1664">
            <v>0</v>
          </cell>
          <cell r="AZ1664">
            <v>0</v>
          </cell>
        </row>
        <row r="1665">
          <cell r="Q1665">
            <v>0</v>
          </cell>
          <cell r="S1665">
            <v>0</v>
          </cell>
          <cell r="U1665">
            <v>0</v>
          </cell>
          <cell r="V1665">
            <v>0</v>
          </cell>
          <cell r="W1665">
            <v>0</v>
          </cell>
          <cell r="Y1665">
            <v>0</v>
          </cell>
          <cell r="AA1665">
            <v>0</v>
          </cell>
          <cell r="AJ1665">
            <v>0</v>
          </cell>
          <cell r="AN1665">
            <v>0</v>
          </cell>
          <cell r="AR1665">
            <v>0</v>
          </cell>
          <cell r="AV1665">
            <v>0</v>
          </cell>
          <cell r="AZ1665">
            <v>0</v>
          </cell>
        </row>
        <row r="1666">
          <cell r="Q1666">
            <v>0</v>
          </cell>
          <cell r="S1666">
            <v>0</v>
          </cell>
          <cell r="U1666">
            <v>0</v>
          </cell>
          <cell r="V1666">
            <v>0</v>
          </cell>
          <cell r="W1666">
            <v>0</v>
          </cell>
          <cell r="Y1666">
            <v>0</v>
          </cell>
          <cell r="AA1666">
            <v>0</v>
          </cell>
          <cell r="AJ1666">
            <v>0</v>
          </cell>
          <cell r="AN1666">
            <v>0</v>
          </cell>
          <cell r="AR1666">
            <v>0</v>
          </cell>
          <cell r="AV1666">
            <v>0</v>
          </cell>
          <cell r="AZ1666">
            <v>0</v>
          </cell>
        </row>
        <row r="1667">
          <cell r="Q1667">
            <v>0</v>
          </cell>
          <cell r="S1667">
            <v>0</v>
          </cell>
          <cell r="U1667">
            <v>0</v>
          </cell>
          <cell r="V1667">
            <v>0</v>
          </cell>
          <cell r="W1667">
            <v>0</v>
          </cell>
          <cell r="Y1667">
            <v>0</v>
          </cell>
          <cell r="AA1667">
            <v>0</v>
          </cell>
          <cell r="AJ1667">
            <v>0</v>
          </cell>
          <cell r="AN1667">
            <v>0</v>
          </cell>
          <cell r="AR1667">
            <v>0</v>
          </cell>
          <cell r="AV1667">
            <v>0</v>
          </cell>
          <cell r="AZ1667">
            <v>0</v>
          </cell>
        </row>
        <row r="1668">
          <cell r="Q1668">
            <v>0</v>
          </cell>
          <cell r="S1668">
            <v>0</v>
          </cell>
          <cell r="U1668">
            <v>0</v>
          </cell>
          <cell r="V1668">
            <v>0</v>
          </cell>
          <cell r="W1668">
            <v>0</v>
          </cell>
          <cell r="Y1668">
            <v>0</v>
          </cell>
          <cell r="AA1668">
            <v>0</v>
          </cell>
          <cell r="AJ1668">
            <v>0</v>
          </cell>
          <cell r="AN1668">
            <v>0</v>
          </cell>
          <cell r="AR1668">
            <v>0</v>
          </cell>
          <cell r="AV1668">
            <v>0</v>
          </cell>
          <cell r="AZ1668">
            <v>0</v>
          </cell>
        </row>
        <row r="1669">
          <cell r="Q1669">
            <v>0</v>
          </cell>
          <cell r="S1669">
            <v>0</v>
          </cell>
          <cell r="U1669">
            <v>0</v>
          </cell>
          <cell r="V1669">
            <v>0</v>
          </cell>
          <cell r="W1669">
            <v>0</v>
          </cell>
          <cell r="Y1669">
            <v>0</v>
          </cell>
          <cell r="AA1669">
            <v>0</v>
          </cell>
          <cell r="AJ1669">
            <v>0</v>
          </cell>
          <cell r="AN1669">
            <v>0</v>
          </cell>
          <cell r="AR1669">
            <v>0</v>
          </cell>
          <cell r="AV1669">
            <v>0</v>
          </cell>
          <cell r="AZ1669">
            <v>0</v>
          </cell>
        </row>
        <row r="1670">
          <cell r="Q1670">
            <v>0</v>
          </cell>
          <cell r="S1670">
            <v>0</v>
          </cell>
          <cell r="U1670">
            <v>0</v>
          </cell>
          <cell r="V1670">
            <v>0</v>
          </cell>
          <cell r="W1670">
            <v>0</v>
          </cell>
          <cell r="Y1670">
            <v>0</v>
          </cell>
          <cell r="AA1670">
            <v>0</v>
          </cell>
          <cell r="AJ1670">
            <v>0</v>
          </cell>
          <cell r="AN1670">
            <v>0</v>
          </cell>
          <cell r="AR1670">
            <v>0</v>
          </cell>
          <cell r="AV1670">
            <v>0</v>
          </cell>
          <cell r="AZ1670">
            <v>0</v>
          </cell>
        </row>
        <row r="1671">
          <cell r="Q1671">
            <v>0</v>
          </cell>
          <cell r="S1671">
            <v>0</v>
          </cell>
          <cell r="U1671">
            <v>0</v>
          </cell>
          <cell r="V1671">
            <v>0</v>
          </cell>
          <cell r="W1671">
            <v>0</v>
          </cell>
          <cell r="Y1671">
            <v>0</v>
          </cell>
          <cell r="AA1671">
            <v>0</v>
          </cell>
          <cell r="AJ1671">
            <v>0</v>
          </cell>
          <cell r="AN1671">
            <v>0</v>
          </cell>
          <cell r="AR1671">
            <v>0</v>
          </cell>
          <cell r="AV1671">
            <v>0</v>
          </cell>
          <cell r="AZ1671">
            <v>0</v>
          </cell>
        </row>
        <row r="1672">
          <cell r="Q1672">
            <v>-5331275</v>
          </cell>
          <cell r="S1672">
            <v>-7023226.1900000004</v>
          </cell>
          <cell r="U1672">
            <v>-5367153.71</v>
          </cell>
          <cell r="V1672">
            <v>-4979877.13</v>
          </cell>
          <cell r="W1672">
            <v>-4459855.1399999997</v>
          </cell>
          <cell r="Y1672">
            <v>-3884235.47</v>
          </cell>
          <cell r="AA1672">
            <v>-3608498.53</v>
          </cell>
          <cell r="AJ1672">
            <v>-17227517.458333332</v>
          </cell>
          <cell r="AN1672">
            <v>-17043051.713750001</v>
          </cell>
          <cell r="AR1672">
            <v>-6994854.3954166668</v>
          </cell>
          <cell r="AV1672">
            <v>-5006221.6362499995</v>
          </cell>
          <cell r="AZ1672">
            <v>-4048126.0479166671</v>
          </cell>
        </row>
        <row r="1673">
          <cell r="Q1673">
            <v>0</v>
          </cell>
          <cell r="S1673">
            <v>0</v>
          </cell>
          <cell r="U1673">
            <v>0</v>
          </cell>
          <cell r="V1673">
            <v>0</v>
          </cell>
          <cell r="W1673">
            <v>0</v>
          </cell>
          <cell r="Y1673">
            <v>0</v>
          </cell>
          <cell r="AA1673">
            <v>0</v>
          </cell>
          <cell r="AJ1673">
            <v>0</v>
          </cell>
          <cell r="AN1673">
            <v>0</v>
          </cell>
          <cell r="AR1673">
            <v>0</v>
          </cell>
          <cell r="AV1673">
            <v>0</v>
          </cell>
          <cell r="AZ1673">
            <v>0</v>
          </cell>
        </row>
        <row r="1674">
          <cell r="Q1674">
            <v>-2165925</v>
          </cell>
          <cell r="S1674">
            <v>-3021165.15</v>
          </cell>
          <cell r="U1674">
            <v>-2876766.36</v>
          </cell>
          <cell r="V1674">
            <v>-3069104.86</v>
          </cell>
          <cell r="W1674">
            <v>-2530542.2799999998</v>
          </cell>
          <cell r="Y1674">
            <v>-1291171.6000000001</v>
          </cell>
          <cell r="AA1674">
            <v>-1837830.67</v>
          </cell>
          <cell r="AJ1674">
            <v>-6945527.875</v>
          </cell>
          <cell r="AN1674">
            <v>-6898498.9450000003</v>
          </cell>
          <cell r="AR1674">
            <v>-3004875.7116666674</v>
          </cell>
          <cell r="AV1674">
            <v>-2453611.6137500005</v>
          </cell>
          <cell r="AZ1674">
            <v>-1663008.1616666664</v>
          </cell>
        </row>
        <row r="1675">
          <cell r="Q1675">
            <v>0</v>
          </cell>
          <cell r="S1675">
            <v>0</v>
          </cell>
          <cell r="U1675">
            <v>0</v>
          </cell>
          <cell r="V1675">
            <v>0</v>
          </cell>
          <cell r="W1675">
            <v>0</v>
          </cell>
          <cell r="Y1675">
            <v>0</v>
          </cell>
          <cell r="AA1675">
            <v>0</v>
          </cell>
          <cell r="AJ1675">
            <v>-1317708.3333333333</v>
          </cell>
          <cell r="AN1675">
            <v>-859375</v>
          </cell>
          <cell r="AR1675">
            <v>-401041.66666666669</v>
          </cell>
          <cell r="AV1675">
            <v>0</v>
          </cell>
          <cell r="AZ1675">
            <v>0</v>
          </cell>
        </row>
        <row r="1676">
          <cell r="Q1676">
            <v>9916</v>
          </cell>
          <cell r="S1676">
            <v>9916</v>
          </cell>
          <cell r="U1676">
            <v>0</v>
          </cell>
          <cell r="V1676">
            <v>0</v>
          </cell>
          <cell r="W1676">
            <v>0</v>
          </cell>
          <cell r="Y1676">
            <v>0</v>
          </cell>
          <cell r="AA1676">
            <v>0</v>
          </cell>
          <cell r="AJ1676">
            <v>19005.666666666668</v>
          </cell>
          <cell r="AN1676">
            <v>13199.75</v>
          </cell>
          <cell r="AR1676">
            <v>2956.9583333333335</v>
          </cell>
          <cell r="AV1676">
            <v>2065.8333333333335</v>
          </cell>
          <cell r="AZ1676">
            <v>0</v>
          </cell>
        </row>
        <row r="1677">
          <cell r="Q1677">
            <v>0</v>
          </cell>
          <cell r="S1677">
            <v>0</v>
          </cell>
          <cell r="U1677">
            <v>0</v>
          </cell>
          <cell r="V1677">
            <v>0</v>
          </cell>
          <cell r="W1677">
            <v>0</v>
          </cell>
          <cell r="Y1677">
            <v>0</v>
          </cell>
          <cell r="AA1677">
            <v>0</v>
          </cell>
          <cell r="AJ1677">
            <v>0</v>
          </cell>
          <cell r="AN1677">
            <v>0</v>
          </cell>
          <cell r="AR1677">
            <v>0</v>
          </cell>
          <cell r="AV1677">
            <v>0</v>
          </cell>
          <cell r="AZ1677">
            <v>0</v>
          </cell>
        </row>
        <row r="1678">
          <cell r="Q1678">
            <v>0</v>
          </cell>
          <cell r="S1678">
            <v>0</v>
          </cell>
          <cell r="U1678">
            <v>0</v>
          </cell>
          <cell r="V1678">
            <v>0</v>
          </cell>
          <cell r="W1678">
            <v>0</v>
          </cell>
          <cell r="Y1678">
            <v>0</v>
          </cell>
          <cell r="AA1678">
            <v>0</v>
          </cell>
          <cell r="AJ1678">
            <v>0</v>
          </cell>
          <cell r="AN1678">
            <v>0</v>
          </cell>
          <cell r="AR1678">
            <v>0</v>
          </cell>
          <cell r="AV1678">
            <v>0</v>
          </cell>
          <cell r="AZ1678">
            <v>0</v>
          </cell>
        </row>
        <row r="1679">
          <cell r="Q1679">
            <v>169525</v>
          </cell>
          <cell r="S1679">
            <v>169525</v>
          </cell>
          <cell r="U1679">
            <v>0</v>
          </cell>
          <cell r="V1679">
            <v>0</v>
          </cell>
          <cell r="W1679">
            <v>0</v>
          </cell>
          <cell r="Y1679">
            <v>0</v>
          </cell>
          <cell r="AA1679">
            <v>0</v>
          </cell>
          <cell r="AJ1679">
            <v>193528.04166666666</v>
          </cell>
          <cell r="AN1679">
            <v>228845.75</v>
          </cell>
          <cell r="AR1679">
            <v>232391.16666666666</v>
          </cell>
          <cell r="AV1679">
            <v>35317.708333333336</v>
          </cell>
          <cell r="AZ1679">
            <v>0</v>
          </cell>
        </row>
        <row r="1680">
          <cell r="Q1680">
            <v>0</v>
          </cell>
          <cell r="S1680">
            <v>0</v>
          </cell>
          <cell r="U1680">
            <v>0</v>
          </cell>
          <cell r="V1680">
            <v>0</v>
          </cell>
          <cell r="W1680">
            <v>0</v>
          </cell>
          <cell r="Y1680">
            <v>0</v>
          </cell>
          <cell r="AA1680">
            <v>0</v>
          </cell>
          <cell r="AJ1680">
            <v>-2482149.4583333335</v>
          </cell>
          <cell r="AN1680">
            <v>-1618793.125</v>
          </cell>
          <cell r="AR1680">
            <v>-755436.79166666663</v>
          </cell>
          <cell r="AV1680">
            <v>0</v>
          </cell>
          <cell r="AZ1680">
            <v>0</v>
          </cell>
        </row>
        <row r="1681">
          <cell r="Q1681">
            <v>4256</v>
          </cell>
          <cell r="S1681">
            <v>4256</v>
          </cell>
          <cell r="U1681">
            <v>0</v>
          </cell>
          <cell r="V1681">
            <v>0</v>
          </cell>
          <cell r="W1681">
            <v>0</v>
          </cell>
          <cell r="Y1681">
            <v>0</v>
          </cell>
          <cell r="AA1681">
            <v>0</v>
          </cell>
          <cell r="AJ1681">
            <v>9933.5833333333339</v>
          </cell>
          <cell r="AN1681">
            <v>8360.625</v>
          </cell>
          <cell r="AR1681">
            <v>1871.2083333333333</v>
          </cell>
          <cell r="AV1681">
            <v>886.66666666666663</v>
          </cell>
          <cell r="AZ1681">
            <v>0</v>
          </cell>
        </row>
        <row r="1682">
          <cell r="Q1682">
            <v>-35980000</v>
          </cell>
          <cell r="S1682">
            <v>-35516000</v>
          </cell>
          <cell r="U1682">
            <v>-34964000</v>
          </cell>
          <cell r="V1682">
            <v>-34524000</v>
          </cell>
          <cell r="W1682">
            <v>-34084000</v>
          </cell>
          <cell r="Y1682">
            <v>-33204000</v>
          </cell>
          <cell r="AA1682">
            <v>-32324000</v>
          </cell>
          <cell r="AJ1682">
            <v>-36670041.666666664</v>
          </cell>
          <cell r="AN1682">
            <v>-36080875</v>
          </cell>
          <cell r="AR1682">
            <v>-35302541.666666664</v>
          </cell>
          <cell r="AV1682">
            <v>-33970958.333333336</v>
          </cell>
          <cell r="AZ1682">
            <v>-32322458.333333332</v>
          </cell>
        </row>
        <row r="1683">
          <cell r="Q1683">
            <v>-991187</v>
          </cell>
          <cell r="S1683">
            <v>-905187</v>
          </cell>
          <cell r="U1683">
            <v>-819187</v>
          </cell>
          <cell r="V1683">
            <v>-776187</v>
          </cell>
          <cell r="W1683">
            <v>-733187</v>
          </cell>
          <cell r="Y1683">
            <v>-647187</v>
          </cell>
          <cell r="AA1683">
            <v>-561187</v>
          </cell>
          <cell r="AJ1683">
            <v>-4455853.666666667</v>
          </cell>
          <cell r="AN1683">
            <v>-1012687</v>
          </cell>
          <cell r="AR1683">
            <v>-898020.33333333337</v>
          </cell>
          <cell r="AV1683">
            <v>-732978.66666666663</v>
          </cell>
          <cell r="AZ1683">
            <v>-560228.66666666663</v>
          </cell>
        </row>
        <row r="1684">
          <cell r="AV1684">
            <v>0</v>
          </cell>
          <cell r="AZ1684">
            <v>-10368586.075000001</v>
          </cell>
        </row>
        <row r="1685">
          <cell r="Q1685">
            <v>0</v>
          </cell>
          <cell r="S1685">
            <v>0</v>
          </cell>
          <cell r="U1685">
            <v>0</v>
          </cell>
          <cell r="V1685">
            <v>0</v>
          </cell>
          <cell r="W1685">
            <v>0</v>
          </cell>
          <cell r="Y1685">
            <v>0</v>
          </cell>
          <cell r="AA1685">
            <v>0</v>
          </cell>
          <cell r="AJ1685">
            <v>-3239.5833333333335</v>
          </cell>
          <cell r="AN1685">
            <v>-1656.25</v>
          </cell>
          <cell r="AR1685">
            <v>-72.916666666666671</v>
          </cell>
          <cell r="AV1685">
            <v>0</v>
          </cell>
          <cell r="AZ1685">
            <v>0</v>
          </cell>
        </row>
        <row r="1686">
          <cell r="Q1686">
            <v>0</v>
          </cell>
          <cell r="S1686">
            <v>0</v>
          </cell>
          <cell r="U1686">
            <v>0</v>
          </cell>
          <cell r="V1686">
            <v>0</v>
          </cell>
          <cell r="W1686">
            <v>0</v>
          </cell>
          <cell r="Y1686">
            <v>0</v>
          </cell>
          <cell r="AA1686">
            <v>0</v>
          </cell>
          <cell r="AJ1686">
            <v>-958.33333333333337</v>
          </cell>
          <cell r="AN1686">
            <v>-625</v>
          </cell>
          <cell r="AR1686">
            <v>-291.66666666666669</v>
          </cell>
          <cell r="AV1686">
            <v>0</v>
          </cell>
          <cell r="AZ1686">
            <v>0</v>
          </cell>
        </row>
        <row r="1687">
          <cell r="Q1687">
            <v>0</v>
          </cell>
          <cell r="S1687">
            <v>0</v>
          </cell>
          <cell r="U1687">
            <v>0</v>
          </cell>
          <cell r="V1687">
            <v>0</v>
          </cell>
          <cell r="W1687">
            <v>0</v>
          </cell>
          <cell r="Y1687">
            <v>0</v>
          </cell>
          <cell r="AA1687">
            <v>0</v>
          </cell>
          <cell r="AJ1687">
            <v>0</v>
          </cell>
          <cell r="AN1687">
            <v>0</v>
          </cell>
          <cell r="AR1687">
            <v>0</v>
          </cell>
          <cell r="AV1687">
            <v>0</v>
          </cell>
          <cell r="AZ1687">
            <v>0</v>
          </cell>
        </row>
        <row r="1688">
          <cell r="Q1688">
            <v>0</v>
          </cell>
          <cell r="S1688">
            <v>0</v>
          </cell>
          <cell r="U1688">
            <v>0</v>
          </cell>
          <cell r="V1688">
            <v>0</v>
          </cell>
          <cell r="W1688">
            <v>0</v>
          </cell>
          <cell r="Y1688">
            <v>0</v>
          </cell>
          <cell r="AA1688">
            <v>0</v>
          </cell>
          <cell r="AJ1688">
            <v>0</v>
          </cell>
          <cell r="AN1688">
            <v>0</v>
          </cell>
          <cell r="AR1688">
            <v>0</v>
          </cell>
          <cell r="AV1688">
            <v>0</v>
          </cell>
          <cell r="AZ1688">
            <v>0</v>
          </cell>
        </row>
        <row r="1689">
          <cell r="Q1689">
            <v>-729674</v>
          </cell>
          <cell r="S1689">
            <v>-313674</v>
          </cell>
          <cell r="U1689">
            <v>0</v>
          </cell>
          <cell r="V1689">
            <v>0</v>
          </cell>
          <cell r="W1689">
            <v>0</v>
          </cell>
          <cell r="Y1689">
            <v>0</v>
          </cell>
          <cell r="AA1689">
            <v>0</v>
          </cell>
          <cell r="AJ1689">
            <v>-1469007.3333333333</v>
          </cell>
          <cell r="AN1689">
            <v>-967937.58333333337</v>
          </cell>
          <cell r="AR1689">
            <v>-471379.58333333331</v>
          </cell>
          <cell r="AV1689">
            <v>-108821.58333333333</v>
          </cell>
          <cell r="AZ1689">
            <v>0</v>
          </cell>
        </row>
        <row r="1690">
          <cell r="Q1690">
            <v>0</v>
          </cell>
          <cell r="S1690">
            <v>0</v>
          </cell>
          <cell r="U1690">
            <v>0</v>
          </cell>
          <cell r="V1690">
            <v>0</v>
          </cell>
          <cell r="W1690">
            <v>0</v>
          </cell>
          <cell r="Y1690">
            <v>0</v>
          </cell>
          <cell r="AA1690">
            <v>0</v>
          </cell>
          <cell r="AJ1690">
            <v>-6272.1958333333341</v>
          </cell>
          <cell r="AN1690">
            <v>-4090.5625</v>
          </cell>
          <cell r="AR1690">
            <v>-1908.9291666666666</v>
          </cell>
          <cell r="AV1690">
            <v>0</v>
          </cell>
          <cell r="AZ1690">
            <v>0</v>
          </cell>
        </row>
        <row r="1691">
          <cell r="Q1691">
            <v>-27910</v>
          </cell>
          <cell r="S1691">
            <v>-27910</v>
          </cell>
          <cell r="U1691">
            <v>-26641</v>
          </cell>
          <cell r="V1691">
            <v>-26641</v>
          </cell>
          <cell r="W1691">
            <v>-25372</v>
          </cell>
          <cell r="Y1691">
            <v>-25372</v>
          </cell>
          <cell r="AA1691">
            <v>-24104</v>
          </cell>
          <cell r="AJ1691">
            <v>-30871</v>
          </cell>
          <cell r="AN1691">
            <v>-29179</v>
          </cell>
          <cell r="AR1691">
            <v>-27487</v>
          </cell>
          <cell r="AV1691">
            <v>-25795.333333333332</v>
          </cell>
          <cell r="AZ1691">
            <v>-24104</v>
          </cell>
        </row>
        <row r="1692">
          <cell r="Q1692">
            <v>0</v>
          </cell>
          <cell r="S1692">
            <v>0</v>
          </cell>
          <cell r="U1692">
            <v>0</v>
          </cell>
          <cell r="V1692">
            <v>0</v>
          </cell>
          <cell r="W1692">
            <v>0</v>
          </cell>
          <cell r="Y1692">
            <v>0</v>
          </cell>
          <cell r="AA1692">
            <v>0</v>
          </cell>
          <cell r="AJ1692">
            <v>-4543908.75</v>
          </cell>
          <cell r="AN1692">
            <v>-2963418.75</v>
          </cell>
          <cell r="AR1692">
            <v>-1382928.75</v>
          </cell>
          <cell r="AV1692">
            <v>0</v>
          </cell>
          <cell r="AZ1692">
            <v>0</v>
          </cell>
        </row>
        <row r="1693">
          <cell r="Q1693">
            <v>-89053132</v>
          </cell>
          <cell r="S1693">
            <v>-89053132</v>
          </cell>
          <cell r="U1693">
            <v>-86078132</v>
          </cell>
          <cell r="V1693">
            <v>-86078132</v>
          </cell>
          <cell r="W1693">
            <v>-84678132</v>
          </cell>
          <cell r="Y1693">
            <v>-84678132</v>
          </cell>
          <cell r="AA1693">
            <v>-81655132</v>
          </cell>
          <cell r="AJ1693">
            <v>-91816619.625</v>
          </cell>
          <cell r="AN1693">
            <v>-89090732.625</v>
          </cell>
          <cell r="AR1693">
            <v>-87096720.625</v>
          </cell>
          <cell r="AV1693">
            <v>-85162757</v>
          </cell>
          <cell r="AZ1693">
            <v>-83419257</v>
          </cell>
        </row>
        <row r="1694">
          <cell r="Q1694">
            <v>-6363954</v>
          </cell>
          <cell r="S1694">
            <v>-6363954</v>
          </cell>
          <cell r="U1694">
            <v>-6123954</v>
          </cell>
          <cell r="V1694">
            <v>-6123954</v>
          </cell>
          <cell r="W1694">
            <v>-5883954</v>
          </cell>
          <cell r="Y1694">
            <v>-5883954</v>
          </cell>
          <cell r="AA1694">
            <v>-5643954</v>
          </cell>
          <cell r="AJ1694">
            <v>-7009378.583333333</v>
          </cell>
          <cell r="AN1694">
            <v>-6716785.25</v>
          </cell>
          <cell r="AR1694">
            <v>-6391691.916666667</v>
          </cell>
          <cell r="AV1694">
            <v>-5952579</v>
          </cell>
          <cell r="AZ1694">
            <v>-5550329</v>
          </cell>
        </row>
        <row r="1695">
          <cell r="Q1695">
            <v>0</v>
          </cell>
          <cell r="S1695">
            <v>0</v>
          </cell>
          <cell r="U1695">
            <v>0</v>
          </cell>
          <cell r="V1695">
            <v>0</v>
          </cell>
          <cell r="W1695">
            <v>0</v>
          </cell>
          <cell r="Y1695">
            <v>0</v>
          </cell>
          <cell r="AA1695">
            <v>0</v>
          </cell>
          <cell r="AJ1695">
            <v>0</v>
          </cell>
          <cell r="AN1695">
            <v>0</v>
          </cell>
          <cell r="AR1695">
            <v>0</v>
          </cell>
          <cell r="AV1695">
            <v>0</v>
          </cell>
          <cell r="AZ1695">
            <v>0</v>
          </cell>
        </row>
        <row r="1696">
          <cell r="Q1696">
            <v>0</v>
          </cell>
          <cell r="S1696">
            <v>0</v>
          </cell>
          <cell r="U1696">
            <v>0</v>
          </cell>
          <cell r="V1696">
            <v>0</v>
          </cell>
          <cell r="W1696">
            <v>0</v>
          </cell>
          <cell r="Y1696">
            <v>0</v>
          </cell>
          <cell r="AA1696">
            <v>0</v>
          </cell>
          <cell r="AJ1696">
            <v>0</v>
          </cell>
          <cell r="AN1696">
            <v>0</v>
          </cell>
          <cell r="AR1696">
            <v>0</v>
          </cell>
          <cell r="AV1696">
            <v>0</v>
          </cell>
          <cell r="AZ1696">
            <v>0</v>
          </cell>
        </row>
        <row r="1697">
          <cell r="Q1697">
            <v>0</v>
          </cell>
          <cell r="S1697">
            <v>0</v>
          </cell>
          <cell r="U1697">
            <v>0</v>
          </cell>
          <cell r="V1697">
            <v>0</v>
          </cell>
          <cell r="W1697">
            <v>0</v>
          </cell>
          <cell r="Y1697">
            <v>0</v>
          </cell>
          <cell r="AA1697">
            <v>0</v>
          </cell>
          <cell r="AJ1697">
            <v>0</v>
          </cell>
          <cell r="AN1697">
            <v>0</v>
          </cell>
          <cell r="AR1697">
            <v>0</v>
          </cell>
          <cell r="AV1697">
            <v>0</v>
          </cell>
          <cell r="AZ1697">
            <v>0</v>
          </cell>
        </row>
        <row r="1698">
          <cell r="Q1698">
            <v>-9573084</v>
          </cell>
          <cell r="S1698">
            <v>-9116084</v>
          </cell>
          <cell r="U1698">
            <v>-8844084</v>
          </cell>
          <cell r="V1698">
            <v>-8758084</v>
          </cell>
          <cell r="W1698">
            <v>-8626084</v>
          </cell>
          <cell r="Y1698">
            <v>-8676084</v>
          </cell>
          <cell r="AA1698">
            <v>-8748084</v>
          </cell>
          <cell r="AJ1698">
            <v>-10025292.916666666</v>
          </cell>
          <cell r="AN1698">
            <v>-9645761.916666666</v>
          </cell>
          <cell r="AR1698">
            <v>-9229605.916666666</v>
          </cell>
          <cell r="AV1698">
            <v>-8833658.25</v>
          </cell>
          <cell r="AZ1698">
            <v>-8604877.25</v>
          </cell>
        </row>
        <row r="1699">
          <cell r="Q1699">
            <v>0</v>
          </cell>
          <cell r="S1699">
            <v>0</v>
          </cell>
          <cell r="U1699">
            <v>0</v>
          </cell>
          <cell r="V1699">
            <v>0</v>
          </cell>
          <cell r="W1699">
            <v>0</v>
          </cell>
          <cell r="Y1699">
            <v>0</v>
          </cell>
          <cell r="AA1699">
            <v>0</v>
          </cell>
          <cell r="AJ1699">
            <v>0</v>
          </cell>
          <cell r="AN1699">
            <v>0</v>
          </cell>
          <cell r="AR1699">
            <v>0</v>
          </cell>
          <cell r="AV1699">
            <v>0</v>
          </cell>
          <cell r="AZ1699">
            <v>0</v>
          </cell>
        </row>
        <row r="1700">
          <cell r="Q1700">
            <v>-5956000</v>
          </cell>
          <cell r="S1700">
            <v>-5632000</v>
          </cell>
          <cell r="U1700">
            <v>-5308000</v>
          </cell>
          <cell r="V1700">
            <v>-5146000</v>
          </cell>
          <cell r="W1700">
            <v>-4984000</v>
          </cell>
          <cell r="Y1700">
            <v>-4660000</v>
          </cell>
          <cell r="AA1700">
            <v>-4336000</v>
          </cell>
          <cell r="AJ1700">
            <v>-6807666.666666667</v>
          </cell>
          <cell r="AN1700">
            <v>-6233000</v>
          </cell>
          <cell r="AR1700">
            <v>-5629000</v>
          </cell>
          <cell r="AV1700">
            <v>-4984041.666666667</v>
          </cell>
          <cell r="AZ1700">
            <v>-4320375</v>
          </cell>
        </row>
        <row r="1701">
          <cell r="Q1701">
            <v>0</v>
          </cell>
          <cell r="S1701">
            <v>0</v>
          </cell>
          <cell r="U1701">
            <v>0</v>
          </cell>
          <cell r="V1701">
            <v>0</v>
          </cell>
          <cell r="W1701">
            <v>0</v>
          </cell>
          <cell r="Y1701">
            <v>0</v>
          </cell>
          <cell r="AA1701">
            <v>0</v>
          </cell>
          <cell r="AJ1701">
            <v>0</v>
          </cell>
          <cell r="AN1701">
            <v>0</v>
          </cell>
          <cell r="AR1701">
            <v>0</v>
          </cell>
          <cell r="AV1701">
            <v>0</v>
          </cell>
          <cell r="AZ1701">
            <v>0</v>
          </cell>
        </row>
        <row r="1702">
          <cell r="Q1702">
            <v>0</v>
          </cell>
          <cell r="S1702">
            <v>0</v>
          </cell>
          <cell r="U1702">
            <v>0</v>
          </cell>
          <cell r="V1702">
            <v>0</v>
          </cell>
          <cell r="W1702">
            <v>0</v>
          </cell>
          <cell r="Y1702">
            <v>0</v>
          </cell>
          <cell r="AA1702">
            <v>0</v>
          </cell>
          <cell r="AJ1702">
            <v>-112333.33333333333</v>
          </cell>
          <cell r="AN1702">
            <v>-53958.333333333336</v>
          </cell>
          <cell r="AR1702">
            <v>-23250</v>
          </cell>
          <cell r="AV1702">
            <v>0</v>
          </cell>
          <cell r="AZ1702">
            <v>0</v>
          </cell>
        </row>
        <row r="1703">
          <cell r="Q1703">
            <v>0</v>
          </cell>
          <cell r="S1703">
            <v>0</v>
          </cell>
          <cell r="U1703">
            <v>0</v>
          </cell>
          <cell r="V1703">
            <v>0</v>
          </cell>
          <cell r="W1703">
            <v>0</v>
          </cell>
          <cell r="Y1703">
            <v>0</v>
          </cell>
          <cell r="AA1703">
            <v>0</v>
          </cell>
          <cell r="AJ1703">
            <v>0</v>
          </cell>
          <cell r="AN1703">
            <v>0</v>
          </cell>
          <cell r="AR1703">
            <v>0</v>
          </cell>
          <cell r="AV1703">
            <v>0</v>
          </cell>
          <cell r="AZ1703">
            <v>0</v>
          </cell>
        </row>
        <row r="1704">
          <cell r="Q1704">
            <v>-3844000</v>
          </cell>
          <cell r="S1704">
            <v>-3612000</v>
          </cell>
          <cell r="U1704">
            <v>-3390000</v>
          </cell>
          <cell r="V1704">
            <v>-3282000</v>
          </cell>
          <cell r="W1704">
            <v>-3176000</v>
          </cell>
          <cell r="Y1704">
            <v>-2974000</v>
          </cell>
          <cell r="AA1704">
            <v>-2780000</v>
          </cell>
          <cell r="AJ1704">
            <v>-4594416.666666667</v>
          </cell>
          <cell r="AN1704">
            <v>-4096250</v>
          </cell>
          <cell r="AR1704">
            <v>-3625750</v>
          </cell>
          <cell r="AV1704">
            <v>-3190250</v>
          </cell>
          <cell r="AZ1704">
            <v>-2788708.3333333335</v>
          </cell>
        </row>
        <row r="1705">
          <cell r="Q1705">
            <v>0</v>
          </cell>
          <cell r="S1705">
            <v>0</v>
          </cell>
          <cell r="U1705">
            <v>0</v>
          </cell>
          <cell r="V1705">
            <v>0</v>
          </cell>
          <cell r="W1705">
            <v>0</v>
          </cell>
          <cell r="Y1705">
            <v>0</v>
          </cell>
          <cell r="AA1705">
            <v>0</v>
          </cell>
          <cell r="AJ1705">
            <v>0</v>
          </cell>
          <cell r="AN1705">
            <v>0</v>
          </cell>
          <cell r="AR1705">
            <v>0</v>
          </cell>
          <cell r="AV1705">
            <v>0</v>
          </cell>
          <cell r="AZ1705">
            <v>0</v>
          </cell>
        </row>
        <row r="1706">
          <cell r="Q1706">
            <v>-996538</v>
          </cell>
          <cell r="S1706">
            <v>-1082538</v>
          </cell>
          <cell r="U1706">
            <v>-1173538</v>
          </cell>
          <cell r="V1706">
            <v>-1225538</v>
          </cell>
          <cell r="W1706">
            <v>-1253538</v>
          </cell>
          <cell r="Y1706">
            <v>-1331538</v>
          </cell>
          <cell r="AA1706">
            <v>-1412538</v>
          </cell>
          <cell r="AJ1706">
            <v>-821871.33333333337</v>
          </cell>
          <cell r="AN1706">
            <v>-947913</v>
          </cell>
          <cell r="AR1706">
            <v>-1093746.3333333333</v>
          </cell>
          <cell r="AV1706">
            <v>-1250579.6666666667</v>
          </cell>
          <cell r="AZ1706">
            <v>-1410163</v>
          </cell>
        </row>
        <row r="1707">
          <cell r="Q1707">
            <v>-6591615</v>
          </cell>
          <cell r="S1707">
            <v>-6550159</v>
          </cell>
          <cell r="U1707">
            <v>-6508703</v>
          </cell>
          <cell r="V1707">
            <v>-6487975</v>
          </cell>
          <cell r="W1707">
            <v>-6467247</v>
          </cell>
          <cell r="Y1707">
            <v>-6425791</v>
          </cell>
          <cell r="AA1707">
            <v>-6384335</v>
          </cell>
          <cell r="AJ1707">
            <v>-6715983</v>
          </cell>
          <cell r="AN1707">
            <v>-6633071</v>
          </cell>
          <cell r="AR1707">
            <v>-6550159</v>
          </cell>
          <cell r="AV1707">
            <v>-6467247</v>
          </cell>
          <cell r="AZ1707">
            <v>-6384335</v>
          </cell>
        </row>
        <row r="1708">
          <cell r="Q1708">
            <v>-631000</v>
          </cell>
          <cell r="S1708">
            <v>-631000</v>
          </cell>
          <cell r="U1708">
            <v>-631000</v>
          </cell>
          <cell r="V1708">
            <v>-608000</v>
          </cell>
          <cell r="W1708">
            <v>-481000</v>
          </cell>
          <cell r="Y1708">
            <v>-291000</v>
          </cell>
          <cell r="AA1708">
            <v>-409000</v>
          </cell>
          <cell r="AJ1708">
            <v>-199583.33333333334</v>
          </cell>
          <cell r="AN1708">
            <v>-199583.33333333334</v>
          </cell>
          <cell r="AR1708">
            <v>-456416.66666666669</v>
          </cell>
          <cell r="AV1708">
            <v>-581375</v>
          </cell>
          <cell r="AZ1708">
            <v>-1575375</v>
          </cell>
        </row>
        <row r="1709">
          <cell r="Q1709">
            <v>0</v>
          </cell>
          <cell r="S1709">
            <v>0</v>
          </cell>
          <cell r="U1709">
            <v>0</v>
          </cell>
          <cell r="V1709">
            <v>0</v>
          </cell>
          <cell r="W1709">
            <v>0</v>
          </cell>
          <cell r="Y1709">
            <v>0</v>
          </cell>
          <cell r="AA1709">
            <v>0</v>
          </cell>
          <cell r="AJ1709">
            <v>0</v>
          </cell>
          <cell r="AN1709">
            <v>0</v>
          </cell>
          <cell r="AR1709">
            <v>0</v>
          </cell>
          <cell r="AV1709">
            <v>0</v>
          </cell>
          <cell r="AZ1709">
            <v>0</v>
          </cell>
        </row>
        <row r="1710">
          <cell r="Q1710">
            <v>-4828633</v>
          </cell>
          <cell r="S1710">
            <v>-4828633</v>
          </cell>
          <cell r="U1710">
            <v>-4828633</v>
          </cell>
          <cell r="V1710">
            <v>-4828633</v>
          </cell>
          <cell r="W1710">
            <v>-4828633</v>
          </cell>
          <cell r="Y1710">
            <v>-4828633</v>
          </cell>
          <cell r="AA1710">
            <v>-4828633</v>
          </cell>
          <cell r="AJ1710">
            <v>-4825184.625</v>
          </cell>
          <cell r="AN1710">
            <v>-4829770.625</v>
          </cell>
          <cell r="AR1710">
            <v>-4830064.958333333</v>
          </cell>
          <cell r="AV1710">
            <v>-4828633</v>
          </cell>
          <cell r="AZ1710">
            <v>-4828633</v>
          </cell>
        </row>
        <row r="1711">
          <cell r="Q1711">
            <v>-3584000</v>
          </cell>
          <cell r="S1711">
            <v>-3374000</v>
          </cell>
          <cell r="U1711">
            <v>-3164000</v>
          </cell>
          <cell r="V1711">
            <v>-3059000</v>
          </cell>
          <cell r="W1711">
            <v>-2954000</v>
          </cell>
          <cell r="Y1711">
            <v>-2744000</v>
          </cell>
          <cell r="AA1711">
            <v>-2534000</v>
          </cell>
          <cell r="AJ1711">
            <v>-3777458.3333333335</v>
          </cell>
          <cell r="AN1711">
            <v>-3637125</v>
          </cell>
          <cell r="AR1711">
            <v>-3356791.6666666665</v>
          </cell>
          <cell r="AV1711">
            <v>-2953791.6666666665</v>
          </cell>
          <cell r="AZ1711">
            <v>-2532125</v>
          </cell>
        </row>
        <row r="1712">
          <cell r="Q1712">
            <v>-544000</v>
          </cell>
          <cell r="S1712">
            <v>-512000</v>
          </cell>
          <cell r="U1712">
            <v>-480000</v>
          </cell>
          <cell r="V1712">
            <v>-464000</v>
          </cell>
          <cell r="W1712">
            <v>-448000</v>
          </cell>
          <cell r="Y1712">
            <v>-416000</v>
          </cell>
          <cell r="AA1712">
            <v>-384000</v>
          </cell>
          <cell r="AJ1712">
            <v>-427833.33333333331</v>
          </cell>
          <cell r="AN1712">
            <v>-499833.33333333331</v>
          </cell>
          <cell r="AR1712">
            <v>-503833.33333333331</v>
          </cell>
          <cell r="AV1712">
            <v>-449333.33333333331</v>
          </cell>
          <cell r="AZ1712">
            <v>-384000</v>
          </cell>
        </row>
        <row r="1713">
          <cell r="Q1713">
            <v>-9042017</v>
          </cell>
          <cell r="S1713">
            <v>-9601017</v>
          </cell>
          <cell r="U1713">
            <v>-10161017</v>
          </cell>
          <cell r="V1713">
            <v>-10441017</v>
          </cell>
          <cell r="W1713">
            <v>-10721017</v>
          </cell>
          <cell r="Y1713">
            <v>-11281017</v>
          </cell>
          <cell r="AA1713">
            <v>-11836017</v>
          </cell>
          <cell r="AJ1713">
            <v>-2684504.9583333335</v>
          </cell>
          <cell r="AN1713">
            <v>-5885135.625</v>
          </cell>
          <cell r="AR1713">
            <v>-9364807.958333334</v>
          </cell>
          <cell r="AV1713">
            <v>-10719683.666666666</v>
          </cell>
          <cell r="AZ1713">
            <v>-11836225.333333334</v>
          </cell>
        </row>
        <row r="1714">
          <cell r="Q1714">
            <v>-813000</v>
          </cell>
          <cell r="S1714">
            <v>0</v>
          </cell>
          <cell r="U1714">
            <v>0</v>
          </cell>
          <cell r="V1714">
            <v>0</v>
          </cell>
          <cell r="W1714">
            <v>0</v>
          </cell>
          <cell r="Y1714">
            <v>0</v>
          </cell>
          <cell r="AA1714">
            <v>0</v>
          </cell>
          <cell r="AJ1714">
            <v>-33875</v>
          </cell>
          <cell r="AN1714">
            <v>-281083.33333333331</v>
          </cell>
          <cell r="AR1714">
            <v>-281083.33333333331</v>
          </cell>
          <cell r="AV1714">
            <v>-247208.33333333334</v>
          </cell>
          <cell r="AZ1714">
            <v>0</v>
          </cell>
        </row>
        <row r="1715">
          <cell r="Q1715">
            <v>-253000</v>
          </cell>
          <cell r="S1715">
            <v>-877000</v>
          </cell>
          <cell r="U1715">
            <v>917000</v>
          </cell>
          <cell r="V1715">
            <v>746000</v>
          </cell>
          <cell r="W1715">
            <v>-131000</v>
          </cell>
          <cell r="Y1715">
            <v>-1184000</v>
          </cell>
          <cell r="AA1715">
            <v>-3074000</v>
          </cell>
          <cell r="AJ1715">
            <v>-10541.666666666666</v>
          </cell>
          <cell r="AN1715">
            <v>40958.333333333336</v>
          </cell>
          <cell r="AR1715">
            <v>57166.666666666664</v>
          </cell>
          <cell r="AV1715">
            <v>-994000</v>
          </cell>
          <cell r="AZ1715">
            <v>-3295000</v>
          </cell>
        </row>
        <row r="1716">
          <cell r="Q1716">
            <v>-499000</v>
          </cell>
          <cell r="S1716">
            <v>-607000</v>
          </cell>
          <cell r="U1716">
            <v>-726000</v>
          </cell>
          <cell r="V1716">
            <v>-726000</v>
          </cell>
          <cell r="W1716">
            <v>-726000</v>
          </cell>
          <cell r="Y1716">
            <v>-724000</v>
          </cell>
          <cell r="AA1716">
            <v>-724000</v>
          </cell>
          <cell r="AJ1716">
            <v>-20791.666666666668</v>
          </cell>
          <cell r="AN1716">
            <v>-233500</v>
          </cell>
          <cell r="AR1716">
            <v>-475250</v>
          </cell>
          <cell r="AV1716">
            <v>-696541.66666666663</v>
          </cell>
          <cell r="AZ1716">
            <v>-727166.66666666663</v>
          </cell>
        </row>
        <row r="1717">
          <cell r="S1717">
            <v>280000</v>
          </cell>
          <cell r="U1717">
            <v>688000</v>
          </cell>
          <cell r="V1717">
            <v>519000</v>
          </cell>
          <cell r="W1717">
            <v>439000</v>
          </cell>
          <cell r="Y1717">
            <v>1697000</v>
          </cell>
          <cell r="AA1717">
            <v>3527000</v>
          </cell>
          <cell r="AJ1717">
            <v>0</v>
          </cell>
          <cell r="AN1717">
            <v>113416.66666666667</v>
          </cell>
          <cell r="AR1717">
            <v>352041.66666666669</v>
          </cell>
          <cell r="AV1717">
            <v>1471666.6666666667</v>
          </cell>
          <cell r="AZ1717">
            <v>2420000</v>
          </cell>
        </row>
        <row r="1718">
          <cell r="S1718">
            <v>-3332000</v>
          </cell>
          <cell r="U1718">
            <v>-5721000</v>
          </cell>
          <cell r="V1718">
            <v>-6874000</v>
          </cell>
          <cell r="W1718">
            <v>-8198000</v>
          </cell>
          <cell r="Y1718">
            <v>-10652000</v>
          </cell>
          <cell r="AA1718">
            <v>-13253000</v>
          </cell>
          <cell r="AJ1718">
            <v>0</v>
          </cell>
          <cell r="AN1718">
            <v>-898125</v>
          </cell>
          <cell r="AR1718">
            <v>-3621333.3333333335</v>
          </cell>
          <cell r="AV1718">
            <v>-8032791.666666667</v>
          </cell>
          <cell r="AZ1718">
            <v>-12343208.333333334</v>
          </cell>
        </row>
        <row r="1719">
          <cell r="U1719">
            <v>-7000</v>
          </cell>
          <cell r="V1719">
            <v>0</v>
          </cell>
          <cell r="W1719">
            <v>0</v>
          </cell>
          <cell r="Y1719">
            <v>0</v>
          </cell>
          <cell r="AA1719">
            <v>0</v>
          </cell>
          <cell r="AJ1719">
            <v>0</v>
          </cell>
          <cell r="AN1719">
            <v>-875</v>
          </cell>
          <cell r="AR1719">
            <v>-1166.6666666666667</v>
          </cell>
          <cell r="AV1719">
            <v>-1166.6666666666667</v>
          </cell>
          <cell r="AZ1719">
            <v>-291.66666666666669</v>
          </cell>
        </row>
        <row r="1720">
          <cell r="AR1720">
            <v>0</v>
          </cell>
          <cell r="AV1720">
            <v>7000</v>
          </cell>
          <cell r="AZ1720">
            <v>86416.666666666672</v>
          </cell>
        </row>
        <row r="1721">
          <cell r="AR1721">
            <v>0</v>
          </cell>
          <cell r="AV1721">
            <v>-68625</v>
          </cell>
          <cell r="AZ1721">
            <v>-495750</v>
          </cell>
        </row>
        <row r="1722">
          <cell r="AV1722">
            <v>-464916.66666666669</v>
          </cell>
          <cell r="AZ1722">
            <v>-4272583.333333333</v>
          </cell>
        </row>
        <row r="1723">
          <cell r="AV1723">
            <v>0</v>
          </cell>
          <cell r="AZ1723">
            <v>-625250</v>
          </cell>
        </row>
        <row r="1724">
          <cell r="AV1724">
            <v>0</v>
          </cell>
          <cell r="AZ1724">
            <v>-66708.333333333328</v>
          </cell>
        </row>
        <row r="1725">
          <cell r="Q1725">
            <v>-8967750072.1799965</v>
          </cell>
          <cell r="S1725">
            <v>-8796799245.0899925</v>
          </cell>
          <cell r="U1725">
            <v>-8544073521.8699989</v>
          </cell>
          <cell r="V1725">
            <v>-8443211198.159997</v>
          </cell>
          <cell r="W1725">
            <v>-8402764384.1999931</v>
          </cell>
          <cell r="Y1725">
            <v>-8586482260.5900021</v>
          </cell>
          <cell r="AA1725">
            <v>-8619310602.7900009</v>
          </cell>
          <cell r="AJ1725">
            <v>-7962404785.0204105</v>
          </cell>
          <cell r="AN1725">
            <v>-8288180862.1062536</v>
          </cell>
          <cell r="AR1725">
            <v>-8498242242.4287558</v>
          </cell>
          <cell r="AV1725">
            <v>-8671515549.4954147</v>
          </cell>
          <cell r="AZ1725">
            <v>-8673305475.4054165</v>
          </cell>
        </row>
        <row r="1726">
          <cell r="Q1726">
            <v>0</v>
          </cell>
          <cell r="S1726">
            <v>9.5367431640625E-6</v>
          </cell>
          <cell r="U1726">
            <v>8.58306884765625E-6</v>
          </cell>
          <cell r="V1726">
            <v>0</v>
          </cell>
          <cell r="W1726">
            <v>0</v>
          </cell>
          <cell r="Y1726">
            <v>0</v>
          </cell>
          <cell r="AA1726">
            <v>0</v>
          </cell>
          <cell r="AJ1726">
            <v>1.5894571940104167E-6</v>
          </cell>
          <cell r="AR1726">
            <v>2.5033950805664063E-6</v>
          </cell>
          <cell r="AV1726">
            <v>2.1457672119140625E-6</v>
          </cell>
          <cell r="AZ1726">
            <v>9.9341074625651049E-7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Billed Therms Trueup"/>
      <sheetName val="Degree Days Trueup"/>
      <sheetName val="Prior Month 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B2" t="str">
            <v>Unbilled</v>
          </cell>
        </row>
        <row r="3">
          <cell r="C3" t="str">
            <v>$'s</v>
          </cell>
          <cell r="E3" t="str">
            <v>$ Mix</v>
          </cell>
          <cell r="G3" t="str">
            <v>Therms</v>
          </cell>
          <cell r="I3" t="str">
            <v>Therms Mix</v>
          </cell>
          <cell r="K3" t="str">
            <v>$/Therm</v>
          </cell>
          <cell r="N3" t="str">
            <v>Dollars attributable to Mix Variance</v>
          </cell>
        </row>
        <row r="4">
          <cell r="B4">
            <v>36121393</v>
          </cell>
          <cell r="C4">
            <v>40663</v>
          </cell>
          <cell r="D4">
            <v>41029</v>
          </cell>
          <cell r="E4">
            <v>40663</v>
          </cell>
          <cell r="F4">
            <v>41029</v>
          </cell>
          <cell r="G4">
            <v>40663</v>
          </cell>
          <cell r="H4">
            <v>41029</v>
          </cell>
          <cell r="I4">
            <v>40663</v>
          </cell>
          <cell r="J4">
            <v>41029</v>
          </cell>
          <cell r="K4">
            <v>40663</v>
          </cell>
          <cell r="L4">
            <v>41029</v>
          </cell>
          <cell r="M4" t="str">
            <v xml:space="preserve"> $ % increase</v>
          </cell>
        </row>
        <row r="5">
          <cell r="B5" t="str">
            <v>Firm w/o cust chg</v>
          </cell>
          <cell r="C5">
            <v>27167771</v>
          </cell>
          <cell r="D5">
            <v>20189111</v>
          </cell>
          <cell r="G5" t="str">
            <v>*Prior*</v>
          </cell>
          <cell r="K5">
            <v>1.1080000000000001</v>
          </cell>
          <cell r="L5">
            <v>1.0629999999999999</v>
          </cell>
          <cell r="M5">
            <v>-4.1000000000000002E-2</v>
          </cell>
        </row>
        <row r="6">
          <cell r="B6" t="str">
            <v>Firm</v>
          </cell>
          <cell r="C6">
            <v>31710847</v>
          </cell>
          <cell r="D6">
            <v>25174490</v>
          </cell>
          <cell r="E6">
            <v>0.84</v>
          </cell>
          <cell r="F6">
            <v>0.91</v>
          </cell>
          <cell r="G6">
            <v>24512169</v>
          </cell>
          <cell r="H6">
            <v>18986747</v>
          </cell>
          <cell r="I6">
            <v>0.49</v>
          </cell>
          <cell r="J6">
            <v>0.48</v>
          </cell>
          <cell r="K6">
            <v>1.294</v>
          </cell>
          <cell r="L6">
            <v>1.3260000000000001</v>
          </cell>
          <cell r="M6">
            <v>2.5000000000000001E-2</v>
          </cell>
        </row>
        <row r="7">
          <cell r="B7" t="str">
            <v>Interruptible</v>
          </cell>
          <cell r="C7">
            <v>4410546</v>
          </cell>
          <cell r="D7">
            <v>1255448</v>
          </cell>
          <cell r="E7">
            <v>0.12</v>
          </cell>
          <cell r="F7">
            <v>0.05</v>
          </cell>
          <cell r="G7">
            <v>5519133</v>
          </cell>
          <cell r="H7">
            <v>1704659</v>
          </cell>
          <cell r="I7">
            <v>0.11</v>
          </cell>
          <cell r="J7">
            <v>0.04</v>
          </cell>
          <cell r="K7">
            <v>0.79900000000000004</v>
          </cell>
          <cell r="L7">
            <v>0.73599999999999999</v>
          </cell>
          <cell r="M7">
            <v>-7.9000000000000001E-2</v>
          </cell>
        </row>
        <row r="8">
          <cell r="B8" t="str">
            <v>Transportation</v>
          </cell>
          <cell r="C8">
            <v>1272163</v>
          </cell>
          <cell r="D8">
            <v>1283681</v>
          </cell>
          <cell r="E8">
            <v>0.03</v>
          </cell>
          <cell r="F8">
            <v>0.05</v>
          </cell>
          <cell r="G8">
            <v>19626786</v>
          </cell>
          <cell r="H8">
            <v>19026867</v>
          </cell>
          <cell r="I8">
            <v>0.4</v>
          </cell>
          <cell r="J8">
            <v>0.48</v>
          </cell>
          <cell r="K8">
            <v>6.5000000000000002E-2</v>
          </cell>
          <cell r="L8">
            <v>6.7000000000000004E-2</v>
          </cell>
          <cell r="M8">
            <v>3.1E-2</v>
          </cell>
        </row>
        <row r="9">
          <cell r="C9">
            <v>37393556</v>
          </cell>
          <cell r="D9">
            <v>27713619</v>
          </cell>
          <cell r="E9">
            <v>1</v>
          </cell>
          <cell r="F9">
            <v>1</v>
          </cell>
          <cell r="G9">
            <v>49658088</v>
          </cell>
          <cell r="H9">
            <v>39718273</v>
          </cell>
          <cell r="I9">
            <v>1</v>
          </cell>
          <cell r="J9">
            <v>1</v>
          </cell>
        </row>
        <row r="10">
          <cell r="B10" t="str">
            <v>Overall</v>
          </cell>
          <cell r="K10">
            <v>0.753</v>
          </cell>
          <cell r="L10">
            <v>0.69799999999999995</v>
          </cell>
          <cell r="M10">
            <v>-7.2999999999999995E-2</v>
          </cell>
        </row>
        <row r="12">
          <cell r="B12" t="str">
            <v>Billed</v>
          </cell>
        </row>
        <row r="13">
          <cell r="C13" t="str">
            <v>$'s</v>
          </cell>
          <cell r="E13" t="str">
            <v>$ Mix</v>
          </cell>
          <cell r="G13" t="str">
            <v>Therms</v>
          </cell>
          <cell r="I13" t="str">
            <v>Therms Mix</v>
          </cell>
          <cell r="K13" t="str">
            <v>$/Therm</v>
          </cell>
        </row>
        <row r="14">
          <cell r="C14">
            <v>40663</v>
          </cell>
          <cell r="D14">
            <v>41029</v>
          </cell>
          <cell r="E14">
            <v>40663</v>
          </cell>
          <cell r="F14">
            <v>41029</v>
          </cell>
          <cell r="G14">
            <v>40663</v>
          </cell>
          <cell r="H14">
            <v>41029</v>
          </cell>
          <cell r="I14">
            <v>40663</v>
          </cell>
          <cell r="J14">
            <v>41029</v>
          </cell>
          <cell r="K14">
            <v>40663</v>
          </cell>
          <cell r="L14">
            <v>41029</v>
          </cell>
          <cell r="M14" t="str">
            <v xml:space="preserve"> $ % increase</v>
          </cell>
        </row>
        <row r="16">
          <cell r="B16" t="str">
            <v>Firm</v>
          </cell>
          <cell r="C16">
            <v>108082379</v>
          </cell>
          <cell r="D16">
            <v>98579996</v>
          </cell>
          <cell r="E16">
            <v>0.95</v>
          </cell>
          <cell r="F16">
            <v>0.95</v>
          </cell>
          <cell r="G16">
            <v>79428477</v>
          </cell>
          <cell r="H16">
            <v>83919067</v>
          </cell>
          <cell r="I16">
            <v>0.77</v>
          </cell>
          <cell r="J16">
            <v>0.75</v>
          </cell>
          <cell r="K16">
            <v>1.361</v>
          </cell>
          <cell r="L16">
            <v>1.175</v>
          </cell>
          <cell r="M16">
            <v>-0.13700000000000001</v>
          </cell>
        </row>
        <row r="17">
          <cell r="B17" t="str">
            <v>Interruptible</v>
          </cell>
          <cell r="C17">
            <v>4341568</v>
          </cell>
          <cell r="D17">
            <v>3861105</v>
          </cell>
          <cell r="E17">
            <v>0.04</v>
          </cell>
          <cell r="F17">
            <v>0.04</v>
          </cell>
          <cell r="G17">
            <v>5343387</v>
          </cell>
          <cell r="H17">
            <v>5233698</v>
          </cell>
          <cell r="I17">
            <v>0.05</v>
          </cell>
          <cell r="J17">
            <v>0.05</v>
          </cell>
          <cell r="K17">
            <v>0.81299999999999994</v>
          </cell>
          <cell r="L17">
            <v>0.73799999999999999</v>
          </cell>
          <cell r="M17">
            <v>-9.1999999999999998E-2</v>
          </cell>
        </row>
        <row r="18">
          <cell r="B18" t="str">
            <v>Transportation</v>
          </cell>
          <cell r="C18">
            <v>1303909</v>
          </cell>
          <cell r="D18">
            <v>1460246</v>
          </cell>
          <cell r="E18">
            <v>0.01</v>
          </cell>
          <cell r="F18">
            <v>0.01</v>
          </cell>
          <cell r="G18">
            <v>18622088</v>
          </cell>
          <cell r="H18">
            <v>22705842</v>
          </cell>
          <cell r="I18">
            <v>0.18</v>
          </cell>
          <cell r="J18">
            <v>0.2</v>
          </cell>
          <cell r="K18">
            <v>7.0000000000000007E-2</v>
          </cell>
          <cell r="L18">
            <v>6.4000000000000001E-2</v>
          </cell>
          <cell r="M18">
            <v>-8.5999999999999993E-2</v>
          </cell>
        </row>
        <row r="19">
          <cell r="C19">
            <v>113727856</v>
          </cell>
          <cell r="D19">
            <v>103901347</v>
          </cell>
          <cell r="E19">
            <v>1</v>
          </cell>
          <cell r="F19">
            <v>1</v>
          </cell>
          <cell r="G19">
            <v>103393952</v>
          </cell>
          <cell r="H19">
            <v>111858607</v>
          </cell>
          <cell r="I19">
            <v>1</v>
          </cell>
          <cell r="J19">
            <v>1</v>
          </cell>
        </row>
        <row r="20">
          <cell r="B20" t="str">
            <v>Overall</v>
          </cell>
          <cell r="K20">
            <v>1.1000000000000001</v>
          </cell>
          <cell r="L20">
            <v>0.92900000000000005</v>
          </cell>
          <cell r="M20">
            <v>-0.155</v>
          </cell>
        </row>
        <row r="23">
          <cell r="C23">
            <v>40663</v>
          </cell>
          <cell r="G23">
            <v>40663</v>
          </cell>
          <cell r="H23">
            <v>41029</v>
          </cell>
          <cell r="I23" t="str">
            <v>*Current*</v>
          </cell>
          <cell r="K23" t="str">
            <v>*Rate*</v>
          </cell>
        </row>
        <row r="24">
          <cell r="B24" t="str">
            <v>Unbilled Mix Variance</v>
          </cell>
          <cell r="H24">
            <v>0.48</v>
          </cell>
          <cell r="I24">
            <v>23835882</v>
          </cell>
          <cell r="K24">
            <v>1.294</v>
          </cell>
          <cell r="L24">
            <v>30843631</v>
          </cell>
        </row>
        <row r="25">
          <cell r="H25">
            <v>0.04</v>
          </cell>
          <cell r="I25">
            <v>1986324</v>
          </cell>
          <cell r="K25">
            <v>0.79900000000000004</v>
          </cell>
          <cell r="L25">
            <v>1587073</v>
          </cell>
        </row>
        <row r="26">
          <cell r="H26">
            <v>0.48</v>
          </cell>
          <cell r="I26">
            <v>23835883</v>
          </cell>
          <cell r="K26">
            <v>6.7000000000000004E-2</v>
          </cell>
          <cell r="L26">
            <v>1597004</v>
          </cell>
        </row>
        <row r="27">
          <cell r="C27">
            <v>37393556</v>
          </cell>
          <cell r="G27">
            <v>49658088</v>
          </cell>
          <cell r="H27">
            <v>1</v>
          </cell>
          <cell r="I27">
            <v>49658089</v>
          </cell>
          <cell r="L27">
            <v>34027708</v>
          </cell>
          <cell r="N27">
            <v>-3365848</v>
          </cell>
        </row>
        <row r="30">
          <cell r="B30" t="str">
            <v>NOTE</v>
          </cell>
        </row>
        <row r="31">
          <cell r="B31" t="str">
            <v>Dollars attributable to mix change.  This test compares base period unbilled revenue dollars to a recalculated unbilled base revenue using current period mix percentages priced at base period rates.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Billed Therms Trueup"/>
      <sheetName val="Degree Days Trueup"/>
      <sheetName val="Prior Month 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B2" t="str">
            <v>Unbilled</v>
          </cell>
        </row>
        <row r="3">
          <cell r="C3" t="str">
            <v>$'s</v>
          </cell>
          <cell r="E3" t="str">
            <v>$ Mix</v>
          </cell>
          <cell r="G3" t="str">
            <v>Therms</v>
          </cell>
          <cell r="I3" t="str">
            <v>Therms Mix</v>
          </cell>
          <cell r="K3" t="str">
            <v>$/Therm</v>
          </cell>
          <cell r="N3" t="str">
            <v>Dollars attributable to Mix Variance</v>
          </cell>
        </row>
        <row r="4">
          <cell r="B4">
            <v>36121393</v>
          </cell>
          <cell r="C4">
            <v>40663</v>
          </cell>
          <cell r="D4">
            <v>41029</v>
          </cell>
          <cell r="E4">
            <v>40663</v>
          </cell>
          <cell r="F4">
            <v>41029</v>
          </cell>
          <cell r="G4">
            <v>40663</v>
          </cell>
          <cell r="H4">
            <v>41029</v>
          </cell>
          <cell r="I4">
            <v>40663</v>
          </cell>
          <cell r="J4">
            <v>41029</v>
          </cell>
          <cell r="K4">
            <v>40663</v>
          </cell>
          <cell r="L4">
            <v>41029</v>
          </cell>
          <cell r="M4" t="str">
            <v xml:space="preserve"> $ % increase</v>
          </cell>
        </row>
        <row r="5">
          <cell r="B5" t="str">
            <v>Firm w/o cust chg</v>
          </cell>
          <cell r="C5">
            <v>27167771</v>
          </cell>
          <cell r="D5">
            <v>20189111</v>
          </cell>
          <cell r="G5" t="str">
            <v>*Prior*</v>
          </cell>
          <cell r="K5">
            <v>1.1080000000000001</v>
          </cell>
          <cell r="L5">
            <v>1.0629999999999999</v>
          </cell>
          <cell r="M5">
            <v>-4.1000000000000002E-2</v>
          </cell>
        </row>
        <row r="6">
          <cell r="B6" t="str">
            <v>Firm</v>
          </cell>
          <cell r="C6">
            <v>31710847</v>
          </cell>
          <cell r="D6">
            <v>25174490</v>
          </cell>
          <cell r="E6">
            <v>0.84</v>
          </cell>
          <cell r="F6">
            <v>0.91</v>
          </cell>
          <cell r="G6">
            <v>24512169</v>
          </cell>
          <cell r="H6">
            <v>18986747</v>
          </cell>
          <cell r="I6">
            <v>0.49</v>
          </cell>
          <cell r="J6">
            <v>0.48</v>
          </cell>
          <cell r="K6">
            <v>1.294</v>
          </cell>
          <cell r="L6">
            <v>1.3260000000000001</v>
          </cell>
          <cell r="M6">
            <v>2.5000000000000001E-2</v>
          </cell>
        </row>
        <row r="7">
          <cell r="B7" t="str">
            <v>Interruptible</v>
          </cell>
          <cell r="C7">
            <v>4410546</v>
          </cell>
          <cell r="D7">
            <v>1255448</v>
          </cell>
          <cell r="E7">
            <v>0.12</v>
          </cell>
          <cell r="F7">
            <v>0.05</v>
          </cell>
          <cell r="G7">
            <v>5519133</v>
          </cell>
          <cell r="H7">
            <v>1704659</v>
          </cell>
          <cell r="I7">
            <v>0.11</v>
          </cell>
          <cell r="J7">
            <v>0.04</v>
          </cell>
          <cell r="K7">
            <v>0.79900000000000004</v>
          </cell>
          <cell r="L7">
            <v>0.73599999999999999</v>
          </cell>
          <cell r="M7">
            <v>-7.9000000000000001E-2</v>
          </cell>
        </row>
        <row r="8">
          <cell r="B8" t="str">
            <v>Transportation</v>
          </cell>
          <cell r="C8">
            <v>1272163</v>
          </cell>
          <cell r="D8">
            <v>1283681</v>
          </cell>
          <cell r="E8">
            <v>0.03</v>
          </cell>
          <cell r="F8">
            <v>0.05</v>
          </cell>
          <cell r="G8">
            <v>19626786</v>
          </cell>
          <cell r="H8">
            <v>19026867</v>
          </cell>
          <cell r="I8">
            <v>0.4</v>
          </cell>
          <cell r="J8">
            <v>0.48</v>
          </cell>
          <cell r="K8">
            <v>6.5000000000000002E-2</v>
          </cell>
          <cell r="L8">
            <v>6.7000000000000004E-2</v>
          </cell>
          <cell r="M8">
            <v>3.1E-2</v>
          </cell>
        </row>
        <row r="9">
          <cell r="C9">
            <v>37393556</v>
          </cell>
          <cell r="D9">
            <v>27713619</v>
          </cell>
          <cell r="E9">
            <v>1</v>
          </cell>
          <cell r="F9">
            <v>1</v>
          </cell>
          <cell r="G9">
            <v>49658088</v>
          </cell>
          <cell r="H9">
            <v>39718273</v>
          </cell>
          <cell r="I9">
            <v>1</v>
          </cell>
          <cell r="J9">
            <v>1</v>
          </cell>
        </row>
        <row r="10">
          <cell r="B10" t="str">
            <v>Overall</v>
          </cell>
          <cell r="K10">
            <v>0.753</v>
          </cell>
          <cell r="L10">
            <v>0.69799999999999995</v>
          </cell>
          <cell r="M10">
            <v>-7.2999999999999995E-2</v>
          </cell>
        </row>
        <row r="12">
          <cell r="B12" t="str">
            <v>Billed</v>
          </cell>
        </row>
        <row r="13">
          <cell r="C13" t="str">
            <v>$'s</v>
          </cell>
          <cell r="E13" t="str">
            <v>$ Mix</v>
          </cell>
          <cell r="G13" t="str">
            <v>Therms</v>
          </cell>
          <cell r="I13" t="str">
            <v>Therms Mix</v>
          </cell>
          <cell r="K13" t="str">
            <v>$/Therm</v>
          </cell>
        </row>
        <row r="14">
          <cell r="C14">
            <v>40663</v>
          </cell>
          <cell r="D14">
            <v>41029</v>
          </cell>
          <cell r="E14">
            <v>40663</v>
          </cell>
          <cell r="F14">
            <v>41029</v>
          </cell>
          <cell r="G14">
            <v>40663</v>
          </cell>
          <cell r="H14">
            <v>41029</v>
          </cell>
          <cell r="I14">
            <v>40663</v>
          </cell>
          <cell r="J14">
            <v>41029</v>
          </cell>
          <cell r="K14">
            <v>40663</v>
          </cell>
          <cell r="L14">
            <v>41029</v>
          </cell>
          <cell r="M14" t="str">
            <v xml:space="preserve"> $ % increase</v>
          </cell>
        </row>
        <row r="16">
          <cell r="B16" t="str">
            <v>Firm</v>
          </cell>
          <cell r="C16">
            <v>108082379</v>
          </cell>
          <cell r="D16">
            <v>98579996</v>
          </cell>
          <cell r="E16">
            <v>0.95</v>
          </cell>
          <cell r="F16">
            <v>0.95</v>
          </cell>
          <cell r="G16">
            <v>79428477</v>
          </cell>
          <cell r="H16">
            <v>83919067</v>
          </cell>
          <cell r="I16">
            <v>0.77</v>
          </cell>
          <cell r="J16">
            <v>0.75</v>
          </cell>
          <cell r="K16">
            <v>1.361</v>
          </cell>
          <cell r="L16">
            <v>1.175</v>
          </cell>
          <cell r="M16">
            <v>-0.13700000000000001</v>
          </cell>
        </row>
        <row r="17">
          <cell r="B17" t="str">
            <v>Interruptible</v>
          </cell>
          <cell r="C17">
            <v>4341568</v>
          </cell>
          <cell r="D17">
            <v>3861105</v>
          </cell>
          <cell r="E17">
            <v>0.04</v>
          </cell>
          <cell r="F17">
            <v>0.04</v>
          </cell>
          <cell r="G17">
            <v>5343387</v>
          </cell>
          <cell r="H17">
            <v>5233698</v>
          </cell>
          <cell r="I17">
            <v>0.05</v>
          </cell>
          <cell r="J17">
            <v>0.05</v>
          </cell>
          <cell r="K17">
            <v>0.81299999999999994</v>
          </cell>
          <cell r="L17">
            <v>0.73799999999999999</v>
          </cell>
          <cell r="M17">
            <v>-9.1999999999999998E-2</v>
          </cell>
        </row>
        <row r="18">
          <cell r="B18" t="str">
            <v>Transportation</v>
          </cell>
          <cell r="C18">
            <v>1303909</v>
          </cell>
          <cell r="D18">
            <v>1460246</v>
          </cell>
          <cell r="E18">
            <v>0.01</v>
          </cell>
          <cell r="F18">
            <v>0.01</v>
          </cell>
          <cell r="G18">
            <v>18622088</v>
          </cell>
          <cell r="H18">
            <v>22705842</v>
          </cell>
          <cell r="I18">
            <v>0.18</v>
          </cell>
          <cell r="J18">
            <v>0.2</v>
          </cell>
          <cell r="K18">
            <v>7.0000000000000007E-2</v>
          </cell>
          <cell r="L18">
            <v>6.4000000000000001E-2</v>
          </cell>
          <cell r="M18">
            <v>-8.5999999999999993E-2</v>
          </cell>
        </row>
        <row r="19">
          <cell r="C19">
            <v>113727856</v>
          </cell>
          <cell r="D19">
            <v>103901347</v>
          </cell>
          <cell r="E19">
            <v>1</v>
          </cell>
          <cell r="F19">
            <v>1</v>
          </cell>
          <cell r="G19">
            <v>103393952</v>
          </cell>
          <cell r="H19">
            <v>111858607</v>
          </cell>
          <cell r="I19">
            <v>1</v>
          </cell>
          <cell r="J19">
            <v>1</v>
          </cell>
        </row>
        <row r="20">
          <cell r="B20" t="str">
            <v>Overall</v>
          </cell>
          <cell r="K20">
            <v>1.1000000000000001</v>
          </cell>
          <cell r="L20">
            <v>0.92900000000000005</v>
          </cell>
          <cell r="M20">
            <v>-0.155</v>
          </cell>
        </row>
        <row r="23">
          <cell r="C23">
            <v>40663</v>
          </cell>
          <cell r="G23">
            <v>40663</v>
          </cell>
          <cell r="H23">
            <v>41029</v>
          </cell>
          <cell r="I23" t="str">
            <v>*Current*</v>
          </cell>
          <cell r="K23" t="str">
            <v>*Rate*</v>
          </cell>
        </row>
        <row r="24">
          <cell r="B24" t="str">
            <v>Unbilled Mix Variance</v>
          </cell>
          <cell r="H24">
            <v>0.48</v>
          </cell>
          <cell r="I24">
            <v>23835882</v>
          </cell>
          <cell r="K24">
            <v>1.294</v>
          </cell>
          <cell r="L24">
            <v>30843631</v>
          </cell>
        </row>
        <row r="25">
          <cell r="H25">
            <v>0.04</v>
          </cell>
          <cell r="I25">
            <v>1986324</v>
          </cell>
          <cell r="K25">
            <v>0.79900000000000004</v>
          </cell>
          <cell r="L25">
            <v>1587073</v>
          </cell>
        </row>
        <row r="26">
          <cell r="H26">
            <v>0.48</v>
          </cell>
          <cell r="I26">
            <v>23835883</v>
          </cell>
          <cell r="K26">
            <v>6.7000000000000004E-2</v>
          </cell>
          <cell r="L26">
            <v>1597004</v>
          </cell>
        </row>
        <row r="27">
          <cell r="C27">
            <v>37393556</v>
          </cell>
          <cell r="G27">
            <v>49658088</v>
          </cell>
          <cell r="H27">
            <v>1</v>
          </cell>
          <cell r="I27">
            <v>49658089</v>
          </cell>
          <cell r="L27">
            <v>34027708</v>
          </cell>
          <cell r="N27">
            <v>-3365848</v>
          </cell>
        </row>
        <row r="30">
          <cell r="B30" t="str">
            <v>NOTE</v>
          </cell>
        </row>
        <row r="31">
          <cell r="B31" t="str">
            <v>Dollars attributable to mix change.  This test compares base period unbilled revenue dollars to a recalculated unbilled base revenue using current period mix percentages priced at base period rates.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 Reasonableness"/>
      <sheetName val="Rate Change"/>
      <sheetName val="Unbilled Days"/>
      <sheetName val="Mix Variance"/>
      <sheetName val="Send Out Chg"/>
    </sheetNames>
    <sheetDataSet>
      <sheetData sheetId="0" refreshError="1"/>
      <sheetData sheetId="1"/>
      <sheetData sheetId="2"/>
      <sheetData sheetId="3">
        <row r="5">
          <cell r="O5" t="str">
            <v>a</v>
          </cell>
          <cell r="P5">
            <v>44.27363905</v>
          </cell>
          <cell r="Q5" t="str">
            <v>Current unbilled</v>
          </cell>
        </row>
        <row r="6">
          <cell r="O6" t="str">
            <v>b</v>
          </cell>
          <cell r="P6">
            <v>43.087575119999997</v>
          </cell>
          <cell r="Q6" t="str">
            <v>Last year unbilled</v>
          </cell>
        </row>
        <row r="7">
          <cell r="O7" t="str">
            <v>c</v>
          </cell>
          <cell r="P7">
            <v>1.1860639300000031</v>
          </cell>
          <cell r="Q7" t="str">
            <v>Difference of unbilled</v>
          </cell>
        </row>
        <row r="8">
          <cell r="O8" t="str">
            <v>d</v>
          </cell>
          <cell r="P8">
            <v>2.752682012614506E-2</v>
          </cell>
          <cell r="Q8" t="str">
            <v>Percent Increase (Decrease)</v>
          </cell>
        </row>
        <row r="9">
          <cell r="O9" t="str">
            <v>e</v>
          </cell>
          <cell r="P9">
            <v>33856199.878826872</v>
          </cell>
          <cell r="Q9" t="str">
            <v>Current month Firm &amp; Int</v>
          </cell>
        </row>
        <row r="10">
          <cell r="P10">
            <v>0</v>
          </cell>
        </row>
        <row r="11">
          <cell r="P11">
            <v>0</v>
          </cell>
        </row>
        <row r="12">
          <cell r="O12" t="str">
            <v>f</v>
          </cell>
          <cell r="P12">
            <v>35052259.916658685</v>
          </cell>
          <cell r="Q12" t="str">
            <v>Last Year Firm * Int</v>
          </cell>
        </row>
        <row r="13">
          <cell r="O13" t="str">
            <v>g</v>
          </cell>
          <cell r="P13">
            <v>-1196060.0378318131</v>
          </cell>
          <cell r="Q13" t="str">
            <v>Firm &amp; Int Increase (Decrease)</v>
          </cell>
        </row>
        <row r="14">
          <cell r="O14" t="str">
            <v>h</v>
          </cell>
          <cell r="P14">
            <v>-3.4122194708004608E-2</v>
          </cell>
          <cell r="Q14" t="str">
            <v>Percent Increase (Decrease)</v>
          </cell>
        </row>
        <row r="15">
          <cell r="O15" t="str">
            <v>I</v>
          </cell>
          <cell r="P15">
            <v>0.59072392471296309</v>
          </cell>
          <cell r="Q15" t="str">
            <v>Firm percent of total sales</v>
          </cell>
        </row>
        <row r="16">
          <cell r="O16" t="str">
            <v>j</v>
          </cell>
          <cell r="P16">
            <v>52.883165615826876</v>
          </cell>
          <cell r="Q16" t="str">
            <v>volume of firm total sales</v>
          </cell>
        </row>
        <row r="17">
          <cell r="O17" t="str">
            <v>k</v>
          </cell>
          <cell r="P17">
            <v>0.61477972425334715</v>
          </cell>
          <cell r="Q17" t="str">
            <v>Last year firm percent of total sales</v>
          </cell>
        </row>
        <row r="18">
          <cell r="O18" t="str">
            <v>l</v>
          </cell>
          <cell r="P18">
            <v>54.314980686658679</v>
          </cell>
          <cell r="Q18" t="str">
            <v>Last year volume of firm total sales</v>
          </cell>
        </row>
        <row r="19">
          <cell r="O19" t="str">
            <v>m</v>
          </cell>
          <cell r="P19">
            <v>1.3158280404336364</v>
          </cell>
          <cell r="Q19" t="str">
            <v>Current monthFirm Sales price per therm</v>
          </cell>
        </row>
        <row r="20">
          <cell r="O20" t="str">
            <v>n</v>
          </cell>
          <cell r="P20">
            <v>1.2211627834751595</v>
          </cell>
          <cell r="Q20" t="str">
            <v>Last year Firm Sales price per therm</v>
          </cell>
        </row>
        <row r="21">
          <cell r="O21" t="str">
            <v>o</v>
          </cell>
          <cell r="P21">
            <v>7.7520587950674791E-2</v>
          </cell>
        </row>
        <row r="22">
          <cell r="O22" t="str">
            <v>p</v>
          </cell>
          <cell r="P22">
            <v>0.71121273656652528</v>
          </cell>
          <cell r="Q22" t="str">
            <v>Current month Int Sales price per therm</v>
          </cell>
        </row>
        <row r="23">
          <cell r="O23" t="str">
            <v>q</v>
          </cell>
          <cell r="P23">
            <v>0.62494071279774621</v>
          </cell>
          <cell r="Q23" t="str">
            <v>Last year Int Sales price per therm</v>
          </cell>
        </row>
        <row r="24">
          <cell r="P24">
            <v>0.13804833322917123</v>
          </cell>
          <cell r="Q24" t="str">
            <v>Total increase in Sales price per therm</v>
          </cell>
        </row>
      </sheetData>
      <sheetData sheetId="4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 Reasonableness"/>
      <sheetName val="Rate Change"/>
      <sheetName val="Unbilled Days"/>
      <sheetName val="Mix Variance"/>
      <sheetName val="Send Out Chg"/>
    </sheetNames>
    <sheetDataSet>
      <sheetData sheetId="0" refreshError="1"/>
      <sheetData sheetId="1"/>
      <sheetData sheetId="2"/>
      <sheetData sheetId="3">
        <row r="5">
          <cell r="O5" t="str">
            <v>a</v>
          </cell>
          <cell r="P5">
            <v>44.27363905</v>
          </cell>
          <cell r="Q5" t="str">
            <v>Current unbilled</v>
          </cell>
        </row>
        <row r="6">
          <cell r="O6" t="str">
            <v>b</v>
          </cell>
          <cell r="P6">
            <v>43.087575119999997</v>
          </cell>
          <cell r="Q6" t="str">
            <v>Last year unbilled</v>
          </cell>
        </row>
        <row r="7">
          <cell r="O7" t="str">
            <v>c</v>
          </cell>
          <cell r="P7">
            <v>1.1860639300000031</v>
          </cell>
          <cell r="Q7" t="str">
            <v>Difference of unbilled</v>
          </cell>
        </row>
        <row r="8">
          <cell r="O8" t="str">
            <v>d</v>
          </cell>
          <cell r="P8">
            <v>2.752682012614506E-2</v>
          </cell>
          <cell r="Q8" t="str">
            <v>Percent Increase (Decrease)</v>
          </cell>
        </row>
        <row r="9">
          <cell r="O9" t="str">
            <v>e</v>
          </cell>
          <cell r="P9">
            <v>33856199.878826872</v>
          </cell>
          <cell r="Q9" t="str">
            <v>Current month Firm &amp; Int</v>
          </cell>
        </row>
        <row r="10">
          <cell r="P10">
            <v>0</v>
          </cell>
        </row>
        <row r="11">
          <cell r="P11">
            <v>0</v>
          </cell>
        </row>
        <row r="12">
          <cell r="O12" t="str">
            <v>f</v>
          </cell>
          <cell r="P12">
            <v>35052259.916658685</v>
          </cell>
          <cell r="Q12" t="str">
            <v>Last Year Firm * Int</v>
          </cell>
        </row>
        <row r="13">
          <cell r="O13" t="str">
            <v>g</v>
          </cell>
          <cell r="P13">
            <v>-1196060.0378318131</v>
          </cell>
          <cell r="Q13" t="str">
            <v>Firm &amp; Int Increase (Decrease)</v>
          </cell>
        </row>
        <row r="14">
          <cell r="O14" t="str">
            <v>h</v>
          </cell>
          <cell r="P14">
            <v>-3.4122194708004608E-2</v>
          </cell>
          <cell r="Q14" t="str">
            <v>Percent Increase (Decrease)</v>
          </cell>
        </row>
        <row r="15">
          <cell r="O15" t="str">
            <v>I</v>
          </cell>
          <cell r="P15">
            <v>0.59072392471296309</v>
          </cell>
          <cell r="Q15" t="str">
            <v>Firm percent of total sales</v>
          </cell>
        </row>
        <row r="16">
          <cell r="O16" t="str">
            <v>j</v>
          </cell>
          <cell r="P16">
            <v>52.883165615826876</v>
          </cell>
          <cell r="Q16" t="str">
            <v>volume of firm total sales</v>
          </cell>
        </row>
        <row r="17">
          <cell r="O17" t="str">
            <v>k</v>
          </cell>
          <cell r="P17">
            <v>0.61477972425334715</v>
          </cell>
          <cell r="Q17" t="str">
            <v>Last year firm percent of total sales</v>
          </cell>
        </row>
        <row r="18">
          <cell r="O18" t="str">
            <v>l</v>
          </cell>
          <cell r="P18">
            <v>54.314980686658679</v>
          </cell>
          <cell r="Q18" t="str">
            <v>Last year volume of firm total sales</v>
          </cell>
        </row>
        <row r="19">
          <cell r="O19" t="str">
            <v>m</v>
          </cell>
          <cell r="P19">
            <v>1.3158280404336364</v>
          </cell>
          <cell r="Q19" t="str">
            <v>Current monthFirm Sales price per therm</v>
          </cell>
        </row>
        <row r="20">
          <cell r="O20" t="str">
            <v>n</v>
          </cell>
          <cell r="P20">
            <v>1.2211627834751595</v>
          </cell>
          <cell r="Q20" t="str">
            <v>Last year Firm Sales price per therm</v>
          </cell>
        </row>
        <row r="21">
          <cell r="O21" t="str">
            <v>o</v>
          </cell>
          <cell r="P21">
            <v>7.7520587950674791E-2</v>
          </cell>
        </row>
        <row r="22">
          <cell r="O22" t="str">
            <v>p</v>
          </cell>
          <cell r="P22">
            <v>0.71121273656652528</v>
          </cell>
          <cell r="Q22" t="str">
            <v>Current month Int Sales price per therm</v>
          </cell>
        </row>
        <row r="23">
          <cell r="O23" t="str">
            <v>q</v>
          </cell>
          <cell r="P23">
            <v>0.62494071279774621</v>
          </cell>
          <cell r="Q23" t="str">
            <v>Last year Int Sales price per therm</v>
          </cell>
        </row>
        <row r="24">
          <cell r="P24">
            <v>0.13804833322917123</v>
          </cell>
          <cell r="Q24" t="str">
            <v>Total increase in Sales price per therm</v>
          </cell>
        </row>
      </sheetData>
      <sheetData sheetId="4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T5">
            <v>3</v>
          </cell>
        </row>
        <row r="11">
          <cell r="D11">
            <v>0.5</v>
          </cell>
        </row>
        <row r="12">
          <cell r="D12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ard"/>
      <sheetName val="Exhibit C"/>
      <sheetName val="Drivers of Value"/>
      <sheetName val="Graph"/>
      <sheetName val="Compare Contract w Owning"/>
      <sheetName val="Case I Summary"/>
      <sheetName val="Assumptions of Purchase"/>
      <sheetName val="Plant Financials"/>
      <sheetName val="Existing Debt"/>
      <sheetName val="Gas Sales and Transmission"/>
      <sheetName val="Displacement"/>
      <sheetName val="Boiler Margin"/>
      <sheetName val="Post 2008"/>
      <sheetName val="Book and Tax Depreciation"/>
      <sheetName val="Overhaul Costs"/>
      <sheetName val="Income"/>
      <sheetName val="Cash Flow"/>
      <sheetName val="Income $1"/>
      <sheetName val="Cash Flow $1"/>
      <sheetName val="Plant Financials (2)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42">
          <cell r="B42">
            <v>0.16153846153846152</v>
          </cell>
        </row>
        <row r="45">
          <cell r="B45">
            <v>7.3168750000000005E-2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Verify"/>
      <sheetName val="JHS-4"/>
      <sheetName val="JHS-5"/>
      <sheetName val="JHS-5.01(A)"/>
      <sheetName val="JHS-6"/>
      <sheetName val="JHS-7"/>
      <sheetName val="JHS-8 Unit Cost"/>
      <sheetName val="JHS-9 Ex A-1"/>
      <sheetName val="JHS-9 Ex A-2"/>
      <sheetName val="JHS-9 Ex A-3"/>
      <sheetName val="JHS-9 Ex A-4"/>
      <sheetName val="JHS-9 Ex A-5"/>
      <sheetName val="Comparison (For Later)"/>
      <sheetName val="DEM RY PC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n OM11GRC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">
          <cell r="AP2" t="str">
            <v>Docket Number UE-11_____</v>
          </cell>
        </row>
      </sheetData>
      <sheetData sheetId="3"/>
      <sheetData sheetId="4"/>
      <sheetData sheetId="5">
        <row r="7">
          <cell r="A7" t="str">
            <v>FOR THE TWELVE MONTHS ENDED DECEMBER 31, 2010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 refreshError="1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G10">
            <v>3899156234.7366662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G11">
            <v>1633292456.7583332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G12">
            <v>370185426.19333333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G19">
            <v>159671484.9941667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G21">
            <v>0</v>
          </cell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G22">
            <v>6772283.6800000006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G23">
            <v>1087695.7925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G25">
            <v>83909888.509583339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G26">
            <v>24020721.867083337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G27">
            <v>9591058.5233333334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G28">
            <v>2843517.26125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G29">
            <v>24118.188750000001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G31">
            <v>3738085.9166666665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G32">
            <v>3989117.7083333335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G33">
            <v>-1640346898.7474997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G34">
            <v>-513210444.23708326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G35">
            <v>-32186693.927916672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G36">
            <v>22635835.908749998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G37">
            <v>18910570.395833332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G38">
            <v>3533454.0866666664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G39">
            <v>-4605907.9933333332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G40">
            <v>398163.80791666667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4">
          <cell r="AG44">
            <v>0</v>
          </cell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G45">
            <v>3113429.9708333332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G46">
            <v>3115699.4562500003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G47">
            <v>176298.33499999999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G48">
            <v>-487236.82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G49">
            <v>-82542.285000000018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G50">
            <v>-3152272.2174999993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G51">
            <v>-1184736.531666667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G52">
            <v>1702574.0900000005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G57">
            <v>-80246014.890833333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G59">
            <v>-17367913.756250001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G60">
            <v>-13223254.255416663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G61">
            <v>-81381462.303749993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G62">
            <v>197297.82000000004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G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G64">
            <v>3888461.8937500007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G65">
            <v>299322.71250000002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G66">
            <v>-2985532.4537499999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G72">
            <v>-544839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G74">
            <v>-207199.27000000002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G76">
            <v>-24669963.66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G77">
            <v>3246533.9704166669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G79">
            <v>-654955.22791666666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G80">
            <v>2868151.7229166664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G81">
            <v>-423291.69708333333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G83">
            <v>117880815.76083332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G84">
            <v>13123277.291666666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G87">
            <v>37362672.052500002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G88">
            <v>-79166.666666666672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G94">
            <v>640.41666666666663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G95">
            <v>83856.875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G97">
            <v>69889.993749999994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G99">
            <v>-308356.22291666671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G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G106">
            <v>39357.335416666669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G108">
            <v>1812152.0066666666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G111">
            <v>134.84583333333333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G112">
            <v>98444.434166666659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G113">
            <v>1881863.5720833335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G114">
            <v>905.625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G118">
            <v>1574230.5337499997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G120">
            <v>95175.521666666682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G121">
            <v>22176.08083333333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G122">
            <v>9198.9258333333328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G123">
            <v>76825.60291666667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G124">
            <v>31676.75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G125">
            <v>-1247018.3233333332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G126">
            <v>145833.33333333334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G127">
            <v>8739.6104166666664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G129">
            <v>1234237589.2425003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G130">
            <v>-18124051.317083333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G131">
            <v>-106146.49708333334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G139">
            <v>-1261.3045833333329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G143">
            <v>-1226371867.3899999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G145">
            <v>-8647.8016666666663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G151">
            <v>16.125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G152">
            <v>17074.78875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G154">
            <v>1061816.1187500001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G155">
            <v>-337554.16541666671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G156">
            <v>-355523.27750000003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G159">
            <v>10498553.943333335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G160">
            <v>52993.567500000005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G161">
            <v>-1192.2820833333333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G162">
            <v>7545.7304166666681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G163">
            <v>-9665.3704166666666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G164">
            <v>-4889.5179166666667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G165">
            <v>219380.88041666665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G166">
            <v>14023725.663333332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G167">
            <v>1572.8041666666661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G168">
            <v>23785947.33583333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G169">
            <v>-7756.5225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G170">
            <v>21787935.764583331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G171">
            <v>313636.16208333336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G172">
            <v>466.87208333333348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G173">
            <v>153.57125000000005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G174">
            <v>-16412.782916666667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G175">
            <v>35333.852500000001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G176">
            <v>-220615.16208333336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G177">
            <v>-234779.88583333333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G178">
            <v>-19982277.413750004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G179">
            <v>-67407.323333333348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G180">
            <v>0</v>
          </cell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G181">
            <v>-102332.89541666668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G184">
            <v>-260218.25625000001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G185">
            <v>277723.92708333331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G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G188">
            <v>0</v>
          </cell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G189">
            <v>16100.873333333338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G190">
            <v>308482.58833333338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G192">
            <v>122504.74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G196">
            <v>3056.375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G197">
            <v>633028.20833333337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G198">
            <v>4675.7299999999987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G199">
            <v>496915.75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G200">
            <v>4060.0358333333338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G201">
            <v>-3227.5341666666668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G204">
            <v>13395.565416666665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G205">
            <v>443538.54458333337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G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G207">
            <v>156.7141666666667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G208">
            <v>58181.324583333335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G209">
            <v>44974984.604166664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G210">
            <v>5991164.7625000002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G216">
            <v>308356.22291666671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G217">
            <v>385556.92083333334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G220">
            <v>-384343.55583333335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G221">
            <v>94563801.19916667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G223">
            <v>7002.8499999999995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G225">
            <v>38562477.249583341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G226">
            <v>-67254823.875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G227">
            <v>-27224954.083333332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G228">
            <v>133104704.33333333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G229">
            <v>-4875000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G230">
            <v>41382.125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G231">
            <v>15675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G232">
            <v>-22454849.852500003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G233">
            <v>0</v>
          </cell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G234">
            <v>-3.6491666666666664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G235">
            <v>3288.3491666666669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G237">
            <v>1532.8754166666668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G238">
            <v>-1697.2174999999997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G239">
            <v>0</v>
          </cell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G240">
            <v>10854058.44875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G241">
            <v>122053.60000000002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G242">
            <v>114732.37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G245">
            <v>13656149.512500001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G246">
            <v>1086103.84375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G247">
            <v>12444851.593750002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G249">
            <v>41967.105833333328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G250">
            <v>-21041.143749999999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G254">
            <v>-6.9241666666666672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G255">
            <v>298000.9366666667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G256">
            <v>2704883.19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G257">
            <v>6441.5579166666676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G259">
            <v>50997.327916666669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G260">
            <v>9947142.5291666668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G261">
            <v>66505247.618333347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G262">
            <v>666.37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G265">
            <v>-11693.827916666667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G266">
            <v>33875.055416666662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G267">
            <v>28722.269583333331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G268">
            <v>686901.11250000016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G269">
            <v>59841.265833333338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G270">
            <v>0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G271">
            <v>46501.368750000001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G272">
            <v>470316.98499999987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G273">
            <v>981065.80291666684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G274">
            <v>405602.22333333333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G275">
            <v>153376.68416666667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G276">
            <v>15566.456666666667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G277">
            <v>588802.12124999997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G278">
            <v>196945.65041666664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G279">
            <v>153834.93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G282">
            <v>-762055.05999999994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G284">
            <v>-259983.76041666666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G287">
            <v>599755.41666666663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G288">
            <v>204427.75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G289">
            <v>-121878.65916666668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G290">
            <v>-512625.48499999993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G291">
            <v>3843.2320833333338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G292">
            <v>120748.51666666668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G293">
            <v>69075.088333333333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G294">
            <v>67092.246249999982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G295">
            <v>37206.120833333334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G296">
            <v>0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G297">
            <v>3600500.1133333333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G299">
            <v>657716.03708333336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G300">
            <v>934256.26291666657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G301">
            <v>119152.40666666668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G302">
            <v>19446.528333333332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G304">
            <v>3925921.1716666664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G305">
            <v>1184995.9208333332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G307">
            <v>2684186.3008333337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G308">
            <v>7359.2899999999981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G312">
            <v>1358124.6708333332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G313">
            <v>226.11750000000004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G314">
            <v>70091.861666666664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G315">
            <v>110.46124999999996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G316">
            <v>144056.90166666664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G318">
            <v>0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G319">
            <v>563111.10916666675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G320">
            <v>82554.491666666669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G325">
            <v>-2932.5733333333333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G326">
            <v>-1264.2662499999999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G328">
            <v>5227346.2262500003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G329">
            <v>2868952.8283333336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G330">
            <v>-5199695.9237500001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G331">
            <v>2216670.4983333326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G333">
            <v>11436204.515000001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G334">
            <v>3872220.0808333331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G335">
            <v>2137950.2512500002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G336">
            <v>2499029.757916667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G338">
            <v>1354044.1820833336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G340">
            <v>181387.84208333332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G341">
            <v>55403.834583333322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G342">
            <v>-25958.445000000007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G343">
            <v>9032550.8670833353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G344">
            <v>6095338.3849999988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G345">
            <v>12512721.42375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G346">
            <v>541186.29999999993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G347">
            <v>0</v>
          </cell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G348">
            <v>3630.0791666666678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G350">
            <v>680741.73458333325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G351">
            <v>6106.7104166666659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G352">
            <v>7462.1483333333335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G353">
            <v>646609.08416666661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G354">
            <v>15423.300000000001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G356">
            <v>36650.659166666672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G357">
            <v>22508.721666666665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G358">
            <v>662932.37541666662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G359">
            <v>11853.29166666667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G361">
            <v>28968.752499999999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G364">
            <v>0</v>
          </cell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G374">
            <v>6125.9758333333339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G375">
            <v>414599.38166666665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G376">
            <v>99502.51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G377">
            <v>359695.8033333334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G380">
            <v>1324.1266666666663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G381">
            <v>4972.0704166666674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G383">
            <v>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G384">
            <v>43099.188750000001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G385">
            <v>17780.018749999999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G386">
            <v>46166.786666666674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G387">
            <v>46166.798749999994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G388">
            <v>668507.45000000019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G389">
            <v>2212040.5683333334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G390">
            <v>150159.4325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G393">
            <v>43442.523333333324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G394">
            <v>75516.625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G396">
            <v>7594.2945833333333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G397">
            <v>19879.167916666665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G398">
            <v>19312.5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G400">
            <v>245653.81208333335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G401">
            <v>0</v>
          </cell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G403">
            <v>111041.65541666669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G405">
            <v>58619.3675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G408">
            <v>649.12708333333319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G411">
            <v>71331.551250000004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G412">
            <v>9500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G419">
            <v>738.33416666666665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G424">
            <v>-1.0275000000000001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G426">
            <v>2.4683333333333333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G427">
            <v>1110.9816666666668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G428">
            <v>0</v>
          </cell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G429">
            <v>58614595.25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G430">
            <v>22637718.637916666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G431">
            <v>1086343.9495833335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G432">
            <v>-37783158.25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G433">
            <v>-16492420.083333334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G434">
            <v>1383664.6833333333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G435">
            <v>252788.125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G436">
            <v>2955821.5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G437">
            <v>2899347.4583333335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G438">
            <v>7243287.625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G439">
            <v>0</v>
          </cell>
          <cell r="AH439">
            <v>0</v>
          </cell>
          <cell r="AI439">
            <v>0</v>
          </cell>
          <cell r="AJ439">
            <v>0</v>
          </cell>
        </row>
        <row r="440">
          <cell r="AG440">
            <v>0</v>
          </cell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G443">
            <v>1534962.6999999995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G445">
            <v>87362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G446">
            <v>145417.71875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G447">
            <v>212115.30374999999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G448">
            <v>445187.73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G449">
            <v>50594.44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G450">
            <v>214371.86000000002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G451">
            <v>12793.300833333333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G452">
            <v>11189.38875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G453">
            <v>208644.91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G454">
            <v>0</v>
          </cell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G455">
            <v>177947.74958333335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G456">
            <v>591888.40416666667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G457">
            <v>181218.59416666665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G458">
            <v>190733.79583333337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G460">
            <v>80607.14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G462">
            <v>2.5000000000000001E-3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G467">
            <v>314.70666666666665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G468">
            <v>61426.114999999991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G469">
            <v>90771.483750000014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G471">
            <v>1501.8595833333331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G472">
            <v>1752.7050000000002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G473">
            <v>6426.7849999999999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G474">
            <v>367204.02999999997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G475">
            <v>29993.054999999997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G476">
            <v>913839.09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G477">
            <v>2497800.4912500004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G478">
            <v>651522.32999999996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G479">
            <v>823708.99458333338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G480">
            <v>1179723.8400000001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G481">
            <v>132497.37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G482">
            <v>1431709.83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G484">
            <v>6447608.1924999999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G485">
            <v>85995.421249999999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G486">
            <v>3220944.5733333328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G487">
            <v>544345.67916666658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G490">
            <v>0</v>
          </cell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G491">
            <v>512487.51666666666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G492">
            <v>376220.67708333331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G493">
            <v>316460.45458333334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G497">
            <v>12869228.720000001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G500">
            <v>0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G501">
            <v>0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G502">
            <v>0</v>
          </cell>
          <cell r="AH502">
            <v>0</v>
          </cell>
          <cell r="AI502">
            <v>0</v>
          </cell>
          <cell r="AJ502">
            <v>0</v>
          </cell>
        </row>
        <row r="503">
          <cell r="AG503">
            <v>0</v>
          </cell>
          <cell r="AH503">
            <v>0</v>
          </cell>
          <cell r="AI503">
            <v>0</v>
          </cell>
          <cell r="AJ503">
            <v>0</v>
          </cell>
        </row>
        <row r="504">
          <cell r="AG504">
            <v>0</v>
          </cell>
          <cell r="AH504">
            <v>0</v>
          </cell>
          <cell r="AI504">
            <v>0</v>
          </cell>
          <cell r="AJ504">
            <v>0</v>
          </cell>
        </row>
        <row r="505">
          <cell r="AG505">
            <v>0</v>
          </cell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G506">
            <v>227519603.87625003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G507">
            <v>10161321.180000002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G508">
            <v>126367.20833333333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G509">
            <v>9473741.2841666657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G511">
            <v>30054378.090000004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G512">
            <v>1750805.6758333335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G514">
            <v>258457.40333333332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G515">
            <v>-9367927.8599999994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G516">
            <v>2947396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G519">
            <v>-63378677.990000002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G525">
            <v>23436.809999999998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G527">
            <v>2164556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G529">
            <v>12239095.373749999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G531">
            <v>1186509.5266666666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G534">
            <v>154505.82791666666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G538">
            <v>13359763.299999999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G539">
            <v>-13359763.299999999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G541">
            <v>25007.430833333332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G543">
            <v>157544.79416666666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G544">
            <v>1710.4541666666667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G545">
            <v>5586.1895833333328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G546">
            <v>2236.8454166666666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G547">
            <v>1233.4937500000001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G548">
            <v>4767.8625000000002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G549">
            <v>243828.87583333332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G550">
            <v>1640884.4600000002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G551">
            <v>2109769.4420833332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G552">
            <v>-338012.85625000001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G553">
            <v>-9321538.9916666653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G554">
            <v>160943064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G555">
            <v>0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G556">
            <v>0</v>
          </cell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G557">
            <v>416303.33333333331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G558">
            <v>-416303.33333333331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G559">
            <v>0</v>
          </cell>
          <cell r="AH559">
            <v>0</v>
          </cell>
          <cell r="AI559">
            <v>0</v>
          </cell>
          <cell r="AJ559">
            <v>0</v>
          </cell>
        </row>
        <row r="560">
          <cell r="AG560">
            <v>0</v>
          </cell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G561">
            <v>0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G562">
            <v>0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G563">
            <v>1197064.0645833334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G565">
            <v>0</v>
          </cell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G566">
            <v>27032433.507499997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G567">
            <v>2085211.582916667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G568">
            <v>2044654.6291666671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G569">
            <v>281517.17708333331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G577">
            <v>1538686.2429166667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G579">
            <v>2227541.2941666665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G580">
            <v>0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G581">
            <v>41891.937500000007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G582">
            <v>73572.842083333337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G584">
            <v>7477.98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G586">
            <v>10680.527499999998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G587">
            <v>17916.666666666668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G588">
            <v>0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G615">
            <v>359965.02791666664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G616">
            <v>37.1175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G617">
            <v>2150.6454166666667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G618">
            <v>1794.6570833333328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G619">
            <v>1332.3158333333333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G620">
            <v>50447.732916666668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G621">
            <v>2981.5475000000001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G622">
            <v>23008.210000000003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G623">
            <v>87974.39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G624">
            <v>8473.5445833333342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G625">
            <v>0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G626">
            <v>0</v>
          </cell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G627">
            <v>0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G628">
            <v>0</v>
          </cell>
          <cell r="AH628">
            <v>0</v>
          </cell>
          <cell r="AI628">
            <v>0</v>
          </cell>
          <cell r="AJ628">
            <v>0</v>
          </cell>
        </row>
        <row r="629">
          <cell r="AG629">
            <v>0</v>
          </cell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G632">
            <v>1278687.9079166667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G633">
            <v>144359.67166666666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G634">
            <v>109085.04625000001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G635">
            <v>53926.082083333335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G636">
            <v>10585.2075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G637">
            <v>403096.91166666668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G638">
            <v>189152.93999999997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G639">
            <v>-1790443.5249999997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G640">
            <v>-387028.17458333331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G641">
            <v>549882.87708333321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G642">
            <v>0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G643">
            <v>0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G645">
            <v>72189.946249999994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G646">
            <v>6774.901249999999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G648">
            <v>-571963.74708333332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G650">
            <v>338563.01666666666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G651">
            <v>-328040.98666666663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G652">
            <v>15467.631249999997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G653">
            <v>16349.248750000006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G656">
            <v>-67.651666666666671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G658">
            <v>294637.04416666663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G660">
            <v>-89.583333333333329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G664">
            <v>619.84625000000005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G665">
            <v>1436.0620833333335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G666">
            <v>12878.130833333335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G667">
            <v>912.48083333333341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G668">
            <v>303.78125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G669">
            <v>499.4708333333333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G670">
            <v>-261.05416666666667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G671">
            <v>60.588333333333331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G672">
            <v>282.75166666666667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G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G679">
            <v>-1311.0908333333334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G680">
            <v>-16.465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G681">
            <v>0</v>
          </cell>
          <cell r="AH681">
            <v>0</v>
          </cell>
          <cell r="AI681">
            <v>0</v>
          </cell>
          <cell r="AJ681">
            <v>0</v>
          </cell>
        </row>
        <row r="682">
          <cell r="AG682">
            <v>0</v>
          </cell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G683">
            <v>-80999.089999999982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G684">
            <v>0</v>
          </cell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G685">
            <v>21766.872916666664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G686">
            <v>0</v>
          </cell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G687">
            <v>626744.55624999991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G689">
            <v>1241972.5341666669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G690">
            <v>297.21833333333336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G691">
            <v>40.083333333333336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G692">
            <v>10420892.5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G693">
            <v>186.35166666666666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G694">
            <v>83276858.479166672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G695">
            <v>3370.8970833333333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G696">
            <v>131288.21666666665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G699">
            <v>4.7566666666666704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G700">
            <v>740.12208333333331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G702">
            <v>845397.6529166667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G703">
            <v>395421.61000000004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G704">
            <v>169.79166666666666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G705">
            <v>632940.83333333337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G707">
            <v>26536.914999999997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G708">
            <v>404.625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G712">
            <v>3429.4166666666665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G713">
            <v>6513.354166666667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G714">
            <v>17.708333333333332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G716">
            <v>172.70749999999998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G717">
            <v>43.414583333333326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G718">
            <v>157730.30333333334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G719">
            <v>10339.358333333334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G721">
            <v>4723.0045833333334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G724">
            <v>0</v>
          </cell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G727">
            <v>2514014.7916666665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G728">
            <v>-879905.20833333337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G731">
            <v>0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G732">
            <v>-2834736.8333333335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G734">
            <v>0</v>
          </cell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G735">
            <v>7580.0358333333288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G736">
            <v>0</v>
          </cell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G737">
            <v>257985.48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G738">
            <v>16279.333333333334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G739">
            <v>396079.33416666667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G740">
            <v>60431.485000000008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G745">
            <v>34386858.559999995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G746">
            <v>-58328050.006666668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G747">
            <v>36348109.22291667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G748">
            <v>9349896.459999999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G750">
            <v>1239088.45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G751">
            <v>7601.050000000002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G752">
            <v>1843181.1450000003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G753">
            <v>2577977.959999999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G754">
            <v>535505.86666666658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G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G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G758">
            <v>673468.35374999989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G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G760">
            <v>1292181.8895833334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G761">
            <v>2097071.9595833335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G764">
            <v>25795.207083333331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G765">
            <v>1669958.1545833333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G766">
            <v>3043446.16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G767">
            <v>-598835.77500000002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G771">
            <v>1256455.0979166667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G772">
            <v>3247252.6575000002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G774">
            <v>249854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G778">
            <v>855.84250000000009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G780">
            <v>96295.335000000006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G783">
            <v>418517.87875000009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G784">
            <v>-8.3333333333333339E-4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G785">
            <v>3518336.3049999997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G786">
            <v>38990.298750000009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G787">
            <v>375013.89624999999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G788">
            <v>252932.77000000002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G789">
            <v>160976.35416666666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G790">
            <v>451013.74500000005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G791">
            <v>53357.49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G792">
            <v>682048.96750000003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G793">
            <v>518301.1020833333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G794">
            <v>1587014.1762499998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G795">
            <v>445254.93208333332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G796">
            <v>11446.592083333331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G797">
            <v>26708.416249999995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G798">
            <v>12627.516250000001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G799">
            <v>447597.21083333337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G800">
            <v>349365.44124999997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G801">
            <v>50144.346249999995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G802">
            <v>26491.957916666666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G803">
            <v>0</v>
          </cell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G804">
            <v>2423547.3450000002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G805">
            <v>-24274078.705416668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G807">
            <v>-25984664.073333338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G808">
            <v>-949375.49624999997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G809">
            <v>-29784.801250000008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G810">
            <v>0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G811">
            <v>0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G813">
            <v>5231517078.7645855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G815">
            <v>-63598251.922916673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G818">
            <v>46778090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G819">
            <v>0</v>
          </cell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G822">
            <v>-159375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G823">
            <v>40584.246666666681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G824">
            <v>109010.33333333333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G825">
            <v>38608265.333333336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G827">
            <v>-23140166.666666668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G828">
            <v>2464458.3333333335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G829">
            <v>2778226.3333333335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G830">
            <v>2151750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G831">
            <v>712499.41666666663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G832">
            <v>3574838.4166666665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G833">
            <v>84153.75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G835">
            <v>-220833.33333333334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G837">
            <v>2116416.6666666665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G838">
            <v>340907.29166666669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G840">
            <v>1027500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G843">
            <v>5937363.916666667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G845">
            <v>0</v>
          </cell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G846">
            <v>2331884.375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G848">
            <v>1362685.3333333333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G849">
            <v>0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G850">
            <v>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G851">
            <v>1768056.625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G853">
            <v>19583.333333333332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G856">
            <v>854750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G861">
            <v>5298375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G862">
            <v>3404125.4583333335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G863">
            <v>59302.541666666664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G864">
            <v>0</v>
          </cell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G865">
            <v>726875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G866">
            <v>22916.666666666668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G867">
            <v>29166.666666666668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G868">
            <v>0</v>
          </cell>
          <cell r="AH868">
            <v>0</v>
          </cell>
          <cell r="AI868">
            <v>0</v>
          </cell>
          <cell r="AJ868">
            <v>0</v>
          </cell>
        </row>
        <row r="869">
          <cell r="AG869">
            <v>0</v>
          </cell>
          <cell r="AH869">
            <v>0</v>
          </cell>
          <cell r="AI869">
            <v>0</v>
          </cell>
          <cell r="AJ869">
            <v>0</v>
          </cell>
        </row>
        <row r="870">
          <cell r="AG870">
            <v>0</v>
          </cell>
          <cell r="AH870">
            <v>0</v>
          </cell>
          <cell r="AI870">
            <v>0</v>
          </cell>
          <cell r="AJ870">
            <v>0</v>
          </cell>
        </row>
        <row r="871">
          <cell r="AG871">
            <v>0</v>
          </cell>
          <cell r="AH871">
            <v>0</v>
          </cell>
          <cell r="AI871">
            <v>0</v>
          </cell>
          <cell r="AJ871">
            <v>0</v>
          </cell>
        </row>
        <row r="872">
          <cell r="AG872">
            <v>0</v>
          </cell>
          <cell r="AH872">
            <v>0</v>
          </cell>
          <cell r="AI872">
            <v>0</v>
          </cell>
          <cell r="AJ872">
            <v>0</v>
          </cell>
        </row>
        <row r="873">
          <cell r="AG873">
            <v>0</v>
          </cell>
          <cell r="AH873">
            <v>0</v>
          </cell>
          <cell r="AI873">
            <v>0</v>
          </cell>
          <cell r="AJ873">
            <v>0</v>
          </cell>
        </row>
        <row r="874">
          <cell r="AG874">
            <v>0</v>
          </cell>
          <cell r="AH874">
            <v>0</v>
          </cell>
          <cell r="AI874">
            <v>0</v>
          </cell>
          <cell r="AJ874">
            <v>0</v>
          </cell>
        </row>
        <row r="875">
          <cell r="AG875">
            <v>0</v>
          </cell>
          <cell r="AH875">
            <v>0</v>
          </cell>
          <cell r="AI875">
            <v>0</v>
          </cell>
          <cell r="AJ875">
            <v>0</v>
          </cell>
        </row>
        <row r="876">
          <cell r="AG876">
            <v>0</v>
          </cell>
          <cell r="AH876">
            <v>0</v>
          </cell>
          <cell r="AI876">
            <v>0</v>
          </cell>
          <cell r="AJ876">
            <v>0</v>
          </cell>
        </row>
        <row r="877">
          <cell r="AG877">
            <v>0</v>
          </cell>
          <cell r="AH877">
            <v>0</v>
          </cell>
          <cell r="AI877">
            <v>0</v>
          </cell>
          <cell r="AJ877">
            <v>0</v>
          </cell>
        </row>
        <row r="878">
          <cell r="AG878">
            <v>0</v>
          </cell>
          <cell r="AH878">
            <v>0</v>
          </cell>
          <cell r="AI878">
            <v>0</v>
          </cell>
          <cell r="AJ878">
            <v>0</v>
          </cell>
        </row>
        <row r="879">
          <cell r="AG879">
            <v>0</v>
          </cell>
          <cell r="AH879">
            <v>0</v>
          </cell>
          <cell r="AI879">
            <v>0</v>
          </cell>
          <cell r="AJ879">
            <v>0</v>
          </cell>
        </row>
        <row r="880">
          <cell r="AG880">
            <v>0</v>
          </cell>
          <cell r="AH880">
            <v>0</v>
          </cell>
          <cell r="AI880">
            <v>0</v>
          </cell>
          <cell r="AJ880">
            <v>0</v>
          </cell>
        </row>
        <row r="881">
          <cell r="AG881">
            <v>0</v>
          </cell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G883">
            <v>-60000000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G885">
            <v>-431100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G886">
            <v>-1470487.5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G887">
            <v>-32343750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G888">
            <v>-87656250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G889">
            <v>-200000000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G893">
            <v>-154.6875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G894">
            <v>-16050268.320000002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G895">
            <v>-256594.16666666666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G896">
            <v>-4329698.958333333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G897">
            <v>5697865.416666667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G898">
            <v>10479064.791666666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G899">
            <v>1072536.875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G900">
            <v>-13481340.833333334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G902">
            <v>1650848.74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G905">
            <v>-5312805.458333333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G906">
            <v>-780108.83333333337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G909">
            <v>-108063850.17208336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G915">
            <v>-75442765.768333316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G916">
            <v>26661328.412083339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G919">
            <v>1229050.6666666667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G920">
            <v>352289.20833333331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G921">
            <v>2304566.4775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G922">
            <v>-16452856.041666666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G923">
            <v>18855320.916666668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G924">
            <v>38816175.083333336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G925">
            <v>-50294894.083333336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G926">
            <v>-770363.5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G927">
            <v>5736416.666666667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G928">
            <v>0</v>
          </cell>
          <cell r="AH928">
            <v>0</v>
          </cell>
          <cell r="AI928">
            <v>0</v>
          </cell>
          <cell r="AJ928">
            <v>0</v>
          </cell>
        </row>
        <row r="929"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0">
          <cell r="AG930">
            <v>0</v>
          </cell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G935">
            <v>-12604166.666666666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G937">
            <v>-10725000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G939">
            <v>-40104166.666666664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G941">
            <v>-12707500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G942">
            <v>-1375000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G943">
            <v>-3208333.3333333335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G945">
            <v>-15625000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G946">
            <v>-1312500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G948">
            <v>-4375000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G949">
            <v>-1312500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G951">
            <v>-17500000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G953">
            <v>-2625000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G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G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G972">
            <v>-3125000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G973">
            <v>-4583333.333333333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G982">
            <v>-5208333.333333333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G984">
            <v>-18750000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G986">
            <v>-11250000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G987">
            <v>-3000000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G988">
            <v>-11000000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G989">
            <v>-1659956.7791666668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G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G999">
            <v>-40000000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G1000">
            <v>-74999166.666666672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G1001">
            <v>-12675000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G1002">
            <v>-43750000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G1004">
            <v>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G1005">
            <v>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G1007">
            <v>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G1008">
            <v>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G1013">
            <v>47.023333333333333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G1014">
            <v>24153.349999999995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G1015">
            <v>-784375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G1017">
            <v>-34746823.587916665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G1018">
            <v>-81662.2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G1019">
            <v>-1538686.2429166667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G1020">
            <v>-135001.89583333334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G1021">
            <v>-10447.554166666667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G1023">
            <v>-61499.564166666678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G1024">
            <v>-4166.666666666667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G1025">
            <v>-341250.23000000004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G1026">
            <v>-141752.26291666663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G1028">
            <v>-17916.666666666668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G1030">
            <v>-1428731.1533333336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G1031">
            <v>-287110.41666666669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G1032">
            <v>-163549.40625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G1033">
            <v>-547763.95833333337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G1034">
            <v>-338718.97916666669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G1035">
            <v>-617650.35124999995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G1041">
            <v>-18730416.666666668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G1042">
            <v>-26614083.333333332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G1046">
            <v>0</v>
          </cell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G1049">
            <v>-208333.33333333334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G1055">
            <v>-2742186.0275000003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G1056">
            <v>-6722402.0099999988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G1057">
            <v>-849982.9520833334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G1058">
            <v>-3301887.7483333335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G1059">
            <v>-10800915.8925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G1060">
            <v>-13330707.375833334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G1061">
            <v>-619853.86333333328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G1062">
            <v>-22270748.072083335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G1063">
            <v>-148039.77249999999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G1064">
            <v>0</v>
          </cell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G1065">
            <v>-222674.46083333335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G1066">
            <v>-64505.576249999984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G1067">
            <v>-48264.88749999999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G1068">
            <v>-84.15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G1070">
            <v>-53136.810416666674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G1071">
            <v>897184.62250000006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G1073">
            <v>-802081.39083333348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G1074">
            <v>-2497899.0050000004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G1075">
            <v>-43869424.620833337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G1076">
            <v>-1587.7745833333336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G1077">
            <v>-1197.9837500000001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G1079">
            <v>-193754.79166666666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G1081">
            <v>2.0833333333333335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G1082">
            <v>-2139.1220833333332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G1085">
            <v>-7782708.5141666653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G1094">
            <v>-4620184.6445833342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G1096">
            <v>-21845882.999166664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G1098">
            <v>0</v>
          </cell>
          <cell r="AH1098">
            <v>0</v>
          </cell>
          <cell r="AI1098">
            <v>0</v>
          </cell>
          <cell r="AJ1098">
            <v>0</v>
          </cell>
        </row>
        <row r="1099">
          <cell r="AG1099">
            <v>0</v>
          </cell>
          <cell r="AH1099">
            <v>0</v>
          </cell>
          <cell r="AI1099">
            <v>0</v>
          </cell>
          <cell r="AJ1099">
            <v>0</v>
          </cell>
        </row>
        <row r="1100">
          <cell r="AG1100">
            <v>0</v>
          </cell>
          <cell r="AH1100">
            <v>0</v>
          </cell>
          <cell r="AI1100">
            <v>0</v>
          </cell>
          <cell r="AJ1100">
            <v>0</v>
          </cell>
        </row>
        <row r="1101">
          <cell r="AG1101">
            <v>0</v>
          </cell>
          <cell r="AH1101">
            <v>0</v>
          </cell>
          <cell r="AI1101">
            <v>0</v>
          </cell>
          <cell r="AJ1101">
            <v>0</v>
          </cell>
        </row>
        <row r="1102">
          <cell r="AG1102">
            <v>0</v>
          </cell>
          <cell r="AH1102">
            <v>0</v>
          </cell>
          <cell r="AI1102">
            <v>0</v>
          </cell>
          <cell r="AJ1102">
            <v>0</v>
          </cell>
        </row>
        <row r="1103">
          <cell r="AG1103">
            <v>0</v>
          </cell>
          <cell r="AH1103">
            <v>0</v>
          </cell>
          <cell r="AI1103">
            <v>0</v>
          </cell>
          <cell r="AJ1103">
            <v>0</v>
          </cell>
        </row>
        <row r="1104">
          <cell r="AG1104">
            <v>0</v>
          </cell>
          <cell r="AH1104">
            <v>0</v>
          </cell>
          <cell r="AI1104">
            <v>0</v>
          </cell>
          <cell r="AJ1104">
            <v>0</v>
          </cell>
        </row>
        <row r="1105">
          <cell r="AG1105">
            <v>0</v>
          </cell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G1106">
            <v>-2854653.2475000001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G1107">
            <v>-720680.9833333334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G1108">
            <v>0</v>
          </cell>
          <cell r="AH1108">
            <v>0</v>
          </cell>
          <cell r="AI1108">
            <v>0</v>
          </cell>
          <cell r="AJ1108">
            <v>0</v>
          </cell>
        </row>
        <row r="1109">
          <cell r="AG1109">
            <v>0</v>
          </cell>
          <cell r="AH1109">
            <v>0</v>
          </cell>
          <cell r="AI1109">
            <v>0</v>
          </cell>
          <cell r="AJ1109">
            <v>0</v>
          </cell>
        </row>
        <row r="1110">
          <cell r="AG1110">
            <v>0</v>
          </cell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G1111">
            <v>544.18583333333333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G1112">
            <v>-473355.67708333331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G1113">
            <v>-280735.66666666669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G1114">
            <v>-11851169.941250002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G1115">
            <v>-1676738.9658333336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G1116">
            <v>-2421240.6150000007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G1117">
            <v>0</v>
          </cell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G1118">
            <v>-12046.397916666667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G1119">
            <v>-28887.732083333336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G1120">
            <v>-22968.820000000003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G1121">
            <v>-2926.5662499999999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G1122">
            <v>-42174.052916666675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G1123">
            <v>-7948.1025000000009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G1124">
            <v>0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G1125">
            <v>2535.8329166666663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G1127">
            <v>-30525.31791666667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G1129">
            <v>-2102.875833333333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G1130">
            <v>-5425314.3495833334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G1131">
            <v>-218223.7033333334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G1132">
            <v>-136661.92083333334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G1133">
            <v>164475.79958333331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G1134">
            <v>-16979.723750000001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G1136">
            <v>-660.42166666666662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G1137">
            <v>-1767.86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G1139">
            <v>-989921.96958333347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G1142">
            <v>-826615.11416666664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G1143">
            <v>-2682029.1158333342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G1144">
            <v>-7704791.2387499996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G1145">
            <v>-80000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G1146">
            <v>-48823.52375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G1147">
            <v>-221378.14458333331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G1151">
            <v>-14349177.764583336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G1152">
            <v>0</v>
          </cell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G1153">
            <v>-142.28458333333333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G1154">
            <v>-103810.32541666667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G1156">
            <v>-270434.15749999997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G1159">
            <v>-23057113.2075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G1160">
            <v>-6001985.072916667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G1161">
            <v>-3011983.6079166667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G1162">
            <v>-12111448.281666666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G1163">
            <v>-94.93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G1164">
            <v>-3647885.9395833332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G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G1167">
            <v>-262812.07749999996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G1168">
            <v>-843774.8208333333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G1169">
            <v>-4129198.8716666666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G1170">
            <v>-1786205.6516666666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G1172">
            <v>-1979290.6291666667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G1174">
            <v>-793528.41333333321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G1175">
            <v>-1944.3308333333334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G1176">
            <v>-127720.06958333334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G1177">
            <v>-238205.67124999998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G1178">
            <v>-56158.251250000001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G1179">
            <v>-1895411.7083333333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G1180">
            <v>-3361.6520833333329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G1181">
            <v>-570.33708333333323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G1182">
            <v>0</v>
          </cell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G1193">
            <v>-269270.83333333331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G1195">
            <v>-235625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G1196">
            <v>-30187.5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G1197">
            <v>-847048.86875000002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G1198">
            <v>-70353.737083333326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G1199">
            <v>-229712.54166666666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G1201">
            <v>-304361.97916666669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G1202">
            <v>-20637.5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G1203">
            <v>-57137.303333333337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G1204">
            <v>-69563.537916666668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G1205">
            <v>-20604.427083333332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G1207">
            <v>-277812.5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G1209">
            <v>-45811.374166666668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G1210">
            <v>-129624.80333333333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G1211">
            <v>-151749.80333333332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G1213">
            <v>-138399.80333333332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G1217">
            <v>-87999.80333333333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G1218">
            <v>-124599.80333333333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G1220">
            <v>-36800.196666666663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G1222">
            <v>-82749.80333333333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G1224">
            <v>-164499.80333333332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G1226">
            <v>-508749.1766666667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G1227">
            <v>-1937499.2166666668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G1228">
            <v>-63380.137916666667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G1229">
            <v>-88958.333333333328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G1231">
            <v>-926900.09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G1238">
            <v>-122438.86291666667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G1239">
            <v>-962548.69666666666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G1240">
            <v>-388645.83333333331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G1242">
            <v>-223031.25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G1243">
            <v>-46500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G1244">
            <v>-175960.03333333335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G1246">
            <v>-585000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G1247">
            <v>-2110956.0016666665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G1248">
            <v>-63117.797500000008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G1249">
            <v>-16060.08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G1250">
            <v>-19583.491250000003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G1251">
            <v>-16332.467500000001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G1252">
            <v>-40036.249999999993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G1254">
            <v>-1749999.8366666667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G1255">
            <v>-2034.8454166666668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G1256">
            <v>-13952.984999999999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G1257">
            <v>-3369999.8533333335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G1258">
            <v>-15611.052916666667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G1259">
            <v>-69210.078749999986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G1261">
            <v>-481350.17166666669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G1262">
            <v>-3600.4145833333332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G1265">
            <v>-5028282.7833333332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G1267">
            <v>-1444059.1666666667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G1268">
            <v>-632523.1216666667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G1269">
            <v>-937489.58791666676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G1270">
            <v>-161606.25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G1271">
            <v>0</v>
          </cell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G1272">
            <v>-3529.935833333333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G1273">
            <v>-14838.407500000001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G1274">
            <v>-267989.0625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G1276">
            <v>-1349490.7437500001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G1277">
            <v>-153496.40833333333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G1278">
            <v>-102337.96166666667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G1279">
            <v>-5100.7441666666673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G1281">
            <v>902.25916666666672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G1285">
            <v>0</v>
          </cell>
          <cell r="AH1285">
            <v>0</v>
          </cell>
          <cell r="AI1285">
            <v>0</v>
          </cell>
          <cell r="AJ1285">
            <v>0</v>
          </cell>
        </row>
        <row r="1286">
          <cell r="AG1286">
            <v>0</v>
          </cell>
          <cell r="AH1286">
            <v>0</v>
          </cell>
          <cell r="AI1286">
            <v>0</v>
          </cell>
          <cell r="AJ1286">
            <v>0</v>
          </cell>
        </row>
        <row r="1287">
          <cell r="AG1287">
            <v>0</v>
          </cell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G1288">
            <v>0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G1293">
            <v>-1280568.8983333332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G1294">
            <v>-2013055.8266666669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G1295">
            <v>0</v>
          </cell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G1296">
            <v>-82731.853333333333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G1297">
            <v>-82731.853333333333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G1298">
            <v>-56341.233333333337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G1299">
            <v>-56341.233333333337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G1300">
            <v>-69596.513333333321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G1301">
            <v>-1016033.86375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G1302">
            <v>-813731.97083333321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G1304">
            <v>-4422.1099999999997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G1305">
            <v>-224579.63916666666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G1306">
            <v>0</v>
          </cell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G1307">
            <v>-1077924.4350000001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G1308">
            <v>-906743.10041666671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G1309">
            <v>0</v>
          </cell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G1310">
            <v>-774838.23375000013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G1311">
            <v>-303729.65208333347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G1313">
            <v>-20833.333333333332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G1315">
            <v>161.22333333333333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G1316">
            <v>-1533333.3333333333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G1318">
            <v>0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G1319">
            <v>-1122855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G1320">
            <v>0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G1321">
            <v>0</v>
          </cell>
          <cell r="AH1321">
            <v>0</v>
          </cell>
          <cell r="AI1321">
            <v>0</v>
          </cell>
          <cell r="AJ1321">
            <v>0</v>
          </cell>
        </row>
        <row r="1322">
          <cell r="AG1322">
            <v>0</v>
          </cell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G1323">
            <v>-695651.30708333349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G1324">
            <v>-4731023.9604166672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G1325">
            <v>-344081.60499999998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G1332">
            <v>-432482.37041666667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G1333">
            <v>-2635200.0229166667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G1334">
            <v>-18517789.530000005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G1335">
            <v>-10878068.713750001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G1336">
            <v>-446087.59291666659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G1338">
            <v>-21496.120416666665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G1339">
            <v>-58110.346250000002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G1340">
            <v>-279358.72916666663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G1341">
            <v>-742245.76208333333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G1342">
            <v>-678524.13458333339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G1343">
            <v>-369260.24958333327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G1344">
            <v>0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G1346">
            <v>0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G1348">
            <v>0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G1349">
            <v>0</v>
          </cell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G1350">
            <v>-2470607.5100000002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G1354">
            <v>-24835876.166250002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G1356">
            <v>-808150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G1357">
            <v>-1377995.5216666667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G1358">
            <v>-10149244.116249999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G1359">
            <v>-186.04916666666668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G1361">
            <v>-13128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G1364">
            <v>-1795089.3741666665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G1365">
            <v>-17229846.041666668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G1366">
            <v>-55135.612083333333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G1367">
            <v>-6191500.3154166667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G1368">
            <v>-18947.524999999998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G1371">
            <v>-229684.31000000003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G1372">
            <v>-2127799.8633333333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G1373">
            <v>0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G1374">
            <v>-75158.125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G1375">
            <v>-102091.45833333333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G1377">
            <v>-14682130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G1378">
            <v>-662.66375000000005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G1382">
            <v>12539.422083333329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G1383">
            <v>32.228333333333332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G1384">
            <v>0</v>
          </cell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G1385">
            <v>-26056250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G1386">
            <v>-17205758.129999999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G1387">
            <v>0</v>
          </cell>
          <cell r="AH1387">
            <v>0</v>
          </cell>
          <cell r="AI1387">
            <v>0</v>
          </cell>
          <cell r="AJ1387">
            <v>0</v>
          </cell>
        </row>
        <row r="1388">
          <cell r="AG1388">
            <v>0</v>
          </cell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G1389">
            <v>-17458741.549166668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G1394">
            <v>-64610.625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G1397">
            <v>-291666.66666666669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G1398">
            <v>-337500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G1399">
            <v>-414767.9745833333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G1400">
            <v>0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G1401">
            <v>-187500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G1402">
            <v>-851180.21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G1403">
            <v>-35003.527916666666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G1408">
            <v>-95.734166666666667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G1414">
            <v>-865.16583333333347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G1415">
            <v>-359.47541666666666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G1416">
            <v>0</v>
          </cell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G1420">
            <v>14.956250000000002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G1421">
            <v>-198.50750000000002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G1422">
            <v>-23.935833333333335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G1424">
            <v>-4486820.625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G1425">
            <v>-294955.23749999999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G1426">
            <v>-4269235.635416667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G1427">
            <v>-1787976.9612499999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G1428">
            <v>1790443.5249999997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G1429">
            <v>387028.17458333331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G1430">
            <v>-6514.111249999999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G1433">
            <v>0</v>
          </cell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G1434">
            <v>-1667975.9050000003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G1435">
            <v>-72656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G1436">
            <v>-32179.628750000003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G1439">
            <v>-2850418.2045833333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G1440">
            <v>-30999.499166666661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G1442">
            <v>-98497.855833333335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G1444">
            <v>4300195.875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G1445">
            <v>-12923100.119583333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G1446">
            <v>0</v>
          </cell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G1447">
            <v>-947812.25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G1448">
            <v>-19380.39875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G1449">
            <v>-122056.57791666668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G1450">
            <v>0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G1451">
            <v>-71851894.799999982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G1452">
            <v>-3623291.6666666665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G1453">
            <v>-1288879.25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G1454">
            <v>-328736616.95833331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G1455">
            <v>-942583.33333333337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G1457">
            <v>-45478416.666666664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G1458">
            <v>0</v>
          </cell>
          <cell r="AH1458">
            <v>0</v>
          </cell>
          <cell r="AI1458">
            <v>0</v>
          </cell>
          <cell r="AJ1458">
            <v>0</v>
          </cell>
        </row>
        <row r="1459">
          <cell r="AG1459">
            <v>0</v>
          </cell>
          <cell r="AH1459">
            <v>0</v>
          </cell>
          <cell r="AI1459">
            <v>0</v>
          </cell>
          <cell r="AJ1459">
            <v>0</v>
          </cell>
        </row>
        <row r="1460">
          <cell r="AG1460">
            <v>0</v>
          </cell>
          <cell r="AH1460">
            <v>0</v>
          </cell>
          <cell r="AI1460">
            <v>0</v>
          </cell>
          <cell r="AJ1460">
            <v>0</v>
          </cell>
        </row>
        <row r="1461">
          <cell r="AG1461">
            <v>0</v>
          </cell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G1462">
            <v>-6125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G1463">
            <v>904152.97000000009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G1464">
            <v>-266416.66666666669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G1466">
            <v>0</v>
          </cell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G1468">
            <v>0</v>
          </cell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G1478">
            <v>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G1485">
            <v>-6017416.666666667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G1487">
            <v>-3336176.0833333335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G1489">
            <v>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G1490">
            <v>-137833.11666666667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G1491">
            <v>15991.625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G1492">
            <v>-160943064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G1493">
            <v>0</v>
          </cell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G1494">
            <v>23833.333333333332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G1496">
            <v>-4504000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G1499">
            <v>-16048552.75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G1500">
            <v>-36741625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G1501">
            <v>-13451541.666666666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G1503">
            <v>-4005291.6666666665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G1505">
            <v>-10297666.666666666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G1506">
            <v>-117826.75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G1507">
            <v>-364583.33333333331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G1508">
            <v>-28985750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G1509">
            <v>-59583.333333333336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G1510">
            <v>-72387225.291666672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G1511">
            <v>12135.92708333333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G1512">
            <v>42899.414583333331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G1513">
            <v>1875439.4541666666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G1515">
            <v>2809270.254999999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G1518">
            <v>46484716.798333339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G1520">
            <v>-5231517078.7645864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G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 refreshError="1"/>
      <sheetData sheetId="1" refreshError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"/>
      <sheetName val="GRC"/>
      <sheetName val="Aurora &amp; Non Aurora"/>
      <sheetName val="New Resources"/>
      <sheetName val="Non AURORA FERC Summary"/>
      <sheetName val="AURORA FERC Summary"/>
      <sheetName val="Summary by Contract Update"/>
      <sheetName val="Summary by Contract"/>
      <sheetName val="Summary by TY"/>
      <sheetName val="TY actual"/>
      <sheetName val="TY SAP"/>
      <sheetName val="RPC Disallowance"/>
      <sheetName val="AURORA Input=&gt;&gt;&gt;"/>
      <sheetName val="Summary"/>
      <sheetName val="Summary wo WH"/>
      <sheetName val="Energy Pivot"/>
      <sheetName val="Cost Pivot"/>
      <sheetName val="Portfolio Average"/>
      <sheetName val="Map 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2">
          <cell r="E2" t="str">
            <v>APS Contract</v>
          </cell>
          <cell r="F2">
            <v>555</v>
          </cell>
        </row>
        <row r="3">
          <cell r="E3" t="str">
            <v>Baker Replacement</v>
          </cell>
          <cell r="F3">
            <v>555</v>
          </cell>
        </row>
        <row r="4">
          <cell r="E4" t="str">
            <v>BC Hydro Point Roberts</v>
          </cell>
          <cell r="F4">
            <v>555</v>
          </cell>
        </row>
        <row r="5">
          <cell r="E5" t="str">
            <v>BPA Firm - WNP #3 Exchange</v>
          </cell>
          <cell r="F5">
            <v>555</v>
          </cell>
        </row>
        <row r="6">
          <cell r="E6" t="str">
            <v>BPA Snohomish Conservation</v>
          </cell>
          <cell r="F6">
            <v>555</v>
          </cell>
        </row>
        <row r="7">
          <cell r="E7" t="str">
            <v>BPA SP Contract</v>
          </cell>
          <cell r="F7">
            <v>555</v>
          </cell>
        </row>
        <row r="8">
          <cell r="E8" t="str">
            <v>Canadian EA</v>
          </cell>
          <cell r="F8">
            <v>555</v>
          </cell>
        </row>
        <row r="9">
          <cell r="E9" t="str">
            <v>Colstrip 1&amp;2</v>
          </cell>
          <cell r="F9">
            <v>501</v>
          </cell>
        </row>
        <row r="10">
          <cell r="E10" t="str">
            <v>Colstrip 3&amp;4</v>
          </cell>
          <cell r="F10">
            <v>501</v>
          </cell>
        </row>
        <row r="11">
          <cell r="E11" t="str">
            <v>Columbia Storage Power Exchange (CSPE)</v>
          </cell>
          <cell r="F11">
            <v>555</v>
          </cell>
        </row>
        <row r="12">
          <cell r="E12" t="str">
            <v>Encogen</v>
          </cell>
          <cell r="F12">
            <v>547</v>
          </cell>
        </row>
        <row r="13">
          <cell r="E13" t="str">
            <v>Fred 1</v>
          </cell>
          <cell r="F13">
            <v>547</v>
          </cell>
        </row>
        <row r="14">
          <cell r="E14" t="str">
            <v>Fred 1</v>
          </cell>
          <cell r="F14">
            <v>547</v>
          </cell>
        </row>
        <row r="15">
          <cell r="E15" t="str">
            <v>Frederickson 1&amp;2</v>
          </cell>
          <cell r="F15">
            <v>547</v>
          </cell>
        </row>
        <row r="16">
          <cell r="E16" t="str">
            <v>Fredonia 1&amp;2</v>
          </cell>
          <cell r="F16">
            <v>547</v>
          </cell>
        </row>
        <row r="17">
          <cell r="E17" t="str">
            <v>Fredonia 3&amp;4</v>
          </cell>
          <cell r="F17">
            <v>547</v>
          </cell>
        </row>
        <row r="18">
          <cell r="E18" t="str">
            <v>Hopkins Ridge Wind</v>
          </cell>
          <cell r="F18">
            <v>555</v>
          </cell>
        </row>
        <row r="19">
          <cell r="E19" t="str">
            <v>Market Purchase</v>
          </cell>
          <cell r="F19" t="str">
            <v>555MP</v>
          </cell>
        </row>
        <row r="20">
          <cell r="E20" t="str">
            <v>Market Sale</v>
          </cell>
          <cell r="F20">
            <v>447</v>
          </cell>
        </row>
        <row r="21">
          <cell r="E21" t="str">
            <v>Mid Columbia</v>
          </cell>
          <cell r="F21">
            <v>555</v>
          </cell>
        </row>
        <row r="22">
          <cell r="E22" t="str">
            <v>MPC Firm Contract</v>
          </cell>
          <cell r="F22">
            <v>555</v>
          </cell>
        </row>
        <row r="23">
          <cell r="E23" t="str">
            <v>New PSE Resource</v>
          </cell>
          <cell r="F23">
            <v>547</v>
          </cell>
        </row>
        <row r="24">
          <cell r="E24" t="str">
            <v>Nooksack Hydro</v>
          </cell>
          <cell r="F24">
            <v>555</v>
          </cell>
        </row>
        <row r="25">
          <cell r="E25" t="str">
            <v>PG&amp;E Exchange</v>
          </cell>
          <cell r="F25">
            <v>555</v>
          </cell>
        </row>
        <row r="26">
          <cell r="E26" t="str">
            <v>PPL 15 year contract</v>
          </cell>
          <cell r="F26">
            <v>555</v>
          </cell>
        </row>
        <row r="27">
          <cell r="E27" t="str">
            <v>Puget's Hydro</v>
          </cell>
          <cell r="F27">
            <v>555</v>
          </cell>
        </row>
        <row r="28">
          <cell r="E28" t="str">
            <v>QF Koma Kulshan Hydro</v>
          </cell>
          <cell r="F28">
            <v>555</v>
          </cell>
        </row>
        <row r="29">
          <cell r="E29" t="str">
            <v>QF March Point Cogen Phase1</v>
          </cell>
          <cell r="F29">
            <v>555</v>
          </cell>
        </row>
        <row r="30">
          <cell r="E30" t="str">
            <v>QF March Point Cogen Phase2</v>
          </cell>
          <cell r="F30">
            <v>555</v>
          </cell>
        </row>
        <row r="31">
          <cell r="E31" t="str">
            <v>QF Port Townsend Hydro</v>
          </cell>
          <cell r="F31">
            <v>555</v>
          </cell>
        </row>
        <row r="32">
          <cell r="E32" t="str">
            <v>QF Puyallup Energy Recovery Co. (PERC)</v>
          </cell>
          <cell r="F32">
            <v>555</v>
          </cell>
        </row>
        <row r="33">
          <cell r="E33" t="str">
            <v>QF Spokane MSW</v>
          </cell>
          <cell r="F33">
            <v>555</v>
          </cell>
        </row>
        <row r="34">
          <cell r="E34" t="str">
            <v>QF Sumas</v>
          </cell>
          <cell r="F34">
            <v>555</v>
          </cell>
        </row>
        <row r="35">
          <cell r="E35" t="str">
            <v>QF Sygitowicz</v>
          </cell>
          <cell r="F35">
            <v>555</v>
          </cell>
        </row>
        <row r="36">
          <cell r="E36" t="str">
            <v>QF Tenaska</v>
          </cell>
          <cell r="F36">
            <v>555</v>
          </cell>
        </row>
        <row r="37">
          <cell r="E37" t="str">
            <v>QF Twin Falls</v>
          </cell>
          <cell r="F37">
            <v>555</v>
          </cell>
        </row>
        <row r="38">
          <cell r="E38" t="str">
            <v>QF Weeks Falls</v>
          </cell>
          <cell r="F38">
            <v>555</v>
          </cell>
        </row>
        <row r="39">
          <cell r="E39" t="str">
            <v>Skookumchuck Hydro</v>
          </cell>
          <cell r="F39">
            <v>555</v>
          </cell>
        </row>
        <row r="40">
          <cell r="E40" t="str">
            <v>Supplemental Capacity</v>
          </cell>
          <cell r="F40">
            <v>555</v>
          </cell>
        </row>
        <row r="41">
          <cell r="E41" t="str">
            <v>Tenaska Excess Energy</v>
          </cell>
          <cell r="F41">
            <v>555</v>
          </cell>
        </row>
        <row r="42">
          <cell r="E42" t="str">
            <v>Undistributed Oil/Gas Expenses</v>
          </cell>
          <cell r="F42">
            <v>555</v>
          </cell>
        </row>
        <row r="43">
          <cell r="E43" t="str">
            <v>Wasco Hydro</v>
          </cell>
          <cell r="F43">
            <v>555</v>
          </cell>
        </row>
        <row r="44">
          <cell r="E44" t="str">
            <v>Whitehorn 2&amp;3</v>
          </cell>
          <cell r="F44">
            <v>547</v>
          </cell>
        </row>
        <row r="45">
          <cell r="E45" t="str">
            <v>Wild Horse Wind</v>
          </cell>
          <cell r="F45">
            <v>555</v>
          </cell>
        </row>
        <row r="46">
          <cell r="E46" t="str">
            <v>WNP-3 Return</v>
          </cell>
          <cell r="F46">
            <v>555</v>
          </cell>
        </row>
        <row r="47">
          <cell r="E47" t="str">
            <v>WWP 15 year contract</v>
          </cell>
          <cell r="F47">
            <v>555</v>
          </cell>
        </row>
        <row r="48">
          <cell r="E48" t="str">
            <v>PR Displacement Product</v>
          </cell>
          <cell r="F48">
            <v>555</v>
          </cell>
        </row>
        <row r="49">
          <cell r="E49" t="str">
            <v>Fixed OnPeak Contract</v>
          </cell>
          <cell r="F49">
            <v>555</v>
          </cell>
        </row>
        <row r="50">
          <cell r="E50" t="str">
            <v>Fixed OffPeak Contract</v>
          </cell>
          <cell r="F50">
            <v>555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PUTS"/>
      <sheetName val="CLASSIFIERS"/>
      <sheetName val="INTERNAL"/>
      <sheetName val="EXTERNAL"/>
      <sheetName val="ACCOUNTS"/>
      <sheetName val="ROR &amp; CONV FACTOR"/>
      <sheetName val="BOOKED SALES"/>
      <sheetName val="PROFORMA + UNBILLED"/>
      <sheetName val="RATE SPREAD"/>
      <sheetName val="SCH 35 INCREASE"/>
      <sheetName val="SCH 449-459 INCREASE"/>
      <sheetName val="SPEC CONT + FIRM RESALE INC"/>
      <sheetName val="JAP-3"/>
      <sheetName val="CUST_1 &amp; CUST_2"/>
      <sheetName val="CUST_3"/>
      <sheetName val="CUST_4"/>
      <sheetName val="DIR_449"/>
      <sheetName val="DIR235.00"/>
      <sheetName val="DIR252.00"/>
      <sheetName val="DIR368.03"/>
      <sheetName val="DIR_372"/>
      <sheetName val="DIR450-451"/>
      <sheetName val="DIR_454.05"/>
      <sheetName val="DIR_904.00"/>
      <sheetName val="DIR_908.00"/>
      <sheetName val="METER"/>
      <sheetName val="OH SVC"/>
      <sheetName val="ANCIL + IMBAL"/>
      <sheetName val="LOAD RESEARCH ALLOC"/>
      <sheetName val="LR - CP DEM"/>
      <sheetName val="DIR_108.360-366"/>
      <sheetName val="DIR_360-366"/>
      <sheetName val="NCP 360-362"/>
      <sheetName val="OH + UG NCP"/>
      <sheetName val="OH + UG TFMR"/>
      <sheetName val="LR - ENERGY"/>
      <sheetName val="BPAX"/>
      <sheetName val="INPUTS - RATEBASE"/>
      <sheetName val="INPUTS - EXPENSE"/>
      <sheetName val="INPUTS - REVENUE"/>
      <sheetName val="INPUTS - WAGE + SAL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0">
          <cell r="J20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Demand Chrg"/>
      <sheetName val="CCost BrkOut"/>
    </sheetNames>
    <sheetDataSet>
      <sheetData sheetId="0" refreshError="1"/>
      <sheetData sheetId="1" refreshError="1">
        <row r="5">
          <cell r="B5" t="str">
            <v>Actual Test Year</v>
          </cell>
        </row>
        <row r="48">
          <cell r="F48">
            <v>0.62044999999999995</v>
          </cell>
        </row>
      </sheetData>
      <sheetData sheetId="2" refreshError="1"/>
      <sheetData sheetId="3" refreshError="1"/>
      <sheetData sheetId="4" refreshError="1"/>
      <sheetData sheetId="5" refreshError="1">
        <row r="31">
          <cell r="AG31">
            <v>0.2</v>
          </cell>
        </row>
        <row r="167">
          <cell r="AG167">
            <v>0.33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Demand Chrg"/>
      <sheetName val="CCost BrkOut"/>
    </sheetNames>
    <sheetDataSet>
      <sheetData sheetId="0" refreshError="1"/>
      <sheetData sheetId="1" refreshError="1">
        <row r="5">
          <cell r="B5" t="str">
            <v>Actual Test Year</v>
          </cell>
        </row>
        <row r="48">
          <cell r="F48">
            <v>0.62044999999999995</v>
          </cell>
        </row>
      </sheetData>
      <sheetData sheetId="2" refreshError="1"/>
      <sheetData sheetId="3" refreshError="1"/>
      <sheetData sheetId="4" refreshError="1"/>
      <sheetData sheetId="5" refreshError="1">
        <row r="31">
          <cell r="AG31">
            <v>0.2</v>
          </cell>
        </row>
        <row r="167">
          <cell r="AG167">
            <v>0.33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 Def Calc"/>
      <sheetName val="Gas Summary"/>
      <sheetName val="Gas Detail Pages"/>
      <sheetName val="Gas CRM"/>
    </sheetNames>
    <sheetDataSet>
      <sheetData sheetId="0"/>
      <sheetData sheetId="1">
        <row r="5">
          <cell r="I5" t="str">
            <v>PUGET SOUND ENERGY-GAS (PER SETTLEMENT)</v>
          </cell>
        </row>
      </sheetData>
      <sheetData sheetId="2">
        <row r="8">
          <cell r="A8" t="str">
            <v>FOR THE TWELVE MONTHS ENDED SEPTEMBER 30, 2016</v>
          </cell>
        </row>
        <row r="9">
          <cell r="A9" t="str">
            <v>GENERAL RATE CASE</v>
          </cell>
        </row>
      </sheetData>
      <sheetData sheetId="3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 Def Calc"/>
      <sheetName val="Gas Summary"/>
      <sheetName val="Gas Detail Pages"/>
      <sheetName val="Gas CRM"/>
    </sheetNames>
    <sheetDataSet>
      <sheetData sheetId="0"/>
      <sheetData sheetId="1">
        <row r="5">
          <cell r="I5" t="str">
            <v>PUGET SOUND ENERGY-GAS (PER SETTLEMENT)</v>
          </cell>
        </row>
      </sheetData>
      <sheetData sheetId="2">
        <row r="8">
          <cell r="A8" t="str">
            <v>FOR THE TWELVE MONTHS ENDED SEPTEMBER 30, 2016</v>
          </cell>
        </row>
        <row r="9">
          <cell r="A9" t="str">
            <v>GENERAL RATE CASE</v>
          </cell>
        </row>
      </sheetData>
      <sheetData sheetId="3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  <sheetName val="Load &amp; Price 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9100F4"/>
    </sheetNames>
    <sheetDataSet>
      <sheetData sheetId="0">
        <row r="1">
          <cell r="A1" t="str">
            <v>Classcd</v>
          </cell>
          <cell r="B1" t="str">
            <v>Class</v>
          </cell>
          <cell r="C1" t="str">
            <v>Analysis</v>
          </cell>
          <cell r="D1" t="str">
            <v>statistic</v>
          </cell>
          <cell r="E1" t="str">
            <v>Alias</v>
          </cell>
          <cell r="F1" t="str">
            <v>Annual</v>
          </cell>
          <cell r="G1" t="str">
            <v>Month1</v>
          </cell>
          <cell r="H1" t="str">
            <v>Month2</v>
          </cell>
          <cell r="I1" t="str">
            <v>Month3</v>
          </cell>
          <cell r="J1" t="str">
            <v>Month4</v>
          </cell>
          <cell r="K1" t="str">
            <v>Month5</v>
          </cell>
          <cell r="L1" t="str">
            <v>Month6</v>
          </cell>
          <cell r="M1" t="str">
            <v>Month7</v>
          </cell>
          <cell r="N1" t="str">
            <v>Month8</v>
          </cell>
          <cell r="O1" t="str">
            <v>Month9</v>
          </cell>
          <cell r="P1" t="str">
            <v>Month10</v>
          </cell>
          <cell r="Q1" t="str">
            <v>Month11</v>
          </cell>
          <cell r="R1" t="str">
            <v>Month12</v>
          </cell>
          <cell r="S1" t="str">
            <v>Uom</v>
          </cell>
          <cell r="T1" t="str">
            <v>Module</v>
          </cell>
          <cell r="U1" t="str">
            <v>Last_Change</v>
          </cell>
          <cell r="V1" t="str">
            <v>_LABEL_</v>
          </cell>
        </row>
        <row r="2">
          <cell r="D2" t="str">
            <v>Year</v>
          </cell>
          <cell r="G2">
            <v>2005</v>
          </cell>
          <cell r="H2">
            <v>2005</v>
          </cell>
          <cell r="I2">
            <v>2005</v>
          </cell>
          <cell r="J2">
            <v>2006</v>
          </cell>
          <cell r="K2">
            <v>2006</v>
          </cell>
          <cell r="L2">
            <v>2006</v>
          </cell>
          <cell r="M2">
            <v>2006</v>
          </cell>
          <cell r="N2">
            <v>2006</v>
          </cell>
          <cell r="O2">
            <v>2006</v>
          </cell>
          <cell r="P2">
            <v>2006</v>
          </cell>
          <cell r="Q2">
            <v>2006</v>
          </cell>
          <cell r="R2">
            <v>2006</v>
          </cell>
        </row>
        <row r="3">
          <cell r="D3" t="str">
            <v>Month</v>
          </cell>
          <cell r="G3">
            <v>10</v>
          </cell>
          <cell r="H3">
            <v>11</v>
          </cell>
          <cell r="I3">
            <v>12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5</v>
          </cell>
          <cell r="O3">
            <v>6</v>
          </cell>
          <cell r="P3">
            <v>7</v>
          </cell>
          <cell r="Q3">
            <v>8</v>
          </cell>
          <cell r="R3">
            <v>9</v>
          </cell>
        </row>
        <row r="4">
          <cell r="A4">
            <v>991</v>
          </cell>
          <cell r="B4" t="str">
            <v>R991</v>
          </cell>
          <cell r="C4" t="str">
            <v>HourlyLoad</v>
          </cell>
          <cell r="D4" t="str">
            <v>PopN</v>
          </cell>
          <cell r="E4" t="str">
            <v>Accounts in Population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 t="str">
            <v>Accounts</v>
          </cell>
          <cell r="T4" t="str">
            <v>M7100</v>
          </cell>
          <cell r="U4">
            <v>39072.409803240742</v>
          </cell>
        </row>
        <row r="5">
          <cell r="A5">
            <v>991</v>
          </cell>
          <cell r="B5" t="str">
            <v>R991</v>
          </cell>
          <cell r="C5" t="str">
            <v>HourlyLoadGen_ADJ</v>
          </cell>
          <cell r="D5" t="str">
            <v>Totalx</v>
          </cell>
          <cell r="E5" t="str">
            <v>Total Energy Use</v>
          </cell>
          <cell r="F5">
            <v>153115281.74003071</v>
          </cell>
          <cell r="G5">
            <v>12545745.004299102</v>
          </cell>
          <cell r="H5">
            <v>11892086.008524956</v>
          </cell>
          <cell r="I5">
            <v>12551910.269065348</v>
          </cell>
          <cell r="J5">
            <v>12547210.15061702</v>
          </cell>
          <cell r="K5">
            <v>11234263.085919837</v>
          </cell>
          <cell r="L5">
            <v>12346924.553129328</v>
          </cell>
          <cell r="M5">
            <v>12065748.577041971</v>
          </cell>
          <cell r="N5">
            <v>12835801.86012632</v>
          </cell>
          <cell r="O5">
            <v>13021893.507662972</v>
          </cell>
          <cell r="P5">
            <v>14508360.795146713</v>
          </cell>
          <cell r="Q5">
            <v>14336712.161630616</v>
          </cell>
          <cell r="R5">
            <v>13228625.766866531</v>
          </cell>
          <cell r="S5" t="str">
            <v>kWh</v>
          </cell>
          <cell r="T5" t="str">
            <v>M7400</v>
          </cell>
          <cell r="U5">
            <v>39079.352719907409</v>
          </cell>
        </row>
        <row r="6">
          <cell r="A6">
            <v>991</v>
          </cell>
          <cell r="B6" t="str">
            <v>R991</v>
          </cell>
          <cell r="C6" t="str">
            <v>HourlyLoadGen_ADJ</v>
          </cell>
          <cell r="D6" t="str">
            <v>TotalxperSite</v>
          </cell>
          <cell r="E6" t="str">
            <v>Energy Use per Account</v>
          </cell>
          <cell r="F6">
            <v>153115281.74003071</v>
          </cell>
          <cell r="G6">
            <v>12545745.004299102</v>
          </cell>
          <cell r="H6">
            <v>11892086.008524956</v>
          </cell>
          <cell r="I6">
            <v>12551910.269065348</v>
          </cell>
          <cell r="J6">
            <v>12547210.15061702</v>
          </cell>
          <cell r="K6">
            <v>11234263.085919837</v>
          </cell>
          <cell r="L6">
            <v>12346924.553129328</v>
          </cell>
          <cell r="M6">
            <v>12065748.577041971</v>
          </cell>
          <cell r="N6">
            <v>12835801.86012632</v>
          </cell>
          <cell r="O6">
            <v>13021893.507662972</v>
          </cell>
          <cell r="P6">
            <v>14508360.795146713</v>
          </cell>
          <cell r="Q6">
            <v>14336712.161630616</v>
          </cell>
          <cell r="R6">
            <v>13228625.766866531</v>
          </cell>
          <cell r="S6" t="str">
            <v>kWh</v>
          </cell>
          <cell r="T6" t="str">
            <v>M7400</v>
          </cell>
          <cell r="U6">
            <v>39079.352719907409</v>
          </cell>
        </row>
        <row r="7">
          <cell r="A7">
            <v>991</v>
          </cell>
          <cell r="B7" t="str">
            <v>R991</v>
          </cell>
          <cell r="C7" t="str">
            <v>HourlyLoad</v>
          </cell>
          <cell r="D7" t="str">
            <v>Days</v>
          </cell>
          <cell r="E7" t="str">
            <v>Number of Days</v>
          </cell>
          <cell r="F7">
            <v>365</v>
          </cell>
          <cell r="G7">
            <v>31</v>
          </cell>
          <cell r="H7">
            <v>30</v>
          </cell>
          <cell r="I7">
            <v>31</v>
          </cell>
          <cell r="J7">
            <v>31</v>
          </cell>
          <cell r="K7">
            <v>28</v>
          </cell>
          <cell r="L7">
            <v>31</v>
          </cell>
          <cell r="M7">
            <v>30</v>
          </cell>
          <cell r="N7">
            <v>31</v>
          </cell>
          <cell r="O7">
            <v>30</v>
          </cell>
          <cell r="P7">
            <v>31</v>
          </cell>
          <cell r="Q7">
            <v>31</v>
          </cell>
          <cell r="R7">
            <v>30</v>
          </cell>
          <cell r="S7" t="str">
            <v>Days</v>
          </cell>
          <cell r="T7" t="str">
            <v>M7100</v>
          </cell>
          <cell r="U7">
            <v>39072.409803240742</v>
          </cell>
        </row>
        <row r="8">
          <cell r="A8">
            <v>991</v>
          </cell>
          <cell r="B8" t="str">
            <v>R991</v>
          </cell>
          <cell r="C8" t="str">
            <v>HourlyLoad</v>
          </cell>
          <cell r="D8" t="str">
            <v>Samn_min</v>
          </cell>
          <cell r="E8" t="str">
            <v>Minimum Number of Accounts in Sample with Valid Data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 t="str">
            <v>Accounts</v>
          </cell>
          <cell r="T8" t="str">
            <v>M7100</v>
          </cell>
          <cell r="U8">
            <v>39072.409768518519</v>
          </cell>
        </row>
        <row r="9">
          <cell r="A9">
            <v>991</v>
          </cell>
          <cell r="B9" t="str">
            <v>R991</v>
          </cell>
          <cell r="C9" t="str">
            <v>HourlyLoad</v>
          </cell>
          <cell r="D9" t="str">
            <v>Samn_max</v>
          </cell>
          <cell r="E9" t="str">
            <v>Maximum Number of Accounts in Sample with Valid Data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 t="str">
            <v>Accounts</v>
          </cell>
          <cell r="T9" t="str">
            <v>M7100</v>
          </cell>
          <cell r="U9">
            <v>39072.409768518519</v>
          </cell>
        </row>
        <row r="10">
          <cell r="A10">
            <v>991</v>
          </cell>
          <cell r="B10" t="str">
            <v>R991</v>
          </cell>
          <cell r="C10" t="str">
            <v>SysPk_MonthlyPeaks_ADJ</v>
          </cell>
          <cell r="D10" t="str">
            <v>Date</v>
          </cell>
          <cell r="E10" t="str">
            <v>Day of System Peak Demand</v>
          </cell>
          <cell r="F10">
            <v>38701</v>
          </cell>
          <cell r="G10">
            <v>38652</v>
          </cell>
          <cell r="H10">
            <v>38685</v>
          </cell>
          <cell r="I10">
            <v>38701</v>
          </cell>
          <cell r="J10">
            <v>38720</v>
          </cell>
          <cell r="K10">
            <v>38765</v>
          </cell>
          <cell r="L10">
            <v>38785</v>
          </cell>
          <cell r="M10">
            <v>38824</v>
          </cell>
          <cell r="N10">
            <v>38839</v>
          </cell>
          <cell r="O10">
            <v>38894</v>
          </cell>
          <cell r="P10">
            <v>38922</v>
          </cell>
          <cell r="Q10">
            <v>38957</v>
          </cell>
          <cell r="R10">
            <v>38980</v>
          </cell>
          <cell r="S10" t="str">
            <v>Date</v>
          </cell>
          <cell r="T10" t="str">
            <v>M8100</v>
          </cell>
          <cell r="U10">
            <v>39079.35297453704</v>
          </cell>
        </row>
        <row r="11">
          <cell r="A11">
            <v>991</v>
          </cell>
          <cell r="B11" t="str">
            <v>R991</v>
          </cell>
          <cell r="C11" t="str">
            <v>SysPk_MonthlyPeaks_ADJ</v>
          </cell>
          <cell r="D11" t="str">
            <v>Interval</v>
          </cell>
          <cell r="E11" t="str">
            <v>Hour of System Peak Demand</v>
          </cell>
          <cell r="F11">
            <v>19</v>
          </cell>
          <cell r="G11">
            <v>8</v>
          </cell>
          <cell r="H11">
            <v>18</v>
          </cell>
          <cell r="I11">
            <v>19</v>
          </cell>
          <cell r="J11">
            <v>18</v>
          </cell>
          <cell r="K11">
            <v>8</v>
          </cell>
          <cell r="L11">
            <v>19</v>
          </cell>
          <cell r="M11">
            <v>8</v>
          </cell>
          <cell r="N11">
            <v>8</v>
          </cell>
          <cell r="O11">
            <v>17</v>
          </cell>
          <cell r="P11">
            <v>15</v>
          </cell>
          <cell r="Q11">
            <v>17</v>
          </cell>
          <cell r="R11">
            <v>20</v>
          </cell>
          <cell r="S11" t="str">
            <v>Hour</v>
          </cell>
          <cell r="T11" t="str">
            <v>M8100</v>
          </cell>
          <cell r="U11">
            <v>39079.35297453704</v>
          </cell>
        </row>
        <row r="12">
          <cell r="A12">
            <v>991</v>
          </cell>
          <cell r="B12" t="str">
            <v>R991</v>
          </cell>
          <cell r="C12" t="str">
            <v>SysPk_MonthlyPeaks_ADJ</v>
          </cell>
          <cell r="D12" t="str">
            <v>Totalx</v>
          </cell>
          <cell r="E12" t="str">
            <v>Total Energy Use</v>
          </cell>
          <cell r="F12">
            <v>153115281.74003074</v>
          </cell>
          <cell r="G12">
            <v>12545745.004299102</v>
          </cell>
          <cell r="H12">
            <v>11892086.008524956</v>
          </cell>
          <cell r="I12">
            <v>12551910.269065348</v>
          </cell>
          <cell r="J12">
            <v>12547210.15061702</v>
          </cell>
          <cell r="K12">
            <v>11234263.085919837</v>
          </cell>
          <cell r="L12">
            <v>12346924.553129328</v>
          </cell>
          <cell r="M12">
            <v>12065748.577041971</v>
          </cell>
          <cell r="N12">
            <v>12835801.86012632</v>
          </cell>
          <cell r="O12">
            <v>13021893.507662972</v>
          </cell>
          <cell r="P12">
            <v>14508360.795146713</v>
          </cell>
          <cell r="Q12">
            <v>14336712.161630616</v>
          </cell>
          <cell r="R12">
            <v>13228625.766866531</v>
          </cell>
          <cell r="S12" t="str">
            <v>kWh</v>
          </cell>
          <cell r="T12" t="str">
            <v>M8100</v>
          </cell>
          <cell r="U12">
            <v>39079.35297453704</v>
          </cell>
        </row>
        <row r="13">
          <cell r="A13">
            <v>991</v>
          </cell>
          <cell r="B13" t="str">
            <v>R991</v>
          </cell>
          <cell r="C13" t="str">
            <v>SysPk_MonthlyPeaks_ADJ</v>
          </cell>
          <cell r="D13" t="str">
            <v>Peaky</v>
          </cell>
          <cell r="E13" t="str">
            <v>Total Demand at System Peak Hour</v>
          </cell>
          <cell r="F13">
            <v>17331.294827407579</v>
          </cell>
          <cell r="G13">
            <v>17685.502987854223</v>
          </cell>
          <cell r="H13">
            <v>17273.049375596591</v>
          </cell>
          <cell r="I13">
            <v>17331.294827407579</v>
          </cell>
          <cell r="J13">
            <v>17722.567617858265</v>
          </cell>
          <cell r="K13">
            <v>17394.12120981569</v>
          </cell>
          <cell r="L13">
            <v>16728.319336669625</v>
          </cell>
          <cell r="M13">
            <v>17193.220956460773</v>
          </cell>
          <cell r="N13">
            <v>16895.019620371633</v>
          </cell>
          <cell r="O13">
            <v>21183.780955073926</v>
          </cell>
          <cell r="P13">
            <v>23054.5302227756</v>
          </cell>
          <cell r="Q13">
            <v>21427.99200081755</v>
          </cell>
          <cell r="R13">
            <v>17686.852500484631</v>
          </cell>
          <cell r="S13" t="str">
            <v>kW</v>
          </cell>
          <cell r="T13" t="str">
            <v>M8100</v>
          </cell>
          <cell r="U13">
            <v>39079.35297453704</v>
          </cell>
        </row>
        <row r="14">
          <cell r="A14">
            <v>991</v>
          </cell>
          <cell r="B14" t="str">
            <v>R991</v>
          </cell>
          <cell r="C14" t="str">
            <v>SysPk_MonthlyPeaks_ADJ</v>
          </cell>
          <cell r="D14" t="str">
            <v>ErrBndforPeaky</v>
          </cell>
          <cell r="E14" t="str">
            <v>Error Bound for Total Demand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kW</v>
          </cell>
          <cell r="T14" t="str">
            <v>M8100</v>
          </cell>
          <cell r="U14">
            <v>39079.35297453704</v>
          </cell>
        </row>
        <row r="15">
          <cell r="A15">
            <v>991</v>
          </cell>
          <cell r="B15" t="str">
            <v>R991</v>
          </cell>
          <cell r="C15" t="str">
            <v>SysPk_MonthlyPeaks_ADJ</v>
          </cell>
          <cell r="D15" t="str">
            <v>TotalxperSite</v>
          </cell>
          <cell r="E15" t="str">
            <v>Energy Use per Account</v>
          </cell>
          <cell r="F15">
            <v>153115281.74003074</v>
          </cell>
          <cell r="G15">
            <v>12545745.004299102</v>
          </cell>
          <cell r="H15">
            <v>11892086.008524956</v>
          </cell>
          <cell r="I15">
            <v>12551910.269065348</v>
          </cell>
          <cell r="J15">
            <v>12547210.15061702</v>
          </cell>
          <cell r="K15">
            <v>11234263.085919837</v>
          </cell>
          <cell r="L15">
            <v>12346924.553129328</v>
          </cell>
          <cell r="M15">
            <v>12065748.577041971</v>
          </cell>
          <cell r="N15">
            <v>12835801.86012632</v>
          </cell>
          <cell r="O15">
            <v>13021893.507662972</v>
          </cell>
          <cell r="P15">
            <v>14508360.795146713</v>
          </cell>
          <cell r="Q15">
            <v>14336712.161630616</v>
          </cell>
          <cell r="R15">
            <v>13228625.766866531</v>
          </cell>
          <cell r="S15" t="str">
            <v>kWh</v>
          </cell>
          <cell r="T15" t="str">
            <v>M8100</v>
          </cell>
          <cell r="U15">
            <v>39079.35297453704</v>
          </cell>
        </row>
        <row r="16">
          <cell r="A16">
            <v>991</v>
          </cell>
          <cell r="B16" t="str">
            <v>R991</v>
          </cell>
          <cell r="C16" t="str">
            <v>SysPk_MonthlyPeaks_ADJ</v>
          </cell>
          <cell r="D16" t="str">
            <v>PeakyperSite</v>
          </cell>
          <cell r="E16" t="str">
            <v>Demand per Account at System Peak Hour</v>
          </cell>
          <cell r="F16">
            <v>17331.294827407579</v>
          </cell>
          <cell r="G16">
            <v>17685.502987854223</v>
          </cell>
          <cell r="H16">
            <v>17273.049375596591</v>
          </cell>
          <cell r="I16">
            <v>17331.294827407579</v>
          </cell>
          <cell r="J16">
            <v>17722.567617858265</v>
          </cell>
          <cell r="K16">
            <v>17394.12120981569</v>
          </cell>
          <cell r="L16">
            <v>16728.319336669625</v>
          </cell>
          <cell r="M16">
            <v>17193.220956460773</v>
          </cell>
          <cell r="N16">
            <v>16895.019620371633</v>
          </cell>
          <cell r="O16">
            <v>21183.780955073926</v>
          </cell>
          <cell r="P16">
            <v>23054.5302227756</v>
          </cell>
          <cell r="Q16">
            <v>21427.99200081755</v>
          </cell>
          <cell r="R16">
            <v>17686.852500484631</v>
          </cell>
          <cell r="S16" t="str">
            <v>kW</v>
          </cell>
          <cell r="T16" t="str">
            <v>M8100</v>
          </cell>
          <cell r="U16">
            <v>39079.35297453704</v>
          </cell>
        </row>
        <row r="17">
          <cell r="A17">
            <v>991</v>
          </cell>
          <cell r="B17" t="str">
            <v>R991</v>
          </cell>
          <cell r="C17" t="str">
            <v>SysPk_MonthlyPeaks_ADJ</v>
          </cell>
          <cell r="D17" t="str">
            <v>ErrBndperSite</v>
          </cell>
          <cell r="E17" t="str">
            <v>Error Bound for Demand per Account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kW</v>
          </cell>
          <cell r="T17" t="str">
            <v>M8100</v>
          </cell>
          <cell r="U17">
            <v>39079.35297453704</v>
          </cell>
        </row>
        <row r="18">
          <cell r="A18">
            <v>991</v>
          </cell>
          <cell r="B18" t="str">
            <v>R991</v>
          </cell>
          <cell r="C18" t="str">
            <v>SysPk_MonthlyPeaks_ADJ</v>
          </cell>
          <cell r="D18" t="str">
            <v>RelPrec</v>
          </cell>
          <cell r="E18" t="str">
            <v>Relative Precision of Demand at System Peak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 t="str">
            <v>None</v>
          </cell>
          <cell r="T18" t="str">
            <v>M8100</v>
          </cell>
          <cell r="U18">
            <v>39079.35297453704</v>
          </cell>
        </row>
        <row r="19">
          <cell r="A19">
            <v>991</v>
          </cell>
          <cell r="B19" t="str">
            <v>R991</v>
          </cell>
          <cell r="C19" t="str">
            <v>SysPk_MonthlyPeaks_ADJ</v>
          </cell>
          <cell r="D19" t="str">
            <v>Days</v>
          </cell>
          <cell r="E19" t="str">
            <v>Number of Days</v>
          </cell>
          <cell r="F19">
            <v>365</v>
          </cell>
          <cell r="G19">
            <v>31</v>
          </cell>
          <cell r="H19">
            <v>30</v>
          </cell>
          <cell r="I19">
            <v>31</v>
          </cell>
          <cell r="J19">
            <v>31</v>
          </cell>
          <cell r="K19">
            <v>28</v>
          </cell>
          <cell r="L19">
            <v>31</v>
          </cell>
          <cell r="M19">
            <v>30</v>
          </cell>
          <cell r="N19">
            <v>31</v>
          </cell>
          <cell r="O19">
            <v>30</v>
          </cell>
          <cell r="P19">
            <v>31</v>
          </cell>
          <cell r="Q19">
            <v>31</v>
          </cell>
          <cell r="R19">
            <v>30</v>
          </cell>
          <cell r="S19" t="str">
            <v>Days</v>
          </cell>
          <cell r="T19" t="str">
            <v>M8100</v>
          </cell>
          <cell r="U19">
            <v>39079.35297453704</v>
          </cell>
        </row>
        <row r="20">
          <cell r="A20">
            <v>991</v>
          </cell>
          <cell r="B20" t="str">
            <v>R991</v>
          </cell>
          <cell r="C20" t="str">
            <v>SysPk_MonthlyPeaks_ADJ</v>
          </cell>
          <cell r="D20" t="str">
            <v>Load_Factor</v>
          </cell>
          <cell r="E20" t="str">
            <v>Load Factor at System Peak</v>
          </cell>
          <cell r="F20">
            <v>1.008517460161243</v>
          </cell>
          <cell r="G20">
            <v>0.95346796193639172</v>
          </cell>
          <cell r="H20">
            <v>0.95621715446991584</v>
          </cell>
          <cell r="I20">
            <v>0.97343258561161239</v>
          </cell>
          <cell r="J20">
            <v>0.95158501499190484</v>
          </cell>
          <cell r="K20">
            <v>0.96110940012493828</v>
          </cell>
          <cell r="L20">
            <v>0.99204997025998576</v>
          </cell>
          <cell r="M20">
            <v>0.9746855564305007</v>
          </cell>
          <cell r="N20">
            <v>1.0211542953288977</v>
          </cell>
          <cell r="O20">
            <v>0.85376464397190266</v>
          </cell>
          <cell r="P20">
            <v>0.84584178255988796</v>
          </cell>
          <cell r="Q20">
            <v>0.89928045567959103</v>
          </cell>
          <cell r="R20">
            <v>1.03879937611097</v>
          </cell>
          <cell r="S20" t="str">
            <v>None</v>
          </cell>
          <cell r="T20" t="str">
            <v>M8100</v>
          </cell>
          <cell r="U20">
            <v>39079.35297453704</v>
          </cell>
        </row>
        <row r="21">
          <cell r="A21">
            <v>991</v>
          </cell>
          <cell r="B21" t="str">
            <v>R991</v>
          </cell>
          <cell r="C21" t="str">
            <v>SysPk_MonthlyPeaks_ADJ</v>
          </cell>
          <cell r="D21" t="str">
            <v>Error_Ratio</v>
          </cell>
          <cell r="E21" t="str">
            <v>Error Ratio</v>
          </cell>
          <cell r="F21">
            <v>1.9565117849395946E-16</v>
          </cell>
          <cell r="G21">
            <v>2.6202888769341823E-16</v>
          </cell>
          <cell r="H21">
            <v>2.9694259538944611E-16</v>
          </cell>
          <cell r="I21">
            <v>1.9565117849395946E-16</v>
          </cell>
          <cell r="J21">
            <v>2.5345523921829229E-16</v>
          </cell>
          <cell r="K21">
            <v>2.8412075779085842E-16</v>
          </cell>
          <cell r="L21">
            <v>2.0208988812169792E-16</v>
          </cell>
          <cell r="M21">
            <v>2.9893354420977753E-16</v>
          </cell>
          <cell r="N21">
            <v>3.0002272629321725E-16</v>
          </cell>
          <cell r="O21">
            <v>1.8029527835654372E-16</v>
          </cell>
          <cell r="P21">
            <v>2.5801788935394208E-16</v>
          </cell>
          <cell r="Q21">
            <v>1.3680898893573561E-16</v>
          </cell>
          <cell r="R21">
            <v>2.4719526814613612E-16</v>
          </cell>
          <cell r="S21" t="str">
            <v>None</v>
          </cell>
          <cell r="T21" t="str">
            <v>M8100</v>
          </cell>
          <cell r="U21">
            <v>39079.35297453704</v>
          </cell>
        </row>
        <row r="22">
          <cell r="A22">
            <v>991</v>
          </cell>
          <cell r="B22" t="str">
            <v>R991</v>
          </cell>
          <cell r="C22" t="str">
            <v>ClassPeak_ADJ</v>
          </cell>
          <cell r="D22" t="str">
            <v>Date</v>
          </cell>
          <cell r="E22" t="str">
            <v>Day of Class Peak Demand</v>
          </cell>
          <cell r="F22">
            <v>38920</v>
          </cell>
          <cell r="G22">
            <v>38639</v>
          </cell>
          <cell r="H22">
            <v>38685</v>
          </cell>
          <cell r="I22">
            <v>38706</v>
          </cell>
          <cell r="J22">
            <v>38722</v>
          </cell>
          <cell r="K22">
            <v>38771</v>
          </cell>
          <cell r="L22">
            <v>38803</v>
          </cell>
          <cell r="M22">
            <v>38831</v>
          </cell>
          <cell r="N22">
            <v>38855</v>
          </cell>
          <cell r="O22">
            <v>38894</v>
          </cell>
          <cell r="P22">
            <v>38920</v>
          </cell>
          <cell r="Q22">
            <v>38956</v>
          </cell>
          <cell r="R22">
            <v>38962</v>
          </cell>
          <cell r="S22" t="str">
            <v>Date</v>
          </cell>
          <cell r="T22" t="str">
            <v>M8200</v>
          </cell>
          <cell r="U22">
            <v>39079.353009259263</v>
          </cell>
        </row>
        <row r="23">
          <cell r="A23">
            <v>991</v>
          </cell>
          <cell r="B23" t="str">
            <v>R991</v>
          </cell>
          <cell r="C23" t="str">
            <v>ClassPeak_ADJ</v>
          </cell>
          <cell r="D23" t="str">
            <v>Interval</v>
          </cell>
          <cell r="E23" t="str">
            <v>Hour of Class Peak Demand</v>
          </cell>
          <cell r="F23">
            <v>22</v>
          </cell>
          <cell r="G23">
            <v>15</v>
          </cell>
          <cell r="H23">
            <v>8</v>
          </cell>
          <cell r="I23">
            <v>8</v>
          </cell>
          <cell r="J23">
            <v>8</v>
          </cell>
          <cell r="K23">
            <v>8</v>
          </cell>
          <cell r="L23">
            <v>15</v>
          </cell>
          <cell r="M23">
            <v>13</v>
          </cell>
          <cell r="N23">
            <v>15</v>
          </cell>
          <cell r="O23">
            <v>13</v>
          </cell>
          <cell r="P23">
            <v>22</v>
          </cell>
          <cell r="Q23">
            <v>22</v>
          </cell>
          <cell r="R23">
            <v>15</v>
          </cell>
          <cell r="S23" t="str">
            <v>Hour</v>
          </cell>
          <cell r="T23" t="str">
            <v>M8200</v>
          </cell>
          <cell r="U23">
            <v>39079.353009259263</v>
          </cell>
        </row>
        <row r="24">
          <cell r="A24">
            <v>991</v>
          </cell>
          <cell r="B24" t="str">
            <v>R991</v>
          </cell>
          <cell r="C24" t="str">
            <v>ClassPeak_ADJ</v>
          </cell>
          <cell r="D24" t="str">
            <v>Totalx</v>
          </cell>
          <cell r="E24" t="str">
            <v>Total Energy Use</v>
          </cell>
          <cell r="F24">
            <v>153115281.74003074</v>
          </cell>
          <cell r="G24">
            <v>12545745.004299102</v>
          </cell>
          <cell r="H24">
            <v>11892086.008524956</v>
          </cell>
          <cell r="I24">
            <v>12551910.269065348</v>
          </cell>
          <cell r="J24">
            <v>12547210.15061702</v>
          </cell>
          <cell r="K24">
            <v>11234263.085919837</v>
          </cell>
          <cell r="L24">
            <v>12346924.553129328</v>
          </cell>
          <cell r="M24">
            <v>12065748.577041971</v>
          </cell>
          <cell r="N24">
            <v>12835801.86012632</v>
          </cell>
          <cell r="O24">
            <v>13021893.507662972</v>
          </cell>
          <cell r="P24">
            <v>14508360.795146713</v>
          </cell>
          <cell r="Q24">
            <v>14336712.161630616</v>
          </cell>
          <cell r="R24">
            <v>13228625.766866531</v>
          </cell>
          <cell r="S24" t="str">
            <v>kWh</v>
          </cell>
          <cell r="T24" t="str">
            <v>M8200</v>
          </cell>
          <cell r="U24">
            <v>39079.353009259263</v>
          </cell>
        </row>
        <row r="25">
          <cell r="A25">
            <v>991</v>
          </cell>
          <cell r="B25" t="str">
            <v>R991</v>
          </cell>
          <cell r="C25" t="str">
            <v>ClassPeak_ADJ</v>
          </cell>
          <cell r="D25" t="str">
            <v>Peaky</v>
          </cell>
          <cell r="E25" t="str">
            <v>Total Demand at Class Peak Hour</v>
          </cell>
          <cell r="F25">
            <v>24484.155817025512</v>
          </cell>
          <cell r="G25">
            <v>18578.430319027029</v>
          </cell>
          <cell r="H25">
            <v>18090.655866902605</v>
          </cell>
          <cell r="I25">
            <v>18850.425054878178</v>
          </cell>
          <cell r="J25">
            <v>18494.560352613735</v>
          </cell>
          <cell r="K25">
            <v>18493.847134821845</v>
          </cell>
          <cell r="L25">
            <v>18256.964624630153</v>
          </cell>
          <cell r="M25">
            <v>18911.339312270986</v>
          </cell>
          <cell r="N25">
            <v>20079.933025764567</v>
          </cell>
          <cell r="O25">
            <v>22313.736658129827</v>
          </cell>
          <cell r="P25">
            <v>24484.155817025512</v>
          </cell>
          <cell r="Q25">
            <v>21672.440463183608</v>
          </cell>
          <cell r="R25">
            <v>21369.900480369884</v>
          </cell>
          <cell r="S25" t="str">
            <v>kW</v>
          </cell>
          <cell r="T25" t="str">
            <v>M8200</v>
          </cell>
          <cell r="U25">
            <v>39079.353009259263</v>
          </cell>
        </row>
        <row r="26">
          <cell r="A26">
            <v>991</v>
          </cell>
          <cell r="B26" t="str">
            <v>R991</v>
          </cell>
          <cell r="C26" t="str">
            <v>ClassPeak_ADJ</v>
          </cell>
          <cell r="D26" t="str">
            <v>ErrBndforPeaky</v>
          </cell>
          <cell r="E26" t="str">
            <v>Error Bound for Total Demand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str">
            <v>kW</v>
          </cell>
          <cell r="T26" t="str">
            <v>M8200</v>
          </cell>
          <cell r="U26">
            <v>39079.353009259263</v>
          </cell>
        </row>
        <row r="27">
          <cell r="A27">
            <v>991</v>
          </cell>
          <cell r="B27" t="str">
            <v>R991</v>
          </cell>
          <cell r="C27" t="str">
            <v>ClassPeak_ADJ</v>
          </cell>
          <cell r="D27" t="str">
            <v>TotalxperSite</v>
          </cell>
          <cell r="E27" t="str">
            <v>Energy Use per Account</v>
          </cell>
          <cell r="F27">
            <v>153115281.74003074</v>
          </cell>
          <cell r="G27">
            <v>12545745.004299102</v>
          </cell>
          <cell r="H27">
            <v>11892086.008524956</v>
          </cell>
          <cell r="I27">
            <v>12551910.269065348</v>
          </cell>
          <cell r="J27">
            <v>12547210.15061702</v>
          </cell>
          <cell r="K27">
            <v>11234263.085919837</v>
          </cell>
          <cell r="L27">
            <v>12346924.553129328</v>
          </cell>
          <cell r="M27">
            <v>12065748.577041971</v>
          </cell>
          <cell r="N27">
            <v>12835801.86012632</v>
          </cell>
          <cell r="O27">
            <v>13021893.507662972</v>
          </cell>
          <cell r="P27">
            <v>14508360.795146713</v>
          </cell>
          <cell r="Q27">
            <v>14336712.161630616</v>
          </cell>
          <cell r="R27">
            <v>13228625.766866531</v>
          </cell>
          <cell r="S27" t="str">
            <v>kWh</v>
          </cell>
          <cell r="T27" t="str">
            <v>M8200</v>
          </cell>
          <cell r="U27">
            <v>39079.353009259263</v>
          </cell>
        </row>
        <row r="28">
          <cell r="A28">
            <v>991</v>
          </cell>
          <cell r="B28" t="str">
            <v>R991</v>
          </cell>
          <cell r="C28" t="str">
            <v>ClassPeak_ADJ</v>
          </cell>
          <cell r="D28" t="str">
            <v>PeakyperSite</v>
          </cell>
          <cell r="E28" t="str">
            <v>Demand per Account at Class Peak Hour</v>
          </cell>
          <cell r="F28">
            <v>24484.155817025512</v>
          </cell>
          <cell r="G28">
            <v>18578.430319027029</v>
          </cell>
          <cell r="H28">
            <v>18090.655866902605</v>
          </cell>
          <cell r="I28">
            <v>18850.425054878178</v>
          </cell>
          <cell r="J28">
            <v>18494.560352613735</v>
          </cell>
          <cell r="K28">
            <v>18493.847134821845</v>
          </cell>
          <cell r="L28">
            <v>18256.964624630153</v>
          </cell>
          <cell r="M28">
            <v>18911.339312270986</v>
          </cell>
          <cell r="N28">
            <v>20079.933025764567</v>
          </cell>
          <cell r="O28">
            <v>22313.736658129827</v>
          </cell>
          <cell r="P28">
            <v>24484.155817025512</v>
          </cell>
          <cell r="Q28">
            <v>21672.440463183608</v>
          </cell>
          <cell r="R28">
            <v>21369.900480369884</v>
          </cell>
          <cell r="S28" t="str">
            <v>kW</v>
          </cell>
          <cell r="T28" t="str">
            <v>M8200</v>
          </cell>
          <cell r="U28">
            <v>39079.353009259263</v>
          </cell>
        </row>
        <row r="29">
          <cell r="A29">
            <v>991</v>
          </cell>
          <cell r="B29" t="str">
            <v>R991</v>
          </cell>
          <cell r="C29" t="str">
            <v>ClassPeak_ADJ</v>
          </cell>
          <cell r="D29" t="str">
            <v>ErrBndperSite</v>
          </cell>
          <cell r="E29" t="str">
            <v>Error Bound for Demand per Account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str">
            <v>kW</v>
          </cell>
          <cell r="T29" t="str">
            <v>M8200</v>
          </cell>
          <cell r="U29">
            <v>39079.353009259263</v>
          </cell>
        </row>
        <row r="30">
          <cell r="A30">
            <v>991</v>
          </cell>
          <cell r="B30" t="str">
            <v>R991</v>
          </cell>
          <cell r="C30" t="str">
            <v>ClassPeak_ADJ</v>
          </cell>
          <cell r="D30" t="str">
            <v>RelPrec</v>
          </cell>
          <cell r="E30" t="str">
            <v>Relative Precision of Demand at Class Peak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str">
            <v>None</v>
          </cell>
          <cell r="T30" t="str">
            <v>M8200</v>
          </cell>
          <cell r="U30">
            <v>39079.353009259263</v>
          </cell>
        </row>
        <row r="31">
          <cell r="A31">
            <v>991</v>
          </cell>
          <cell r="B31" t="str">
            <v>R991</v>
          </cell>
          <cell r="C31" t="str">
            <v>ClassPeak_ADJ</v>
          </cell>
          <cell r="D31" t="str">
            <v>Days</v>
          </cell>
          <cell r="E31" t="str">
            <v>Number of Days</v>
          </cell>
          <cell r="F31">
            <v>365</v>
          </cell>
          <cell r="G31">
            <v>31</v>
          </cell>
          <cell r="H31">
            <v>30</v>
          </cell>
          <cell r="I31">
            <v>31</v>
          </cell>
          <cell r="J31">
            <v>31</v>
          </cell>
          <cell r="K31">
            <v>28</v>
          </cell>
          <cell r="L31">
            <v>31</v>
          </cell>
          <cell r="M31">
            <v>30</v>
          </cell>
          <cell r="N31">
            <v>31</v>
          </cell>
          <cell r="O31">
            <v>30</v>
          </cell>
          <cell r="P31">
            <v>31</v>
          </cell>
          <cell r="Q31">
            <v>31</v>
          </cell>
          <cell r="R31">
            <v>30</v>
          </cell>
          <cell r="S31" t="str">
            <v>Days</v>
          </cell>
          <cell r="T31" t="str">
            <v>M8200</v>
          </cell>
          <cell r="U31">
            <v>39079.353009259263</v>
          </cell>
        </row>
        <row r="32">
          <cell r="A32">
            <v>991</v>
          </cell>
          <cell r="B32" t="str">
            <v>R991</v>
          </cell>
          <cell r="C32" t="str">
            <v>ClassPeak_ADJ</v>
          </cell>
          <cell r="D32" t="str">
            <v>Load_Factor</v>
          </cell>
          <cell r="E32" t="str">
            <v>Load Factor at Class Peak</v>
          </cell>
          <cell r="F32">
            <v>0.71388670988968672</v>
          </cell>
          <cell r="G32">
            <v>0.90764182980408215</v>
          </cell>
          <cell r="H32">
            <v>0.91300095720516583</v>
          </cell>
          <cell r="I32">
            <v>0.89498497178314962</v>
          </cell>
          <cell r="J32">
            <v>0.91186432393086503</v>
          </cell>
          <cell r="K32">
            <v>0.90395758544953864</v>
          </cell>
          <cell r="L32">
            <v>0.90898618919676155</v>
          </cell>
          <cell r="M32">
            <v>0.88613417897413405</v>
          </cell>
          <cell r="N32">
            <v>0.85918722103663936</v>
          </cell>
          <cell r="O32">
            <v>0.81053045853250172</v>
          </cell>
          <cell r="P32">
            <v>0.79645322817923336</v>
          </cell>
          <cell r="Q32">
            <v>0.88913726368420132</v>
          </cell>
          <cell r="R32">
            <v>0.85976494648383917</v>
          </cell>
          <cell r="S32" t="str">
            <v>None</v>
          </cell>
          <cell r="T32" t="str">
            <v>M8200</v>
          </cell>
          <cell r="U32">
            <v>39079.353009259263</v>
          </cell>
        </row>
        <row r="33">
          <cell r="A33">
            <v>991</v>
          </cell>
          <cell r="B33" t="str">
            <v>R991</v>
          </cell>
          <cell r="C33" t="str">
            <v>ClassPeak_ADJ</v>
          </cell>
          <cell r="D33" t="str">
            <v>Error_Ratio</v>
          </cell>
          <cell r="E33" t="str">
            <v>Error Ratio</v>
          </cell>
          <cell r="F33">
            <v>2.3777988262206278E-16</v>
          </cell>
          <cell r="G33">
            <v>1.6889866967753024E-16</v>
          </cell>
          <cell r="H33">
            <v>2.2714406826872931E-16</v>
          </cell>
          <cell r="I33">
            <v>1.1659686060349963E-16</v>
          </cell>
          <cell r="J33">
            <v>2.5836130224494336E-16</v>
          </cell>
          <cell r="K33">
            <v>2.1079478318564526E-16</v>
          </cell>
          <cell r="L33">
            <v>2.4138375483570123E-16</v>
          </cell>
          <cell r="M33">
            <v>1.4514257542538933E-16</v>
          </cell>
          <cell r="N33">
            <v>3.0634183112727132E-16</v>
          </cell>
          <cell r="O33">
            <v>1.9716186829516641E-16</v>
          </cell>
          <cell r="P33">
            <v>2.3777988262206278E-16</v>
          </cell>
          <cell r="Q33">
            <v>2.2726721383552293E-16</v>
          </cell>
          <cell r="R33">
            <v>1.9555809273867622E-16</v>
          </cell>
          <cell r="S33" t="str">
            <v>None</v>
          </cell>
          <cell r="T33" t="str">
            <v>M8200</v>
          </cell>
          <cell r="U33">
            <v>39079.353009259263</v>
          </cell>
        </row>
        <row r="34">
          <cell r="A34">
            <v>991</v>
          </cell>
          <cell r="B34" t="str">
            <v>R991</v>
          </cell>
          <cell r="C34" t="str">
            <v>Periods:OnPeak_ADJ</v>
          </cell>
          <cell r="D34" t="str">
            <v>Intervals</v>
          </cell>
          <cell r="E34" t="str">
            <v>Number of Hours in Period</v>
          </cell>
          <cell r="F34">
            <v>4864</v>
          </cell>
          <cell r="G34">
            <v>416</v>
          </cell>
          <cell r="H34">
            <v>368</v>
          </cell>
          <cell r="I34">
            <v>416</v>
          </cell>
          <cell r="J34">
            <v>400</v>
          </cell>
          <cell r="K34">
            <v>368</v>
          </cell>
          <cell r="L34">
            <v>432</v>
          </cell>
          <cell r="M34">
            <v>400</v>
          </cell>
          <cell r="N34">
            <v>416</v>
          </cell>
          <cell r="O34">
            <v>416</v>
          </cell>
          <cell r="P34">
            <v>400</v>
          </cell>
          <cell r="Q34">
            <v>432</v>
          </cell>
          <cell r="R34">
            <v>400</v>
          </cell>
          <cell r="S34" t="str">
            <v>Hours</v>
          </cell>
          <cell r="T34" t="str">
            <v>M8300</v>
          </cell>
          <cell r="U34">
            <v>39079.353055555555</v>
          </cell>
        </row>
        <row r="35">
          <cell r="A35">
            <v>991</v>
          </cell>
          <cell r="B35" t="str">
            <v>R991</v>
          </cell>
          <cell r="C35" t="str">
            <v>Periods:OnPeak_ADJ</v>
          </cell>
          <cell r="D35" t="str">
            <v>Totalx</v>
          </cell>
          <cell r="E35" t="str">
            <v>Total Energy Use in Period</v>
          </cell>
          <cell r="F35">
            <v>86825130.085919037</v>
          </cell>
          <cell r="G35">
            <v>7164096.6865193127</v>
          </cell>
          <cell r="H35">
            <v>6194084.635725623</v>
          </cell>
          <cell r="I35">
            <v>7155649.398380911</v>
          </cell>
          <cell r="J35">
            <v>6884413.8348092912</v>
          </cell>
          <cell r="K35">
            <v>6268916.265413072</v>
          </cell>
          <cell r="L35">
            <v>7301854.8307890221</v>
          </cell>
          <cell r="M35">
            <v>6851630.3499744767</v>
          </cell>
          <cell r="N35">
            <v>7344085.2580618896</v>
          </cell>
          <cell r="O35">
            <v>7698961.67066989</v>
          </cell>
          <cell r="P35">
            <v>7975083.2270771535</v>
          </cell>
          <cell r="Q35">
            <v>8476631.3107456248</v>
          </cell>
          <cell r="R35">
            <v>7509722.61775277</v>
          </cell>
          <cell r="S35" t="str">
            <v>kWh</v>
          </cell>
          <cell r="T35" t="str">
            <v>M8300</v>
          </cell>
          <cell r="U35">
            <v>39079.353055555555</v>
          </cell>
        </row>
        <row r="36">
          <cell r="A36">
            <v>991</v>
          </cell>
          <cell r="B36" t="str">
            <v>R991</v>
          </cell>
          <cell r="C36" t="str">
            <v>Periods:OnPeak_ADJ</v>
          </cell>
          <cell r="D36" t="str">
            <v>Peaky</v>
          </cell>
          <cell r="E36" t="str">
            <v>Total Demand at Class Peak Hour in Period</v>
          </cell>
          <cell r="F36">
            <v>24484.155817025512</v>
          </cell>
          <cell r="G36">
            <v>18578.430319027029</v>
          </cell>
          <cell r="H36">
            <v>18090.655866902605</v>
          </cell>
          <cell r="I36">
            <v>18850.425054878178</v>
          </cell>
          <cell r="J36">
            <v>18494.560352613735</v>
          </cell>
          <cell r="K36">
            <v>18493.847134821845</v>
          </cell>
          <cell r="L36">
            <v>18256.964624630153</v>
          </cell>
          <cell r="M36">
            <v>18911.339312270986</v>
          </cell>
          <cell r="N36">
            <v>20079.933025764567</v>
          </cell>
          <cell r="O36">
            <v>22313.736658129827</v>
          </cell>
          <cell r="P36">
            <v>24484.155817025512</v>
          </cell>
          <cell r="Q36">
            <v>21427.99200081755</v>
          </cell>
          <cell r="R36">
            <v>21369.900480369884</v>
          </cell>
          <cell r="S36" t="str">
            <v>kW</v>
          </cell>
          <cell r="T36" t="str">
            <v>M8300</v>
          </cell>
          <cell r="U36">
            <v>39079.353055555555</v>
          </cell>
        </row>
        <row r="37">
          <cell r="A37">
            <v>991</v>
          </cell>
          <cell r="B37" t="str">
            <v>R991</v>
          </cell>
          <cell r="C37" t="str">
            <v>Periods:OnPeak_ADJ</v>
          </cell>
          <cell r="D37" t="str">
            <v>TotalxperSite</v>
          </cell>
          <cell r="E37" t="str">
            <v>Energy Use per Account in Period</v>
          </cell>
          <cell r="F37">
            <v>86825130.085919037</v>
          </cell>
          <cell r="G37">
            <v>7164096.6865193127</v>
          </cell>
          <cell r="H37">
            <v>6194084.635725623</v>
          </cell>
          <cell r="I37">
            <v>7155649.398380911</v>
          </cell>
          <cell r="J37">
            <v>6884413.8348092912</v>
          </cell>
          <cell r="K37">
            <v>6268916.265413072</v>
          </cell>
          <cell r="L37">
            <v>7301854.8307890221</v>
          </cell>
          <cell r="M37">
            <v>6851630.3499744767</v>
          </cell>
          <cell r="N37">
            <v>7344085.2580618896</v>
          </cell>
          <cell r="O37">
            <v>7698961.67066989</v>
          </cell>
          <cell r="P37">
            <v>7975083.2270771535</v>
          </cell>
          <cell r="Q37">
            <v>8476631.3107456248</v>
          </cell>
          <cell r="R37">
            <v>7509722.61775277</v>
          </cell>
          <cell r="S37" t="str">
            <v>kWh</v>
          </cell>
          <cell r="T37" t="str">
            <v>M8300</v>
          </cell>
          <cell r="U37">
            <v>39079.353055555555</v>
          </cell>
        </row>
        <row r="38">
          <cell r="A38">
            <v>991</v>
          </cell>
          <cell r="B38" t="str">
            <v>R991</v>
          </cell>
          <cell r="C38" t="str">
            <v>Periods:OnPeak_ADJ</v>
          </cell>
          <cell r="D38" t="str">
            <v>PeakyperSite</v>
          </cell>
          <cell r="E38" t="str">
            <v>Demand per Account at Class Peak Hour in Period</v>
          </cell>
          <cell r="F38">
            <v>24484.155817025512</v>
          </cell>
          <cell r="G38">
            <v>18578.430319027029</v>
          </cell>
          <cell r="H38">
            <v>18090.655866902605</v>
          </cell>
          <cell r="I38">
            <v>18850.425054878178</v>
          </cell>
          <cell r="J38">
            <v>18494.560352613735</v>
          </cell>
          <cell r="K38">
            <v>18493.847134821845</v>
          </cell>
          <cell r="L38">
            <v>18256.964624630153</v>
          </cell>
          <cell r="M38">
            <v>18911.339312270986</v>
          </cell>
          <cell r="N38">
            <v>20079.933025764567</v>
          </cell>
          <cell r="O38">
            <v>22313.736658129827</v>
          </cell>
          <cell r="P38">
            <v>24484.155817025512</v>
          </cell>
          <cell r="Q38">
            <v>21427.99200081755</v>
          </cell>
          <cell r="R38">
            <v>21369.900480369884</v>
          </cell>
          <cell r="S38" t="str">
            <v>kW</v>
          </cell>
          <cell r="T38" t="str">
            <v>M8300</v>
          </cell>
          <cell r="U38">
            <v>39079.353055555555</v>
          </cell>
        </row>
        <row r="39">
          <cell r="A39">
            <v>991</v>
          </cell>
          <cell r="B39" t="str">
            <v>R991</v>
          </cell>
          <cell r="C39" t="str">
            <v>Periods:OnPeak_ADJ</v>
          </cell>
          <cell r="D39" t="str">
            <v>Load_Factor</v>
          </cell>
          <cell r="E39" t="str">
            <v>Load Factor in Period</v>
          </cell>
          <cell r="F39">
            <v>0.7290658259779137</v>
          </cell>
          <cell r="G39">
            <v>0.92695593599391479</v>
          </cell>
          <cell r="H39">
            <v>0.93041135995016477</v>
          </cell>
          <cell r="I39">
            <v>0.91250357668291104</v>
          </cell>
          <cell r="J39">
            <v>0.93059982280632514</v>
          </cell>
          <cell r="K39">
            <v>0.92112249134161739</v>
          </cell>
          <cell r="L39">
            <v>0.9258078812912176</v>
          </cell>
          <cell r="M39">
            <v>0.90575688966786516</v>
          </cell>
          <cell r="N39">
            <v>0.87918874422829962</v>
          </cell>
          <cell r="O39">
            <v>0.82940476013486775</v>
          </cell>
          <cell r="P39">
            <v>0.81431061853596065</v>
          </cell>
          <cell r="Q39">
            <v>0.91571024186906802</v>
          </cell>
          <cell r="R39">
            <v>0.87853972748388609</v>
          </cell>
          <cell r="S39" t="str">
            <v>None</v>
          </cell>
          <cell r="T39" t="str">
            <v>M8300</v>
          </cell>
          <cell r="U39">
            <v>39079.353055555555</v>
          </cell>
        </row>
        <row r="40">
          <cell r="A40">
            <v>991</v>
          </cell>
          <cell r="B40" t="str">
            <v>R991</v>
          </cell>
          <cell r="C40" t="str">
            <v>Periods:OffPeak_ADJ</v>
          </cell>
          <cell r="D40" t="str">
            <v>Intervals</v>
          </cell>
          <cell r="E40" t="str">
            <v>Number of Hours in Period</v>
          </cell>
          <cell r="F40">
            <v>3896</v>
          </cell>
          <cell r="G40">
            <v>328</v>
          </cell>
          <cell r="H40">
            <v>352</v>
          </cell>
          <cell r="I40">
            <v>328</v>
          </cell>
          <cell r="J40">
            <v>344</v>
          </cell>
          <cell r="K40">
            <v>304</v>
          </cell>
          <cell r="L40">
            <v>312</v>
          </cell>
          <cell r="M40">
            <v>320</v>
          </cell>
          <cell r="N40">
            <v>328</v>
          </cell>
          <cell r="O40">
            <v>304</v>
          </cell>
          <cell r="P40">
            <v>344</v>
          </cell>
          <cell r="Q40">
            <v>312</v>
          </cell>
          <cell r="R40">
            <v>320</v>
          </cell>
          <cell r="S40" t="str">
            <v>Hours</v>
          </cell>
          <cell r="T40" t="str">
            <v>M8300</v>
          </cell>
          <cell r="U40">
            <v>39079.353055555555</v>
          </cell>
        </row>
        <row r="41">
          <cell r="A41">
            <v>991</v>
          </cell>
          <cell r="B41" t="str">
            <v>R991</v>
          </cell>
          <cell r="C41" t="str">
            <v>Periods:OffPeak_ADJ</v>
          </cell>
          <cell r="D41" t="str">
            <v>Totalx</v>
          </cell>
          <cell r="E41" t="str">
            <v>Total Energy Use in Period</v>
          </cell>
          <cell r="F41">
            <v>66290151.654111698</v>
          </cell>
          <cell r="G41">
            <v>5381648.3177797906</v>
          </cell>
          <cell r="H41">
            <v>5698001.372799336</v>
          </cell>
          <cell r="I41">
            <v>5396260.8706844347</v>
          </cell>
          <cell r="J41">
            <v>5662796.3158077355</v>
          </cell>
          <cell r="K41">
            <v>4965346.8205067711</v>
          </cell>
          <cell r="L41">
            <v>5045069.7223403007</v>
          </cell>
          <cell r="M41">
            <v>5214118.2270674957</v>
          </cell>
          <cell r="N41">
            <v>5491716.6020644307</v>
          </cell>
          <cell r="O41">
            <v>5322931.8369930834</v>
          </cell>
          <cell r="P41">
            <v>6533277.5680695651</v>
          </cell>
          <cell r="Q41">
            <v>5860080.8508849964</v>
          </cell>
          <cell r="R41">
            <v>5718903.1491137603</v>
          </cell>
          <cell r="S41" t="str">
            <v>kWh</v>
          </cell>
          <cell r="T41" t="str">
            <v>M8300</v>
          </cell>
          <cell r="U41">
            <v>39079.353055555555</v>
          </cell>
        </row>
        <row r="42">
          <cell r="A42">
            <v>991</v>
          </cell>
          <cell r="B42" t="str">
            <v>R991</v>
          </cell>
          <cell r="C42" t="str">
            <v>Periods:OffPeak_ADJ</v>
          </cell>
          <cell r="D42" t="str">
            <v>Peaky</v>
          </cell>
          <cell r="E42" t="str">
            <v>Total Demand at Class Peak Hour in Period</v>
          </cell>
          <cell r="F42">
            <v>24236.278862679465</v>
          </cell>
          <cell r="G42">
            <v>18176.178785607062</v>
          </cell>
          <cell r="H42">
            <v>17489.764880840063</v>
          </cell>
          <cell r="I42">
            <v>18222.680723358724</v>
          </cell>
          <cell r="J42">
            <v>17835.358038063172</v>
          </cell>
          <cell r="K42">
            <v>18078.239405404984</v>
          </cell>
          <cell r="L42">
            <v>17862.998005719164</v>
          </cell>
          <cell r="M42">
            <v>18107.82081551075</v>
          </cell>
          <cell r="N42">
            <v>18935.07891603035</v>
          </cell>
          <cell r="O42">
            <v>20740.005111072387</v>
          </cell>
          <cell r="P42">
            <v>24236.278862679465</v>
          </cell>
          <cell r="Q42">
            <v>21672.440463183608</v>
          </cell>
          <cell r="R42">
            <v>21208.049264180016</v>
          </cell>
          <cell r="S42" t="str">
            <v>kW</v>
          </cell>
          <cell r="T42" t="str">
            <v>M8300</v>
          </cell>
          <cell r="U42">
            <v>39079.353055555555</v>
          </cell>
        </row>
        <row r="43">
          <cell r="A43">
            <v>991</v>
          </cell>
          <cell r="B43" t="str">
            <v>R991</v>
          </cell>
          <cell r="C43" t="str">
            <v>Periods:OffPeak_ADJ</v>
          </cell>
          <cell r="D43" t="str">
            <v>TotalxperSite</v>
          </cell>
          <cell r="E43" t="str">
            <v>Energy Use per Account in Period</v>
          </cell>
          <cell r="F43">
            <v>66290151.654111698</v>
          </cell>
          <cell r="G43">
            <v>5381648.3177797906</v>
          </cell>
          <cell r="H43">
            <v>5698001.372799336</v>
          </cell>
          <cell r="I43">
            <v>5396260.8706844347</v>
          </cell>
          <cell r="J43">
            <v>5662796.3158077355</v>
          </cell>
          <cell r="K43">
            <v>4965346.8205067711</v>
          </cell>
          <cell r="L43">
            <v>5045069.7223403007</v>
          </cell>
          <cell r="M43">
            <v>5214118.2270674957</v>
          </cell>
          <cell r="N43">
            <v>5491716.6020644307</v>
          </cell>
          <cell r="O43">
            <v>5322931.8369930834</v>
          </cell>
          <cell r="P43">
            <v>6533277.5680695651</v>
          </cell>
          <cell r="Q43">
            <v>5860080.8508849964</v>
          </cell>
          <cell r="R43">
            <v>5718903.1491137603</v>
          </cell>
          <cell r="S43" t="str">
            <v>kWh</v>
          </cell>
          <cell r="T43" t="str">
            <v>M8300</v>
          </cell>
          <cell r="U43">
            <v>39079.353055555555</v>
          </cell>
        </row>
        <row r="44">
          <cell r="A44">
            <v>991</v>
          </cell>
          <cell r="B44" t="str">
            <v>R991</v>
          </cell>
          <cell r="C44" t="str">
            <v>Periods:OffPeak_ADJ</v>
          </cell>
          <cell r="D44" t="str">
            <v>PeakyperSite</v>
          </cell>
          <cell r="E44" t="str">
            <v>Demand per Account at Class Peak Hour in Period</v>
          </cell>
          <cell r="F44">
            <v>24236.278862679465</v>
          </cell>
          <cell r="G44">
            <v>18176.178785607062</v>
          </cell>
          <cell r="H44">
            <v>17489.764880840063</v>
          </cell>
          <cell r="I44">
            <v>18222.680723358724</v>
          </cell>
          <cell r="J44">
            <v>17835.358038063172</v>
          </cell>
          <cell r="K44">
            <v>18078.239405404984</v>
          </cell>
          <cell r="L44">
            <v>17862.998005719164</v>
          </cell>
          <cell r="M44">
            <v>18107.82081551075</v>
          </cell>
          <cell r="N44">
            <v>18935.07891603035</v>
          </cell>
          <cell r="O44">
            <v>20740.005111072387</v>
          </cell>
          <cell r="P44">
            <v>24236.278862679465</v>
          </cell>
          <cell r="Q44">
            <v>21672.440463183608</v>
          </cell>
          <cell r="R44">
            <v>21208.049264180016</v>
          </cell>
          <cell r="S44" t="str">
            <v>kW</v>
          </cell>
          <cell r="T44" t="str">
            <v>M8300</v>
          </cell>
          <cell r="U44">
            <v>39079.353055555555</v>
          </cell>
        </row>
        <row r="45">
          <cell r="A45">
            <v>991</v>
          </cell>
          <cell r="B45" t="str">
            <v>R991</v>
          </cell>
          <cell r="C45" t="str">
            <v>Periods:OffPeak_ADJ</v>
          </cell>
          <cell r="D45" t="str">
            <v>Load_Factor</v>
          </cell>
          <cell r="E45" t="str">
            <v>Load Factor in Period</v>
          </cell>
          <cell r="F45">
            <v>0.70204366295888054</v>
          </cell>
          <cell r="G45">
            <v>0.90269052571530273</v>
          </cell>
          <cell r="H45">
            <v>0.92554153873911882</v>
          </cell>
          <cell r="I45">
            <v>0.90283175672164795</v>
          </cell>
          <cell r="J45">
            <v>0.9229765481569866</v>
          </cell>
          <cell r="K45">
            <v>0.9034827636009799</v>
          </cell>
          <cell r="L45">
            <v>0.90522852091984052</v>
          </cell>
          <cell r="M45">
            <v>0.89983878378279236</v>
          </cell>
          <cell r="N45">
            <v>0.88423388649062162</v>
          </cell>
          <cell r="O45">
            <v>0.84424493180511972</v>
          </cell>
          <cell r="P45">
            <v>0.78362219139736822</v>
          </cell>
          <cell r="Q45">
            <v>0.86664491945011601</v>
          </cell>
          <cell r="R45">
            <v>0.84267874514820373</v>
          </cell>
          <cell r="S45" t="str">
            <v>None</v>
          </cell>
          <cell r="T45" t="str">
            <v>M8300</v>
          </cell>
          <cell r="U45">
            <v>39079.353055555555</v>
          </cell>
        </row>
        <row r="46">
          <cell r="A46">
            <v>991</v>
          </cell>
          <cell r="B46" t="str">
            <v>R991</v>
          </cell>
          <cell r="C46" t="str">
            <v>Weekday_ADJ</v>
          </cell>
          <cell r="D46" t="str">
            <v>Date</v>
          </cell>
          <cell r="E46" t="str">
            <v>Day of Peak Demand on Weekdays</v>
          </cell>
          <cell r="F46">
            <v>38919</v>
          </cell>
          <cell r="G46">
            <v>38639</v>
          </cell>
          <cell r="H46">
            <v>38685</v>
          </cell>
          <cell r="I46">
            <v>38706</v>
          </cell>
          <cell r="J46">
            <v>38722</v>
          </cell>
          <cell r="K46">
            <v>38771</v>
          </cell>
          <cell r="L46">
            <v>38803</v>
          </cell>
          <cell r="M46">
            <v>38831</v>
          </cell>
          <cell r="N46">
            <v>38855</v>
          </cell>
          <cell r="O46">
            <v>38894</v>
          </cell>
          <cell r="P46">
            <v>38919</v>
          </cell>
          <cell r="Q46">
            <v>38957</v>
          </cell>
          <cell r="R46">
            <v>38961</v>
          </cell>
          <cell r="S46" t="str">
            <v>Date</v>
          </cell>
          <cell r="T46" t="str">
            <v>M8500</v>
          </cell>
          <cell r="U46">
            <v>39079.353125000001</v>
          </cell>
        </row>
        <row r="47">
          <cell r="A47">
            <v>991</v>
          </cell>
          <cell r="B47" t="str">
            <v>R991</v>
          </cell>
          <cell r="C47" t="str">
            <v>Weekday_ADJ</v>
          </cell>
          <cell r="D47" t="str">
            <v>Interval</v>
          </cell>
          <cell r="E47" t="str">
            <v>Hour of Peak Demand on Weekday or Weekend</v>
          </cell>
          <cell r="F47">
            <v>18</v>
          </cell>
          <cell r="G47">
            <v>15</v>
          </cell>
          <cell r="H47">
            <v>8</v>
          </cell>
          <cell r="I47">
            <v>8</v>
          </cell>
          <cell r="J47">
            <v>8</v>
          </cell>
          <cell r="K47">
            <v>8</v>
          </cell>
          <cell r="L47">
            <v>15</v>
          </cell>
          <cell r="M47">
            <v>13</v>
          </cell>
          <cell r="N47">
            <v>15</v>
          </cell>
          <cell r="O47">
            <v>13</v>
          </cell>
          <cell r="P47">
            <v>18</v>
          </cell>
          <cell r="Q47">
            <v>17</v>
          </cell>
          <cell r="R47">
            <v>18</v>
          </cell>
          <cell r="S47" t="str">
            <v>Hour</v>
          </cell>
          <cell r="T47" t="str">
            <v>M8500</v>
          </cell>
          <cell r="U47">
            <v>39079.353125000001</v>
          </cell>
        </row>
        <row r="48">
          <cell r="A48">
            <v>991</v>
          </cell>
          <cell r="B48" t="str">
            <v>R991</v>
          </cell>
          <cell r="C48" t="str">
            <v>Weekday_ADJ</v>
          </cell>
          <cell r="D48" t="str">
            <v>Totalx</v>
          </cell>
          <cell r="E48" t="str">
            <v>Total Energy Use on Weekday or Weekend</v>
          </cell>
          <cell r="F48">
            <v>106478901.72826916</v>
          </cell>
          <cell r="G48">
            <v>8578174.3617786281</v>
          </cell>
          <cell r="H48">
            <v>8007422.1454710253</v>
          </cell>
          <cell r="I48">
            <v>8576441.6726468652</v>
          </cell>
          <cell r="J48">
            <v>8583146.9885001592</v>
          </cell>
          <cell r="K48">
            <v>7683477.6789534651</v>
          </cell>
          <cell r="L48">
            <v>9241679.058541717</v>
          </cell>
          <cell r="M48">
            <v>8155509.5712680127</v>
          </cell>
          <cell r="N48">
            <v>9219122.7111523282</v>
          </cell>
          <cell r="O48">
            <v>9647244.2027414627</v>
          </cell>
          <cell r="P48">
            <v>9333124.8592539541</v>
          </cell>
          <cell r="Q48">
            <v>10576323.495895073</v>
          </cell>
          <cell r="R48">
            <v>8877234.9820664227</v>
          </cell>
          <cell r="S48" t="str">
            <v>kWh</v>
          </cell>
          <cell r="T48" t="str">
            <v>M8500</v>
          </cell>
          <cell r="U48">
            <v>39079.353125000001</v>
          </cell>
        </row>
        <row r="49">
          <cell r="A49">
            <v>991</v>
          </cell>
          <cell r="B49" t="str">
            <v>R991</v>
          </cell>
          <cell r="C49" t="str">
            <v>Weekday_ADJ</v>
          </cell>
          <cell r="D49" t="str">
            <v>Peaky</v>
          </cell>
          <cell r="E49" t="str">
            <v>Peak Demand on Weekday or Weekend</v>
          </cell>
          <cell r="F49">
            <v>24462.824791317526</v>
          </cell>
          <cell r="G49">
            <v>18578.430319027029</v>
          </cell>
          <cell r="H49">
            <v>18090.655866902605</v>
          </cell>
          <cell r="I49">
            <v>18850.425054878178</v>
          </cell>
          <cell r="J49">
            <v>18494.560352613735</v>
          </cell>
          <cell r="K49">
            <v>18493.847134821845</v>
          </cell>
          <cell r="L49">
            <v>18256.964624630153</v>
          </cell>
          <cell r="M49">
            <v>18911.339312270986</v>
          </cell>
          <cell r="N49">
            <v>20079.933025764567</v>
          </cell>
          <cell r="O49">
            <v>22313.736658129827</v>
          </cell>
          <cell r="P49">
            <v>24462.824791317526</v>
          </cell>
          <cell r="Q49">
            <v>21427.99200081755</v>
          </cell>
          <cell r="R49">
            <v>21163.346760408695</v>
          </cell>
          <cell r="S49" t="str">
            <v>kW</v>
          </cell>
          <cell r="T49" t="str">
            <v>M8500</v>
          </cell>
          <cell r="U49">
            <v>39079.353125000001</v>
          </cell>
        </row>
        <row r="50">
          <cell r="A50">
            <v>991</v>
          </cell>
          <cell r="B50" t="str">
            <v>R991</v>
          </cell>
          <cell r="C50" t="str">
            <v>Weekday_ADJ</v>
          </cell>
          <cell r="D50" t="str">
            <v>ErrBndforPeaky</v>
          </cell>
          <cell r="E50" t="str">
            <v>Error Bound for Peak Demand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str">
            <v>kW</v>
          </cell>
          <cell r="T50" t="str">
            <v>M8500</v>
          </cell>
          <cell r="U50">
            <v>39079.353125000001</v>
          </cell>
        </row>
        <row r="51">
          <cell r="A51">
            <v>991</v>
          </cell>
          <cell r="B51" t="str">
            <v>R991</v>
          </cell>
          <cell r="C51" t="str">
            <v>Weekday_ADJ</v>
          </cell>
          <cell r="D51" t="str">
            <v>TotalxperSite</v>
          </cell>
          <cell r="E51" t="str">
            <v>Energy Use per Account on Weekday or Weekend</v>
          </cell>
          <cell r="F51">
            <v>106478901.72826916</v>
          </cell>
          <cell r="G51">
            <v>8578174.3617786281</v>
          </cell>
          <cell r="H51">
            <v>8007422.1454710253</v>
          </cell>
          <cell r="I51">
            <v>8576441.6726468652</v>
          </cell>
          <cell r="J51">
            <v>8583146.9885001592</v>
          </cell>
          <cell r="K51">
            <v>7683477.6789534651</v>
          </cell>
          <cell r="L51">
            <v>9241679.058541717</v>
          </cell>
          <cell r="M51">
            <v>8155509.5712680127</v>
          </cell>
          <cell r="N51">
            <v>9219122.7111523282</v>
          </cell>
          <cell r="O51">
            <v>9647244.2027414627</v>
          </cell>
          <cell r="P51">
            <v>9333124.8592539541</v>
          </cell>
          <cell r="Q51">
            <v>10576323.495895073</v>
          </cell>
          <cell r="R51">
            <v>8877234.9820664227</v>
          </cell>
          <cell r="S51" t="str">
            <v>kWh</v>
          </cell>
          <cell r="T51" t="str">
            <v>M8500</v>
          </cell>
          <cell r="U51">
            <v>39079.353125000001</v>
          </cell>
        </row>
        <row r="52">
          <cell r="A52">
            <v>991</v>
          </cell>
          <cell r="B52" t="str">
            <v>R991</v>
          </cell>
          <cell r="C52" t="str">
            <v>Weekday_ADJ</v>
          </cell>
          <cell r="D52" t="str">
            <v>PeakyperSite</v>
          </cell>
          <cell r="E52" t="str">
            <v>Peak Demand per Account on Weekday or Weekend</v>
          </cell>
          <cell r="F52">
            <v>24462.824791317526</v>
          </cell>
          <cell r="G52">
            <v>18578.430319027029</v>
          </cell>
          <cell r="H52">
            <v>18090.655866902605</v>
          </cell>
          <cell r="I52">
            <v>18850.425054878178</v>
          </cell>
          <cell r="J52">
            <v>18494.560352613735</v>
          </cell>
          <cell r="K52">
            <v>18493.847134821845</v>
          </cell>
          <cell r="L52">
            <v>18256.964624630153</v>
          </cell>
          <cell r="M52">
            <v>18911.339312270986</v>
          </cell>
          <cell r="N52">
            <v>20079.933025764567</v>
          </cell>
          <cell r="O52">
            <v>22313.736658129827</v>
          </cell>
          <cell r="P52">
            <v>24462.824791317526</v>
          </cell>
          <cell r="Q52">
            <v>21427.99200081755</v>
          </cell>
          <cell r="R52">
            <v>21163.346760408695</v>
          </cell>
          <cell r="S52" t="str">
            <v>kW</v>
          </cell>
          <cell r="T52" t="str">
            <v>M8500</v>
          </cell>
          <cell r="U52">
            <v>39079.353125000001</v>
          </cell>
        </row>
        <row r="53">
          <cell r="A53">
            <v>991</v>
          </cell>
          <cell r="B53" t="str">
            <v>R991</v>
          </cell>
          <cell r="C53" t="str">
            <v>Weekday_ADJ</v>
          </cell>
          <cell r="D53" t="str">
            <v>ErrBndperSite</v>
          </cell>
          <cell r="E53" t="str">
            <v>Error Bound for Demand per Account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 t="str">
            <v>kW</v>
          </cell>
          <cell r="T53" t="str">
            <v>M8500</v>
          </cell>
          <cell r="U53">
            <v>39079.353125000001</v>
          </cell>
        </row>
        <row r="54">
          <cell r="A54">
            <v>991</v>
          </cell>
          <cell r="B54" t="str">
            <v>R991</v>
          </cell>
          <cell r="C54" t="str">
            <v>Weekday_ADJ</v>
          </cell>
          <cell r="D54" t="str">
            <v>RelPrec</v>
          </cell>
          <cell r="E54" t="str">
            <v>Relative Precision of Demand per Account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str">
            <v>None</v>
          </cell>
          <cell r="T54" t="str">
            <v>M8500</v>
          </cell>
          <cell r="U54">
            <v>39079.353125000001</v>
          </cell>
        </row>
        <row r="55">
          <cell r="A55">
            <v>991</v>
          </cell>
          <cell r="B55" t="str">
            <v>R991</v>
          </cell>
          <cell r="C55" t="str">
            <v>Weekday_ADJ</v>
          </cell>
          <cell r="D55" t="str">
            <v>Days</v>
          </cell>
          <cell r="E55" t="str">
            <v>Number of Days</v>
          </cell>
          <cell r="F55">
            <v>252</v>
          </cell>
          <cell r="G55">
            <v>21</v>
          </cell>
          <cell r="H55">
            <v>20</v>
          </cell>
          <cell r="I55">
            <v>21</v>
          </cell>
          <cell r="J55">
            <v>21</v>
          </cell>
          <cell r="K55">
            <v>19</v>
          </cell>
          <cell r="L55">
            <v>23</v>
          </cell>
          <cell r="M55">
            <v>20</v>
          </cell>
          <cell r="N55">
            <v>22</v>
          </cell>
          <cell r="O55">
            <v>22</v>
          </cell>
          <cell r="P55">
            <v>20</v>
          </cell>
          <cell r="Q55">
            <v>23</v>
          </cell>
          <cell r="R55">
            <v>20</v>
          </cell>
          <cell r="S55" t="str">
            <v>Days</v>
          </cell>
          <cell r="T55" t="str">
            <v>M8500</v>
          </cell>
          <cell r="U55">
            <v>39079.353125000001</v>
          </cell>
        </row>
        <row r="56">
          <cell r="A56">
            <v>991</v>
          </cell>
          <cell r="B56" t="str">
            <v>R991</v>
          </cell>
          <cell r="C56" t="str">
            <v>Weekday_ADJ</v>
          </cell>
          <cell r="D56" t="str">
            <v>Load_Factor</v>
          </cell>
          <cell r="E56" t="str">
            <v>Load Factor on Weekday or Weekend</v>
          </cell>
          <cell r="F56">
            <v>0.71968951515038049</v>
          </cell>
          <cell r="G56">
            <v>0.91612622452393544</v>
          </cell>
          <cell r="H56">
            <v>0.92214066711930309</v>
          </cell>
          <cell r="I56">
            <v>0.90272496778984612</v>
          </cell>
          <cell r="J56">
            <v>0.92081418665378889</v>
          </cell>
          <cell r="K56">
            <v>0.91109933099667362</v>
          </cell>
          <cell r="L56">
            <v>0.91702933930849262</v>
          </cell>
          <cell r="M56">
            <v>0.89843689331495347</v>
          </cell>
          <cell r="N56">
            <v>0.86954770505505286</v>
          </cell>
          <cell r="O56">
            <v>0.81883622265787126</v>
          </cell>
          <cell r="P56">
            <v>0.79483911973840848</v>
          </cell>
          <cell r="Q56">
            <v>0.89415780687300184</v>
          </cell>
          <cell r="R56">
            <v>0.87388066525327601</v>
          </cell>
          <cell r="S56" t="str">
            <v>None</v>
          </cell>
          <cell r="T56" t="str">
            <v>M8500</v>
          </cell>
          <cell r="U56">
            <v>39079.353125000001</v>
          </cell>
        </row>
        <row r="57">
          <cell r="A57">
            <v>991</v>
          </cell>
          <cell r="B57" t="str">
            <v>R991</v>
          </cell>
          <cell r="C57" t="str">
            <v>Weekday_ADJ</v>
          </cell>
          <cell r="D57" t="str">
            <v>Error_Ratio</v>
          </cell>
          <cell r="E57" t="str">
            <v>Error Ratio</v>
          </cell>
          <cell r="F57">
            <v>2.4564002597965902E-16</v>
          </cell>
          <cell r="G57">
            <v>1.6889866967753024E-16</v>
          </cell>
          <cell r="H57">
            <v>2.2714406826872931E-16</v>
          </cell>
          <cell r="I57">
            <v>1.1659686060349963E-16</v>
          </cell>
          <cell r="J57">
            <v>2.5836130224494336E-16</v>
          </cell>
          <cell r="K57">
            <v>2.1079478318564526E-16</v>
          </cell>
          <cell r="L57">
            <v>2.4138375483570123E-16</v>
          </cell>
          <cell r="M57">
            <v>1.4514257542538933E-16</v>
          </cell>
          <cell r="N57">
            <v>3.0634183112727132E-16</v>
          </cell>
          <cell r="O57">
            <v>1.9716186829516641E-16</v>
          </cell>
          <cell r="P57">
            <v>2.4564002597965902E-16</v>
          </cell>
          <cell r="Q57">
            <v>1.3680898893573561E-16</v>
          </cell>
          <cell r="R57">
            <v>1.2344928728506192E-16</v>
          </cell>
          <cell r="S57" t="str">
            <v>None</v>
          </cell>
          <cell r="T57" t="str">
            <v>M8500</v>
          </cell>
          <cell r="U57">
            <v>39079.353125000001</v>
          </cell>
        </row>
        <row r="58">
          <cell r="A58">
            <v>991</v>
          </cell>
          <cell r="B58" t="str">
            <v>R991</v>
          </cell>
          <cell r="C58" t="str">
            <v>Weekend_ADJ</v>
          </cell>
          <cell r="D58" t="str">
            <v>Date</v>
          </cell>
          <cell r="E58" t="str">
            <v>Day of Peak Demand on Weekdays</v>
          </cell>
          <cell r="F58">
            <v>38920</v>
          </cell>
          <cell r="G58">
            <v>38647</v>
          </cell>
          <cell r="H58">
            <v>38668</v>
          </cell>
          <cell r="I58">
            <v>38712</v>
          </cell>
          <cell r="J58">
            <v>38731</v>
          </cell>
          <cell r="K58">
            <v>38773</v>
          </cell>
          <cell r="L58">
            <v>38794</v>
          </cell>
          <cell r="M58">
            <v>38830</v>
          </cell>
          <cell r="N58">
            <v>38866</v>
          </cell>
          <cell r="O58">
            <v>38893</v>
          </cell>
          <cell r="P58">
            <v>38920</v>
          </cell>
          <cell r="Q58">
            <v>38956</v>
          </cell>
          <cell r="R58">
            <v>38962</v>
          </cell>
          <cell r="S58" t="str">
            <v>Date</v>
          </cell>
          <cell r="T58" t="str">
            <v>M8500</v>
          </cell>
          <cell r="U58">
            <v>39079.353125000001</v>
          </cell>
        </row>
        <row r="59">
          <cell r="A59">
            <v>991</v>
          </cell>
          <cell r="B59" t="str">
            <v>R991</v>
          </cell>
          <cell r="C59" t="str">
            <v>Weekend_ADJ</v>
          </cell>
          <cell r="D59" t="str">
            <v>Interval</v>
          </cell>
          <cell r="E59" t="str">
            <v>Hour of Peak Demand on Weekday or Weekend</v>
          </cell>
          <cell r="F59">
            <v>22</v>
          </cell>
          <cell r="G59">
            <v>7</v>
          </cell>
          <cell r="H59">
            <v>7</v>
          </cell>
          <cell r="I59">
            <v>8</v>
          </cell>
          <cell r="J59">
            <v>8</v>
          </cell>
          <cell r="K59">
            <v>7</v>
          </cell>
          <cell r="L59">
            <v>6</v>
          </cell>
          <cell r="M59">
            <v>22</v>
          </cell>
          <cell r="N59">
            <v>22</v>
          </cell>
          <cell r="O59">
            <v>18</v>
          </cell>
          <cell r="P59">
            <v>22</v>
          </cell>
          <cell r="Q59">
            <v>22</v>
          </cell>
          <cell r="R59">
            <v>15</v>
          </cell>
          <cell r="S59" t="str">
            <v>Hour</v>
          </cell>
          <cell r="T59" t="str">
            <v>M8500</v>
          </cell>
          <cell r="U59">
            <v>39079.353125000001</v>
          </cell>
        </row>
        <row r="60">
          <cell r="A60">
            <v>991</v>
          </cell>
          <cell r="B60" t="str">
            <v>R991</v>
          </cell>
          <cell r="C60" t="str">
            <v>Weekend_ADJ</v>
          </cell>
          <cell r="D60" t="str">
            <v>Totalx</v>
          </cell>
          <cell r="E60" t="str">
            <v>Total Energy Use on Weekday or Weekend</v>
          </cell>
          <cell r="F60">
            <v>46636380.011761598</v>
          </cell>
          <cell r="G60">
            <v>3967570.6425204752</v>
          </cell>
          <cell r="H60">
            <v>3884663.8630539314</v>
          </cell>
          <cell r="I60">
            <v>3975468.5964184846</v>
          </cell>
          <cell r="J60">
            <v>3964063.1621168596</v>
          </cell>
          <cell r="K60">
            <v>3550785.4069663752</v>
          </cell>
          <cell r="L60">
            <v>3105245.4945876095</v>
          </cell>
          <cell r="M60">
            <v>3910239.0057739578</v>
          </cell>
          <cell r="N60">
            <v>3616679.1489739954</v>
          </cell>
          <cell r="O60">
            <v>3374649.3049215125</v>
          </cell>
          <cell r="P60">
            <v>5175235.9358927617</v>
          </cell>
          <cell r="Q60">
            <v>3760388.6657355423</v>
          </cell>
          <cell r="R60">
            <v>4351390.7848001067</v>
          </cell>
          <cell r="S60" t="str">
            <v>kWh</v>
          </cell>
          <cell r="T60" t="str">
            <v>M8500</v>
          </cell>
          <cell r="U60">
            <v>39079.353125000001</v>
          </cell>
        </row>
        <row r="61">
          <cell r="A61">
            <v>991</v>
          </cell>
          <cell r="B61" t="str">
            <v>R991</v>
          </cell>
          <cell r="C61" t="str">
            <v>Weekend_ADJ</v>
          </cell>
          <cell r="D61" t="str">
            <v>Peaky</v>
          </cell>
          <cell r="E61" t="str">
            <v>Peak Demand on Weekday or Weekend</v>
          </cell>
          <cell r="F61">
            <v>24484.155817025512</v>
          </cell>
          <cell r="G61">
            <v>17931.189258491759</v>
          </cell>
          <cell r="H61">
            <v>17441.625491441861</v>
          </cell>
          <cell r="I61">
            <v>18222.680723358724</v>
          </cell>
          <cell r="J61">
            <v>18311.718325660859</v>
          </cell>
          <cell r="K61">
            <v>17759.422892702543</v>
          </cell>
          <cell r="L61">
            <v>17306.89350032495</v>
          </cell>
          <cell r="M61">
            <v>17943.53561218625</v>
          </cell>
          <cell r="N61">
            <v>18388.645593658253</v>
          </cell>
          <cell r="O61">
            <v>20569.106781631748</v>
          </cell>
          <cell r="P61">
            <v>24484.155817025512</v>
          </cell>
          <cell r="Q61">
            <v>21672.440463183608</v>
          </cell>
          <cell r="R61">
            <v>21369.900480369884</v>
          </cell>
          <cell r="S61" t="str">
            <v>kW</v>
          </cell>
          <cell r="T61" t="str">
            <v>M8500</v>
          </cell>
          <cell r="U61">
            <v>39079.353125000001</v>
          </cell>
        </row>
        <row r="62">
          <cell r="A62">
            <v>991</v>
          </cell>
          <cell r="B62" t="str">
            <v>R991</v>
          </cell>
          <cell r="C62" t="str">
            <v>Weekend_ADJ</v>
          </cell>
          <cell r="D62" t="str">
            <v>ErrBndforPeaky</v>
          </cell>
          <cell r="E62" t="str">
            <v>Error Bound for Peak Demand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kW</v>
          </cell>
          <cell r="T62" t="str">
            <v>M8500</v>
          </cell>
          <cell r="U62">
            <v>39079.353125000001</v>
          </cell>
        </row>
        <row r="63">
          <cell r="A63">
            <v>991</v>
          </cell>
          <cell r="B63" t="str">
            <v>R991</v>
          </cell>
          <cell r="C63" t="str">
            <v>Weekend_ADJ</v>
          </cell>
          <cell r="D63" t="str">
            <v>TotalxperSite</v>
          </cell>
          <cell r="E63" t="str">
            <v>Energy Use per Account on Weekday or Weekend</v>
          </cell>
          <cell r="F63">
            <v>46636380.011761598</v>
          </cell>
          <cell r="G63">
            <v>3967570.6425204752</v>
          </cell>
          <cell r="H63">
            <v>3884663.8630539314</v>
          </cell>
          <cell r="I63">
            <v>3975468.5964184846</v>
          </cell>
          <cell r="J63">
            <v>3964063.1621168596</v>
          </cell>
          <cell r="K63">
            <v>3550785.4069663752</v>
          </cell>
          <cell r="L63">
            <v>3105245.4945876095</v>
          </cell>
          <cell r="M63">
            <v>3910239.0057739578</v>
          </cell>
          <cell r="N63">
            <v>3616679.1489739954</v>
          </cell>
          <cell r="O63">
            <v>3374649.3049215125</v>
          </cell>
          <cell r="P63">
            <v>5175235.9358927617</v>
          </cell>
          <cell r="Q63">
            <v>3760388.6657355423</v>
          </cell>
          <cell r="R63">
            <v>4351390.7848001067</v>
          </cell>
          <cell r="S63" t="str">
            <v>kWh</v>
          </cell>
          <cell r="T63" t="str">
            <v>M8500</v>
          </cell>
          <cell r="U63">
            <v>39079.353125000001</v>
          </cell>
        </row>
        <row r="64">
          <cell r="A64">
            <v>991</v>
          </cell>
          <cell r="B64" t="str">
            <v>R991</v>
          </cell>
          <cell r="C64" t="str">
            <v>Weekend_ADJ</v>
          </cell>
          <cell r="D64" t="str">
            <v>PeakyperSite</v>
          </cell>
          <cell r="E64" t="str">
            <v>Peak Demand per Account on Weekday or Weekend</v>
          </cell>
          <cell r="F64">
            <v>24484.155817025512</v>
          </cell>
          <cell r="G64">
            <v>17931.189258491759</v>
          </cell>
          <cell r="H64">
            <v>17441.625491441861</v>
          </cell>
          <cell r="I64">
            <v>18222.680723358724</v>
          </cell>
          <cell r="J64">
            <v>18311.718325660859</v>
          </cell>
          <cell r="K64">
            <v>17759.422892702543</v>
          </cell>
          <cell r="L64">
            <v>17306.89350032495</v>
          </cell>
          <cell r="M64">
            <v>17943.53561218625</v>
          </cell>
          <cell r="N64">
            <v>18388.645593658253</v>
          </cell>
          <cell r="O64">
            <v>20569.106781631748</v>
          </cell>
          <cell r="P64">
            <v>24484.155817025512</v>
          </cell>
          <cell r="Q64">
            <v>21672.440463183608</v>
          </cell>
          <cell r="R64">
            <v>21369.900480369884</v>
          </cell>
          <cell r="S64" t="str">
            <v>kW</v>
          </cell>
          <cell r="T64" t="str">
            <v>M8500</v>
          </cell>
          <cell r="U64">
            <v>39079.353125000001</v>
          </cell>
        </row>
        <row r="65">
          <cell r="A65">
            <v>991</v>
          </cell>
          <cell r="B65" t="str">
            <v>R991</v>
          </cell>
          <cell r="C65" t="str">
            <v>Weekend_ADJ</v>
          </cell>
          <cell r="D65" t="str">
            <v>ErrBndperSite</v>
          </cell>
          <cell r="E65" t="str">
            <v>Error Bound for Demand per Account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kW</v>
          </cell>
          <cell r="T65" t="str">
            <v>M8500</v>
          </cell>
          <cell r="U65">
            <v>39079.353125000001</v>
          </cell>
        </row>
        <row r="66">
          <cell r="A66">
            <v>991</v>
          </cell>
          <cell r="B66" t="str">
            <v>R991</v>
          </cell>
          <cell r="C66" t="str">
            <v>Weekend_ADJ</v>
          </cell>
          <cell r="D66" t="str">
            <v>RelPrec</v>
          </cell>
          <cell r="E66" t="str">
            <v>Relative Precision of Demand per Account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None</v>
          </cell>
          <cell r="T66" t="str">
            <v>M8500</v>
          </cell>
          <cell r="U66">
            <v>39079.353125000001</v>
          </cell>
        </row>
        <row r="67">
          <cell r="A67">
            <v>991</v>
          </cell>
          <cell r="B67" t="str">
            <v>R991</v>
          </cell>
          <cell r="C67" t="str">
            <v>Weekend_ADJ</v>
          </cell>
          <cell r="D67" t="str">
            <v>Days</v>
          </cell>
          <cell r="E67" t="str">
            <v>Number of Days</v>
          </cell>
          <cell r="F67">
            <v>113</v>
          </cell>
          <cell r="G67">
            <v>10</v>
          </cell>
          <cell r="H67">
            <v>10</v>
          </cell>
          <cell r="I67">
            <v>10</v>
          </cell>
          <cell r="J67">
            <v>10</v>
          </cell>
          <cell r="K67">
            <v>9</v>
          </cell>
          <cell r="L67">
            <v>8</v>
          </cell>
          <cell r="M67">
            <v>10</v>
          </cell>
          <cell r="N67">
            <v>9</v>
          </cell>
          <cell r="O67">
            <v>8</v>
          </cell>
          <cell r="P67">
            <v>11</v>
          </cell>
          <cell r="Q67">
            <v>8</v>
          </cell>
          <cell r="R67">
            <v>10</v>
          </cell>
          <cell r="S67" t="str">
            <v>Days</v>
          </cell>
          <cell r="T67" t="str">
            <v>M8500</v>
          </cell>
          <cell r="U67">
            <v>39079.353125000001</v>
          </cell>
        </row>
        <row r="68">
          <cell r="A68">
            <v>991</v>
          </cell>
          <cell r="B68" t="str">
            <v>R991</v>
          </cell>
          <cell r="C68" t="str">
            <v>Weekend_ADJ</v>
          </cell>
          <cell r="D68" t="str">
            <v>Load_Factor</v>
          </cell>
          <cell r="E68" t="str">
            <v>Load Factor on Weekday or Weekend</v>
          </cell>
          <cell r="F68">
            <v>0.70234421977144978</v>
          </cell>
          <cell r="G68">
            <v>0.92194355352121393</v>
          </cell>
          <cell r="H68">
            <v>0.92801553601374298</v>
          </cell>
          <cell r="I68">
            <v>0.90900195951103357</v>
          </cell>
          <cell r="J68">
            <v>0.90198688885509037</v>
          </cell>
          <cell r="K68">
            <v>0.92563938748836516</v>
          </cell>
          <cell r="L68">
            <v>0.93449200558957257</v>
          </cell>
          <cell r="M68">
            <v>0.9079962208224498</v>
          </cell>
          <cell r="N68">
            <v>0.91055563954792818</v>
          </cell>
          <cell r="O68">
            <v>0.8544998404514359</v>
          </cell>
          <cell r="P68">
            <v>0.80064702129549403</v>
          </cell>
          <cell r="Q68">
            <v>0.90369876282785089</v>
          </cell>
          <cell r="R68">
            <v>0.84842673709790206</v>
          </cell>
          <cell r="S68" t="str">
            <v>None</v>
          </cell>
          <cell r="T68" t="str">
            <v>M8500</v>
          </cell>
          <cell r="U68">
            <v>39079.353125000001</v>
          </cell>
        </row>
        <row r="69">
          <cell r="A69">
            <v>991</v>
          </cell>
          <cell r="B69" t="str">
            <v>R991</v>
          </cell>
          <cell r="C69" t="str">
            <v>Weekend_ADJ</v>
          </cell>
          <cell r="D69" t="str">
            <v>Error_Ratio</v>
          </cell>
          <cell r="E69" t="str">
            <v>Error Ratio</v>
          </cell>
          <cell r="F69">
            <v>2.3777988262206278E-16</v>
          </cell>
          <cell r="G69">
            <v>2.1245752333245714E-16</v>
          </cell>
          <cell r="H69">
            <v>2.9248644535228274E-16</v>
          </cell>
          <cell r="I69">
            <v>1.9731227068767947E-16</v>
          </cell>
          <cell r="J69">
            <v>2.5720753800867939E-16</v>
          </cell>
          <cell r="K69">
            <v>2.7050346018665975E-16</v>
          </cell>
          <cell r="L69">
            <v>2.1795271120952108E-16</v>
          </cell>
          <cell r="M69">
            <v>2.2243758013366944E-16</v>
          </cell>
          <cell r="N69">
            <v>2.6737311025729495E-16</v>
          </cell>
          <cell r="O69">
            <v>1.4145579134524904E-16</v>
          </cell>
          <cell r="P69">
            <v>2.3777988262206278E-16</v>
          </cell>
          <cell r="Q69">
            <v>2.2726721383552293E-16</v>
          </cell>
          <cell r="R69">
            <v>1.9555809273867622E-16</v>
          </cell>
          <cell r="S69" t="str">
            <v>None</v>
          </cell>
          <cell r="T69" t="str">
            <v>M8500</v>
          </cell>
          <cell r="U69">
            <v>39079.353125000001</v>
          </cell>
        </row>
        <row r="70">
          <cell r="A70">
            <v>991</v>
          </cell>
          <cell r="B70" t="str">
            <v>R991</v>
          </cell>
          <cell r="C70" t="str">
            <v>NonCoinPeak_ADJ</v>
          </cell>
          <cell r="D70" t="str">
            <v>Totalx</v>
          </cell>
          <cell r="E70" t="str">
            <v>Total Energy Use</v>
          </cell>
          <cell r="F70">
            <v>153115281.74003071</v>
          </cell>
          <cell r="G70">
            <v>12545745.004299102</v>
          </cell>
          <cell r="H70">
            <v>11892086.008524956</v>
          </cell>
          <cell r="I70">
            <v>12551910.269065348</v>
          </cell>
          <cell r="J70">
            <v>12547210.15061702</v>
          </cell>
          <cell r="K70">
            <v>11234263.085919837</v>
          </cell>
          <cell r="L70">
            <v>12346924.553129328</v>
          </cell>
          <cell r="M70">
            <v>12065748.577041971</v>
          </cell>
          <cell r="N70">
            <v>12835801.86012632</v>
          </cell>
          <cell r="O70">
            <v>13021893.507662972</v>
          </cell>
          <cell r="P70">
            <v>14508360.795146713</v>
          </cell>
          <cell r="Q70">
            <v>14336712.161630616</v>
          </cell>
          <cell r="R70">
            <v>13228625.766866531</v>
          </cell>
          <cell r="S70" t="str">
            <v>kWh</v>
          </cell>
          <cell r="T70" t="str">
            <v>M8600</v>
          </cell>
          <cell r="U70">
            <v>39079.353136574071</v>
          </cell>
        </row>
        <row r="71">
          <cell r="A71">
            <v>991</v>
          </cell>
          <cell r="B71" t="str">
            <v>R991</v>
          </cell>
          <cell r="C71" t="str">
            <v>NonCoinPeak_ADJ</v>
          </cell>
          <cell r="D71" t="str">
            <v>Peaky</v>
          </cell>
          <cell r="E71" t="str">
            <v>Sum of Each Customer's Individual Peak Demand</v>
          </cell>
          <cell r="F71">
            <v>24604.983539447923</v>
          </cell>
          <cell r="G71">
            <v>18619.292003551422</v>
          </cell>
          <cell r="H71">
            <v>18091.675733591092</v>
          </cell>
          <cell r="I71">
            <v>18856.210024879252</v>
          </cell>
          <cell r="J71">
            <v>18461.460872140156</v>
          </cell>
          <cell r="K71">
            <v>18532.376116359497</v>
          </cell>
          <cell r="L71">
            <v>18193.504614598314</v>
          </cell>
          <cell r="M71">
            <v>18832.951465334419</v>
          </cell>
          <cell r="N71">
            <v>20067.534495888071</v>
          </cell>
          <cell r="O71">
            <v>22349.007096454236</v>
          </cell>
          <cell r="P71">
            <v>24604.983539447923</v>
          </cell>
          <cell r="Q71">
            <v>21571.641660095749</v>
          </cell>
          <cell r="R71">
            <v>21438.216441278288</v>
          </cell>
          <cell r="S71" t="str">
            <v>kW</v>
          </cell>
          <cell r="T71" t="str">
            <v>M8600</v>
          </cell>
          <cell r="U71">
            <v>39079.353136574071</v>
          </cell>
        </row>
        <row r="72">
          <cell r="A72">
            <v>991</v>
          </cell>
          <cell r="B72" t="str">
            <v>R991</v>
          </cell>
          <cell r="C72" t="str">
            <v>NonCoinPeak_ADJ</v>
          </cell>
          <cell r="D72" t="str">
            <v>ErrBndforPeaky</v>
          </cell>
          <cell r="E72" t="str">
            <v>Error Bound for Total Demand</v>
          </cell>
          <cell r="F72">
            <v>3.5801219053250772E-12</v>
          </cell>
          <cell r="G72">
            <v>4.5048070058721414E-12</v>
          </cell>
          <cell r="H72">
            <v>3.0921685432288131E-12</v>
          </cell>
          <cell r="I72">
            <v>2.8522356745737438E-12</v>
          </cell>
          <cell r="J72">
            <v>2.127045318751119E-12</v>
          </cell>
          <cell r="K72">
            <v>3.3887147853867635E-12</v>
          </cell>
          <cell r="L72">
            <v>2.6796996791363912E-12</v>
          </cell>
          <cell r="M72">
            <v>2.0704319452482376E-12</v>
          </cell>
          <cell r="N72">
            <v>3.1460860418029856E-12</v>
          </cell>
          <cell r="O72">
            <v>5.6909919745039446E-12</v>
          </cell>
          <cell r="P72">
            <v>3.5801219053250772E-12</v>
          </cell>
          <cell r="Q72">
            <v>4.9684974936100284E-12</v>
          </cell>
          <cell r="R72">
            <v>6.2005123360298782E-14</v>
          </cell>
          <cell r="S72" t="str">
            <v>kW</v>
          </cell>
          <cell r="T72" t="str">
            <v>M8600</v>
          </cell>
          <cell r="U72">
            <v>39079.353136574071</v>
          </cell>
        </row>
        <row r="73">
          <cell r="A73">
            <v>991</v>
          </cell>
          <cell r="B73" t="str">
            <v>R991</v>
          </cell>
          <cell r="C73" t="str">
            <v>NonCoinPeak_ADJ</v>
          </cell>
          <cell r="D73" t="str">
            <v>TotalxperSite</v>
          </cell>
          <cell r="E73" t="str">
            <v>Energy Use per Account</v>
          </cell>
          <cell r="F73">
            <v>153115281.74003071</v>
          </cell>
          <cell r="G73">
            <v>12545745.004299102</v>
          </cell>
          <cell r="H73">
            <v>11892086.008524956</v>
          </cell>
          <cell r="I73">
            <v>12551910.269065348</v>
          </cell>
          <cell r="J73">
            <v>12547210.15061702</v>
          </cell>
          <cell r="K73">
            <v>11234263.085919837</v>
          </cell>
          <cell r="L73">
            <v>12346924.553129328</v>
          </cell>
          <cell r="M73">
            <v>12065748.577041971</v>
          </cell>
          <cell r="N73">
            <v>12835801.86012632</v>
          </cell>
          <cell r="O73">
            <v>13021893.507662972</v>
          </cell>
          <cell r="P73">
            <v>14508360.795146713</v>
          </cell>
          <cell r="Q73">
            <v>14336712.161630616</v>
          </cell>
          <cell r="R73">
            <v>13228625.766866531</v>
          </cell>
          <cell r="S73" t="str">
            <v>kWh</v>
          </cell>
          <cell r="T73" t="str">
            <v>M8600</v>
          </cell>
          <cell r="U73">
            <v>39079.353136574071</v>
          </cell>
        </row>
        <row r="74">
          <cell r="A74">
            <v>991</v>
          </cell>
          <cell r="B74" t="str">
            <v>R991</v>
          </cell>
          <cell r="C74" t="str">
            <v>NonCoinPeak_ADJ</v>
          </cell>
          <cell r="D74" t="str">
            <v>PeakyperSite</v>
          </cell>
          <cell r="E74" t="str">
            <v>Average Customer Peak Demand per Account</v>
          </cell>
          <cell r="F74">
            <v>24604.983539447923</v>
          </cell>
          <cell r="G74">
            <v>18619.292003551422</v>
          </cell>
          <cell r="H74">
            <v>18091.675733591092</v>
          </cell>
          <cell r="I74">
            <v>18856.210024879252</v>
          </cell>
          <cell r="J74">
            <v>18461.460872140156</v>
          </cell>
          <cell r="K74">
            <v>18532.376116359497</v>
          </cell>
          <cell r="L74">
            <v>18193.504614598314</v>
          </cell>
          <cell r="M74">
            <v>18832.951465334419</v>
          </cell>
          <cell r="N74">
            <v>20067.534495888071</v>
          </cell>
          <cell r="O74">
            <v>22349.007096454236</v>
          </cell>
          <cell r="P74">
            <v>24604.983539447923</v>
          </cell>
          <cell r="Q74">
            <v>21571.641660095749</v>
          </cell>
          <cell r="R74">
            <v>21438.216441278288</v>
          </cell>
          <cell r="S74" t="str">
            <v>kW</v>
          </cell>
          <cell r="T74" t="str">
            <v>M8600</v>
          </cell>
          <cell r="U74">
            <v>39079.353136574071</v>
          </cell>
        </row>
        <row r="75">
          <cell r="A75">
            <v>991</v>
          </cell>
          <cell r="B75" t="str">
            <v>R991</v>
          </cell>
          <cell r="C75" t="str">
            <v>NonCoinPeak_ADJ</v>
          </cell>
          <cell r="D75" t="str">
            <v>ErrBndperSite</v>
          </cell>
          <cell r="E75" t="str">
            <v>Error Bound for Demand per Account</v>
          </cell>
          <cell r="F75">
            <v>3.5801219053250772E-12</v>
          </cell>
          <cell r="G75">
            <v>4.5048070058721414E-12</v>
          </cell>
          <cell r="H75">
            <v>3.0921685432288131E-12</v>
          </cell>
          <cell r="I75">
            <v>2.8522356745737438E-12</v>
          </cell>
          <cell r="J75">
            <v>2.127045318751119E-12</v>
          </cell>
          <cell r="K75">
            <v>3.3887147853867635E-12</v>
          </cell>
          <cell r="L75">
            <v>2.6796996791363912E-12</v>
          </cell>
          <cell r="M75">
            <v>2.0704319452482376E-12</v>
          </cell>
          <cell r="N75">
            <v>3.1460860418029856E-12</v>
          </cell>
          <cell r="O75">
            <v>5.6909919745039446E-12</v>
          </cell>
          <cell r="P75">
            <v>3.5801219053250772E-12</v>
          </cell>
          <cell r="Q75">
            <v>4.9684974936100284E-12</v>
          </cell>
          <cell r="R75">
            <v>6.2005123360298782E-14</v>
          </cell>
          <cell r="S75" t="str">
            <v>kW</v>
          </cell>
          <cell r="T75" t="str">
            <v>M8600</v>
          </cell>
          <cell r="U75">
            <v>39079.353136574071</v>
          </cell>
        </row>
        <row r="76">
          <cell r="A76">
            <v>991</v>
          </cell>
          <cell r="B76" t="str">
            <v>R991</v>
          </cell>
          <cell r="C76" t="str">
            <v>NonCoinPeak_ADJ</v>
          </cell>
          <cell r="D76" t="str">
            <v>RelPrec</v>
          </cell>
          <cell r="E76" t="str">
            <v>Relative Precision of Demand per Account</v>
          </cell>
          <cell r="F76">
            <v>1.4550393417598711E-16</v>
          </cell>
          <cell r="G76">
            <v>2.4194298070049601E-16</v>
          </cell>
          <cell r="H76">
            <v>1.7091664634954385E-16</v>
          </cell>
          <cell r="I76">
            <v>1.5126240484224816E-16</v>
          </cell>
          <cell r="J76">
            <v>1.1521543898841739E-16</v>
          </cell>
          <cell r="K76">
            <v>1.8285376705663598E-16</v>
          </cell>
          <cell r="L76">
            <v>1.4728881190852162E-16</v>
          </cell>
          <cell r="M76">
            <v>1.0993666866604823E-16</v>
          </cell>
          <cell r="N76">
            <v>1.5677491634299335E-16</v>
          </cell>
          <cell r="O76">
            <v>2.5464182591838028E-16</v>
          </cell>
          <cell r="P76">
            <v>1.4550393417598711E-16</v>
          </cell>
          <cell r="Q76">
            <v>2.3032542315965651E-16</v>
          </cell>
          <cell r="R76">
            <v>2.8922706107636267E-18</v>
          </cell>
          <cell r="S76" t="str">
            <v>None</v>
          </cell>
          <cell r="T76" t="str">
            <v>M8600</v>
          </cell>
          <cell r="U76">
            <v>39079.353136574071</v>
          </cell>
        </row>
        <row r="77">
          <cell r="A77">
            <v>991</v>
          </cell>
          <cell r="B77" t="str">
            <v>R991</v>
          </cell>
          <cell r="C77" t="str">
            <v>NonCoinPeak_ADJ</v>
          </cell>
          <cell r="D77" t="str">
            <v>Days</v>
          </cell>
          <cell r="E77" t="str">
            <v>Number of Days</v>
          </cell>
          <cell r="F77">
            <v>365</v>
          </cell>
          <cell r="G77">
            <v>31</v>
          </cell>
          <cell r="H77">
            <v>30</v>
          </cell>
          <cell r="I77">
            <v>31</v>
          </cell>
          <cell r="J77">
            <v>31</v>
          </cell>
          <cell r="K77">
            <v>28</v>
          </cell>
          <cell r="L77">
            <v>31</v>
          </cell>
          <cell r="M77">
            <v>30</v>
          </cell>
          <cell r="N77">
            <v>31</v>
          </cell>
          <cell r="O77">
            <v>30</v>
          </cell>
          <cell r="P77">
            <v>31</v>
          </cell>
          <cell r="Q77">
            <v>31</v>
          </cell>
          <cell r="R77">
            <v>30</v>
          </cell>
          <cell r="S77" t="str">
            <v>Days</v>
          </cell>
          <cell r="T77" t="str">
            <v>M8600</v>
          </cell>
          <cell r="U77">
            <v>39079.353136574071</v>
          </cell>
        </row>
        <row r="78">
          <cell r="A78">
            <v>991</v>
          </cell>
          <cell r="B78" t="str">
            <v>R991</v>
          </cell>
          <cell r="C78" t="str">
            <v>NonCoinPeak_ADJ</v>
          </cell>
          <cell r="D78" t="str">
            <v>Load_Factor</v>
          </cell>
          <cell r="E78" t="str">
            <v>Load Factor based on Peak Customer Demand</v>
          </cell>
          <cell r="F78">
            <v>0.7103810255601154</v>
          </cell>
          <cell r="G78">
            <v>0.90564992946203249</v>
          </cell>
          <cell r="H78">
            <v>0.91294948937672804</v>
          </cell>
          <cell r="I78">
            <v>0.89471039586326184</v>
          </cell>
          <cell r="J78">
            <v>0.9134992018851904</v>
          </cell>
          <cell r="K78">
            <v>0.90207824925962288</v>
          </cell>
          <cell r="L78">
            <v>0.91215678628111563</v>
          </cell>
          <cell r="M78">
            <v>0.88982250953212128</v>
          </cell>
          <cell r="N78">
            <v>0.85971806145610941</v>
          </cell>
          <cell r="O78">
            <v>0.80925130709528814</v>
          </cell>
          <cell r="P78">
            <v>0.79254208434844853</v>
          </cell>
          <cell r="Q78">
            <v>0.89329197630980428</v>
          </cell>
          <cell r="R78">
            <v>0.85702518179141296</v>
          </cell>
          <cell r="S78" t="str">
            <v>None</v>
          </cell>
          <cell r="T78" t="str">
            <v>M8600</v>
          </cell>
          <cell r="U78">
            <v>39079.353136574071</v>
          </cell>
        </row>
        <row r="79">
          <cell r="A79">
            <v>991</v>
          </cell>
          <cell r="B79" t="str">
            <v>R991</v>
          </cell>
          <cell r="C79" t="str">
            <v>NonCoinPeak_ADJ</v>
          </cell>
          <cell r="D79" t="str">
            <v>Error_Ratio</v>
          </cell>
          <cell r="E79" t="str">
            <v>Error Ratio</v>
          </cell>
          <cell r="F79">
            <v>9.9549711261695899E-17</v>
          </cell>
          <cell r="G79">
            <v>1.6553060236431261E-16</v>
          </cell>
          <cell r="H79">
            <v>1.1693637625863218E-16</v>
          </cell>
          <cell r="I79">
            <v>1.0348949540142836E-16</v>
          </cell>
          <cell r="J79">
            <v>7.8827172262668344E-17</v>
          </cell>
          <cell r="K79">
            <v>1.2510341948269879E-16</v>
          </cell>
          <cell r="L79">
            <v>1.0077087455131754E-16</v>
          </cell>
          <cell r="M79">
            <v>7.5215585645545893E-17</v>
          </cell>
          <cell r="N79">
            <v>1.0726100117777547E-16</v>
          </cell>
          <cell r="O79">
            <v>1.7421879613691767E-16</v>
          </cell>
          <cell r="P79">
            <v>9.9549711261695899E-17</v>
          </cell>
          <cell r="Q79">
            <v>1.5758219529679034E-16</v>
          </cell>
          <cell r="R79">
            <v>1.9788104412624521E-18</v>
          </cell>
          <cell r="S79" t="str">
            <v>None</v>
          </cell>
          <cell r="T79" t="str">
            <v>M8600</v>
          </cell>
          <cell r="U79">
            <v>39079.353136574071</v>
          </cell>
        </row>
        <row r="80">
          <cell r="A80">
            <v>991</v>
          </cell>
          <cell r="B80" t="str">
            <v>R991</v>
          </cell>
          <cell r="C80" t="str">
            <v>CCSP_MonthlyPeaks_ADJ</v>
          </cell>
          <cell r="D80" t="str">
            <v>Totalx</v>
          </cell>
          <cell r="E80" t="str">
            <v>Total Energy Use</v>
          </cell>
          <cell r="F80">
            <v>153115281.74003071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 t="str">
            <v>kWh</v>
          </cell>
          <cell r="T80" t="str">
            <v>M8700</v>
          </cell>
          <cell r="U80">
            <v>39079.353159722225</v>
          </cell>
        </row>
        <row r="81">
          <cell r="A81">
            <v>991</v>
          </cell>
          <cell r="B81" t="str">
            <v>R991</v>
          </cell>
          <cell r="C81" t="str">
            <v>CCSP_MonthlyPeaks_ADJ</v>
          </cell>
          <cell r="D81" t="str">
            <v>Peaky</v>
          </cell>
          <cell r="E81" t="str">
            <v>Total of Average Demand per Hour during Monthly Peak Hours</v>
          </cell>
          <cell r="F81">
            <v>18464.687634265505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kW</v>
          </cell>
          <cell r="T81" t="str">
            <v>M8700</v>
          </cell>
          <cell r="U81">
            <v>39079.353159722225</v>
          </cell>
        </row>
        <row r="82">
          <cell r="A82">
            <v>991</v>
          </cell>
          <cell r="B82" t="str">
            <v>R991</v>
          </cell>
          <cell r="C82" t="str">
            <v>CCSP_MonthlyPeaks_ADJ</v>
          </cell>
          <cell r="D82" t="str">
            <v>ErrBndforPeaky</v>
          </cell>
          <cell r="E82" t="str">
            <v>Error Bound for Total of Average Demand per Hour</v>
          </cell>
          <cell r="F82">
            <v>2.563615048724222E-12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kW</v>
          </cell>
          <cell r="T82" t="str">
            <v>M8700</v>
          </cell>
          <cell r="U82">
            <v>39079.353159722225</v>
          </cell>
        </row>
        <row r="83">
          <cell r="A83">
            <v>991</v>
          </cell>
          <cell r="B83" t="str">
            <v>R991</v>
          </cell>
          <cell r="C83" t="str">
            <v>CCSP_MonthlyPeaks_ADJ</v>
          </cell>
          <cell r="D83" t="str">
            <v>TotalxperSite</v>
          </cell>
          <cell r="E83" t="str">
            <v>Energy Use per Account</v>
          </cell>
          <cell r="F83">
            <v>153115281.74003071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kWh</v>
          </cell>
          <cell r="T83" t="str">
            <v>M8700</v>
          </cell>
          <cell r="U83">
            <v>39079.353159722225</v>
          </cell>
        </row>
        <row r="84">
          <cell r="A84">
            <v>991</v>
          </cell>
          <cell r="B84" t="str">
            <v>R991</v>
          </cell>
          <cell r="C84" t="str">
            <v>CCSP_MonthlyPeaks_ADJ</v>
          </cell>
          <cell r="D84" t="str">
            <v>PeakyperSite</v>
          </cell>
          <cell r="E84" t="str">
            <v>Average Demand per Account per Hour during Monthly Peak Hour</v>
          </cell>
          <cell r="F84">
            <v>18464.687634265505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kW</v>
          </cell>
          <cell r="T84" t="str">
            <v>M8700</v>
          </cell>
          <cell r="U84">
            <v>39079.353159722225</v>
          </cell>
        </row>
        <row r="85">
          <cell r="A85">
            <v>991</v>
          </cell>
          <cell r="B85" t="str">
            <v>R991</v>
          </cell>
          <cell r="C85" t="str">
            <v>CCSP_MonthlyPeaks_ADJ</v>
          </cell>
          <cell r="D85" t="str">
            <v>ErrBndperSite</v>
          </cell>
          <cell r="E85" t="str">
            <v>Error Bound for Average Demand per Account</v>
          </cell>
          <cell r="F85">
            <v>2.563615048724222E-12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kW</v>
          </cell>
          <cell r="T85" t="str">
            <v>M8700</v>
          </cell>
          <cell r="U85">
            <v>39079.353159722225</v>
          </cell>
        </row>
        <row r="86">
          <cell r="A86">
            <v>991</v>
          </cell>
          <cell r="B86" t="str">
            <v>R991</v>
          </cell>
          <cell r="C86" t="str">
            <v>CCSP_MonthlyPeaks_ADJ</v>
          </cell>
          <cell r="D86" t="str">
            <v>RelPrec</v>
          </cell>
          <cell r="E86" t="str">
            <v>Relative Precision of Demand per Hour during Monthly Peak Ho</v>
          </cell>
          <cell r="F86">
            <v>1.3883879865732689E-16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None</v>
          </cell>
          <cell r="T86" t="str">
            <v>M8700</v>
          </cell>
          <cell r="U86">
            <v>39079.353159722225</v>
          </cell>
        </row>
        <row r="87">
          <cell r="A87">
            <v>991</v>
          </cell>
          <cell r="B87" t="str">
            <v>R991</v>
          </cell>
          <cell r="C87" t="str">
            <v>CCSP_MonthlyPeaks_ADJ</v>
          </cell>
          <cell r="D87" t="str">
            <v>Days</v>
          </cell>
          <cell r="E87" t="str">
            <v>Number of Days</v>
          </cell>
          <cell r="F87">
            <v>365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Days</v>
          </cell>
          <cell r="T87" t="str">
            <v>M8700</v>
          </cell>
          <cell r="U87">
            <v>39079.353159722225</v>
          </cell>
        </row>
        <row r="88">
          <cell r="A88">
            <v>991</v>
          </cell>
          <cell r="B88" t="str">
            <v>R991</v>
          </cell>
          <cell r="C88" t="str">
            <v>CCSP_MonthlyPeaks_ADJ</v>
          </cell>
          <cell r="D88" t="str">
            <v>Load_Factor</v>
          </cell>
          <cell r="E88" t="str">
            <v>Load Factor based on Demand during Monthly Peak Hours</v>
          </cell>
          <cell r="F88">
            <v>0.94661300460921971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None</v>
          </cell>
          <cell r="T88" t="str">
            <v>M8700</v>
          </cell>
          <cell r="U88">
            <v>39079.353159722225</v>
          </cell>
        </row>
        <row r="89">
          <cell r="A89">
            <v>991</v>
          </cell>
          <cell r="B89" t="str">
            <v>R991</v>
          </cell>
          <cell r="C89" t="str">
            <v>CCSP_MonthlyPeaks_ADJ</v>
          </cell>
          <cell r="D89" t="str">
            <v>Error_Ratio</v>
          </cell>
          <cell r="E89" t="str">
            <v>Error Ratio</v>
          </cell>
          <cell r="F89">
            <v>9.4989612456393605E-17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None</v>
          </cell>
          <cell r="T89" t="str">
            <v>M8700</v>
          </cell>
          <cell r="U89">
            <v>39079.353159722225</v>
          </cell>
        </row>
        <row r="90">
          <cell r="A90">
            <v>991</v>
          </cell>
          <cell r="B90" t="str">
            <v>R991</v>
          </cell>
          <cell r="C90" t="str">
            <v>PkHrs_Annualpeaks_ADJ</v>
          </cell>
          <cell r="D90" t="str">
            <v>Totalx</v>
          </cell>
          <cell r="E90" t="str">
            <v>Total Energy Use</v>
          </cell>
          <cell r="F90">
            <v>153115281.74003071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kWh</v>
          </cell>
          <cell r="T90" t="str">
            <v>M8800</v>
          </cell>
          <cell r="U90">
            <v>39079.353194444448</v>
          </cell>
        </row>
        <row r="91">
          <cell r="A91">
            <v>991</v>
          </cell>
          <cell r="B91" t="str">
            <v>R991</v>
          </cell>
          <cell r="C91" t="str">
            <v>PkHrs_Annualpeaks_ADJ</v>
          </cell>
          <cell r="D91" t="str">
            <v>Peaky</v>
          </cell>
          <cell r="E91" t="str">
            <v>Total of Average Demand per Hour during System Peak Hours</v>
          </cell>
          <cell r="F91">
            <v>17196.966929560305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kW</v>
          </cell>
          <cell r="T91" t="str">
            <v>M8800</v>
          </cell>
          <cell r="U91">
            <v>39079.353194444448</v>
          </cell>
        </row>
        <row r="92">
          <cell r="A92">
            <v>991</v>
          </cell>
          <cell r="B92" t="str">
            <v>R991</v>
          </cell>
          <cell r="C92" t="str">
            <v>PkHrs_Annualpeaks_ADJ</v>
          </cell>
          <cell r="D92" t="str">
            <v>ErrBndforPeaky</v>
          </cell>
          <cell r="E92" t="str">
            <v>Error Bound for Total of Average Demand per Hour</v>
          </cell>
          <cell r="F92">
            <v>1.8069260204562268E-11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kW</v>
          </cell>
          <cell r="T92" t="str">
            <v>M8800</v>
          </cell>
          <cell r="U92">
            <v>39079.353194444448</v>
          </cell>
        </row>
        <row r="93">
          <cell r="A93">
            <v>991</v>
          </cell>
          <cell r="B93" t="str">
            <v>R991</v>
          </cell>
          <cell r="C93" t="str">
            <v>PkHrs_Annualpeaks_ADJ</v>
          </cell>
          <cell r="D93" t="str">
            <v>TotalxperSite</v>
          </cell>
          <cell r="E93" t="str">
            <v>Energy Use per Account</v>
          </cell>
          <cell r="F93">
            <v>153115281.74003071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kWh</v>
          </cell>
          <cell r="T93" t="str">
            <v>M8800</v>
          </cell>
          <cell r="U93">
            <v>39079.353194444448</v>
          </cell>
        </row>
        <row r="94">
          <cell r="A94">
            <v>991</v>
          </cell>
          <cell r="B94" t="str">
            <v>R991</v>
          </cell>
          <cell r="C94" t="str">
            <v>PkHrs_Annualpeaks_ADJ</v>
          </cell>
          <cell r="D94" t="str">
            <v>PeakyperSite</v>
          </cell>
          <cell r="E94" t="str">
            <v>Average Demand per Account per Hour during System Peak Hours</v>
          </cell>
          <cell r="F94">
            <v>17196.966929560305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kW</v>
          </cell>
          <cell r="T94" t="str">
            <v>M8800</v>
          </cell>
          <cell r="U94">
            <v>39079.353194444448</v>
          </cell>
        </row>
        <row r="95">
          <cell r="A95">
            <v>991</v>
          </cell>
          <cell r="B95" t="str">
            <v>R991</v>
          </cell>
          <cell r="C95" t="str">
            <v>PkHrs_Annualpeaks_ADJ</v>
          </cell>
          <cell r="D95" t="str">
            <v>ErrBndperSite</v>
          </cell>
          <cell r="E95" t="str">
            <v>Error Bound for Average Demand per Account</v>
          </cell>
          <cell r="F95">
            <v>1.8069260204562268E-11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kW</v>
          </cell>
          <cell r="T95" t="str">
            <v>M8800</v>
          </cell>
          <cell r="U95">
            <v>39079.353194444448</v>
          </cell>
        </row>
        <row r="96">
          <cell r="A96">
            <v>991</v>
          </cell>
          <cell r="B96" t="str">
            <v>R991</v>
          </cell>
          <cell r="C96" t="str">
            <v>PkHrs_Annualpeaks_ADJ</v>
          </cell>
          <cell r="D96" t="str">
            <v>RelPrec</v>
          </cell>
          <cell r="E96" t="str">
            <v>Relative Precision of Demand per Hour during System Peak Hou</v>
          </cell>
          <cell r="F96">
            <v>1.0507236699689498E-15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None</v>
          </cell>
          <cell r="T96" t="str">
            <v>M8800</v>
          </cell>
          <cell r="U96">
            <v>39079.353194444448</v>
          </cell>
        </row>
        <row r="97">
          <cell r="A97">
            <v>991</v>
          </cell>
          <cell r="B97" t="str">
            <v>R991</v>
          </cell>
          <cell r="C97" t="str">
            <v>PkHrs_Annualpeaks_ADJ</v>
          </cell>
          <cell r="D97" t="str">
            <v>Days</v>
          </cell>
          <cell r="E97" t="str">
            <v>Number of Days</v>
          </cell>
          <cell r="F97">
            <v>365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Days</v>
          </cell>
          <cell r="T97" t="str">
            <v>M8800</v>
          </cell>
          <cell r="U97">
            <v>39079.353194444448</v>
          </cell>
        </row>
        <row r="98">
          <cell r="A98">
            <v>991</v>
          </cell>
          <cell r="B98" t="str">
            <v>R991</v>
          </cell>
          <cell r="C98" t="str">
            <v>PkHrs_Annualpeaks_ADJ</v>
          </cell>
          <cell r="D98" t="str">
            <v>Load_Factor</v>
          </cell>
          <cell r="E98" t="str">
            <v>Load Factor based on Demand during System Peak Hours</v>
          </cell>
          <cell r="F98">
            <v>1.0163951301550638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None</v>
          </cell>
          <cell r="T98" t="str">
            <v>M8800</v>
          </cell>
          <cell r="U98">
            <v>39079.353194444448</v>
          </cell>
        </row>
        <row r="99">
          <cell r="A99">
            <v>991</v>
          </cell>
          <cell r="B99" t="str">
            <v>R991</v>
          </cell>
          <cell r="C99" t="str">
            <v>PkHrs_Annualpeaks_ADJ</v>
          </cell>
          <cell r="D99" t="str">
            <v>Error_Ratio</v>
          </cell>
          <cell r="E99" t="str">
            <v>Error Ratio</v>
          </cell>
          <cell r="F99">
            <v>7.188756685762562E-16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None</v>
          </cell>
          <cell r="T99" t="str">
            <v>M8800</v>
          </cell>
          <cell r="U99">
            <v>39079.353194444448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  <row r="35">
          <cell r="F35">
            <v>0</v>
          </cell>
        </row>
        <row r="36">
          <cell r="F36">
            <v>0</v>
          </cell>
        </row>
      </sheetData>
      <sheetData sheetId="2" refreshError="1">
        <row r="4">
          <cell r="A4" t="str">
            <v>DEM</v>
          </cell>
          <cell r="B4" t="str">
            <v>Demand</v>
          </cell>
          <cell r="C4">
            <v>1</v>
          </cell>
          <cell r="D4">
            <v>1</v>
          </cell>
        </row>
        <row r="5">
          <cell r="A5" t="str">
            <v>NRG</v>
          </cell>
          <cell r="B5" t="str">
            <v>Energy</v>
          </cell>
          <cell r="C5">
            <v>1</v>
          </cell>
          <cell r="E5">
            <v>1</v>
          </cell>
        </row>
        <row r="6">
          <cell r="A6" t="str">
            <v>CUS</v>
          </cell>
          <cell r="B6" t="str">
            <v>Customer</v>
          </cell>
          <cell r="C6">
            <v>1</v>
          </cell>
          <cell r="F6">
            <v>1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8">
          <cell r="A8" t="str">
            <v>OH</v>
          </cell>
          <cell r="B8" t="str">
            <v>Pri / Sec Voltage</v>
          </cell>
          <cell r="C8">
            <v>1</v>
          </cell>
          <cell r="G8">
            <v>0.92</v>
          </cell>
          <cell r="H8">
            <v>0.08</v>
          </cell>
        </row>
        <row r="9">
          <cell r="A9" t="str">
            <v>UG</v>
          </cell>
          <cell r="B9" t="str">
            <v>Pri / Sec Voltage</v>
          </cell>
          <cell r="C9">
            <v>1</v>
          </cell>
          <cell r="G9">
            <v>0.8</v>
          </cell>
          <cell r="H9">
            <v>0.2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1">
          <cell r="A11" t="str">
            <v>TFR</v>
          </cell>
          <cell r="B11" t="str">
            <v>Transformers</v>
          </cell>
          <cell r="C11">
            <v>1</v>
          </cell>
          <cell r="D11">
            <v>0</v>
          </cell>
          <cell r="F11">
            <v>1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  <cell r="B4" t="str">
            <v>Annual kWhs</v>
          </cell>
          <cell r="C4" t="str">
            <v>NRG</v>
          </cell>
          <cell r="E4">
            <v>0.46156404591758265</v>
          </cell>
          <cell r="F4">
            <v>0.11184030612701876</v>
          </cell>
          <cell r="G4">
            <v>0.1330117764232478</v>
          </cell>
          <cell r="H4">
            <v>8.5947576971571321E-2</v>
          </cell>
          <cell r="I4">
            <v>6.0326706292810998E-2</v>
          </cell>
          <cell r="J4">
            <v>2.4623579678621587E-4</v>
          </cell>
          <cell r="K4">
            <v>7.45924169993033E-3</v>
          </cell>
          <cell r="L4">
            <v>2.2066893850063527E-2</v>
          </cell>
          <cell r="M4">
            <v>2.0268871035032752E-2</v>
          </cell>
          <cell r="N4">
            <v>5.0185465531079488E-3</v>
          </cell>
          <cell r="O4">
            <v>8.1937900590374924E-2</v>
          </cell>
          <cell r="P4">
            <v>3.7871758568948769E-3</v>
          </cell>
          <cell r="Q4">
            <v>6.20252109705236E-3</v>
          </cell>
          <cell r="R4">
            <v>3.2220178852558027E-4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/>
          </cell>
          <cell r="B5" t="str">
            <v>Historical Test Year Twelve Months ended September 2005</v>
          </cell>
          <cell r="D5">
            <v>23994289527</v>
          </cell>
          <cell r="E5">
            <v>11074901353</v>
          </cell>
          <cell r="F5">
            <v>2683528686</v>
          </cell>
          <cell r="G5">
            <v>3191523074</v>
          </cell>
          <cell r="H5">
            <v>2062251046</v>
          </cell>
          <cell r="I5">
            <v>1447496457</v>
          </cell>
          <cell r="J5">
            <v>5908253</v>
          </cell>
          <cell r="K5">
            <v>178979205</v>
          </cell>
          <cell r="L5">
            <v>529479440</v>
          </cell>
          <cell r="M5">
            <v>486337160</v>
          </cell>
          <cell r="N5">
            <v>120416459</v>
          </cell>
          <cell r="O5">
            <v>1966041710</v>
          </cell>
          <cell r="P5">
            <v>90870594</v>
          </cell>
          <cell r="Q5">
            <v>148825087</v>
          </cell>
          <cell r="R5">
            <v>7731003</v>
          </cell>
        </row>
        <row r="6">
          <cell r="A6" t="str">
            <v/>
          </cell>
        </row>
        <row r="7">
          <cell r="A7" t="str">
            <v>DEM_1</v>
          </cell>
          <cell r="B7" t="str">
            <v>Annual Kw</v>
          </cell>
          <cell r="C7" t="str">
            <v>DEM</v>
          </cell>
          <cell r="E7">
            <v>0.5484110078399288</v>
          </cell>
          <cell r="F7">
            <v>0.11094322378070802</v>
          </cell>
          <cell r="G7">
            <v>0.11823231839299886</v>
          </cell>
          <cell r="H7">
            <v>6.5240934698380174E-2</v>
          </cell>
          <cell r="I7">
            <v>4.642068306393559E-2</v>
          </cell>
          <cell r="J7">
            <v>7.3706632859891057E-7</v>
          </cell>
          <cell r="K7">
            <v>1.0441772988484567E-2</v>
          </cell>
          <cell r="L7">
            <v>1.5727521319643556E-2</v>
          </cell>
          <cell r="M7">
            <v>1.5063915935128335E-2</v>
          </cell>
          <cell r="N7">
            <v>3.4251472289991377E-3</v>
          </cell>
          <cell r="O7">
            <v>5.8168046209145029E-2</v>
          </cell>
          <cell r="P7">
            <v>3.4020524840363718E-3</v>
          </cell>
          <cell r="Q7">
            <v>4.1494377412356672E-3</v>
          </cell>
          <cell r="R7">
            <v>3.732012510472484E-4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 t="str">
            <v/>
          </cell>
          <cell r="B8" t="str">
            <v>Historical Test Year Twelve Months ended September 2005</v>
          </cell>
          <cell r="D8">
            <v>4070190</v>
          </cell>
          <cell r="E8">
            <v>2232137</v>
          </cell>
          <cell r="F8">
            <v>451560</v>
          </cell>
          <cell r="G8">
            <v>481228</v>
          </cell>
          <cell r="H8">
            <v>265543</v>
          </cell>
          <cell r="I8">
            <v>188941</v>
          </cell>
          <cell r="J8">
            <v>3</v>
          </cell>
          <cell r="K8">
            <v>42500</v>
          </cell>
          <cell r="L8">
            <v>64014</v>
          </cell>
          <cell r="M8">
            <v>61313</v>
          </cell>
          <cell r="N8">
            <v>13941</v>
          </cell>
          <cell r="O8">
            <v>236755</v>
          </cell>
          <cell r="P8">
            <v>13847</v>
          </cell>
          <cell r="Q8">
            <v>16889</v>
          </cell>
          <cell r="R8">
            <v>1519</v>
          </cell>
        </row>
        <row r="9">
          <cell r="A9" t="str">
            <v/>
          </cell>
        </row>
        <row r="10">
          <cell r="A10" t="str">
            <v>DIR450.01</v>
          </cell>
          <cell r="B10" t="str">
            <v>Late Payment Interest Rev</v>
          </cell>
          <cell r="C10" t="str">
            <v>CUS</v>
          </cell>
          <cell r="E10">
            <v>0.77637157085197672</v>
          </cell>
          <cell r="F10">
            <v>0.12330309745460201</v>
          </cell>
          <cell r="G10">
            <v>6.2249506966091987E-2</v>
          </cell>
          <cell r="H10">
            <v>1.4418149302683942E-2</v>
          </cell>
          <cell r="I10">
            <v>1.377004827844576E-2</v>
          </cell>
          <cell r="J10">
            <v>0</v>
          </cell>
          <cell r="K10">
            <v>7.2938976892790745E-4</v>
          </cell>
          <cell r="L10">
            <v>1.0611715475256412E-3</v>
          </cell>
          <cell r="M10">
            <v>2.4616352467996976E-3</v>
          </cell>
          <cell r="N10">
            <v>0</v>
          </cell>
          <cell r="O10">
            <v>4.0304196619801941E-3</v>
          </cell>
          <cell r="P10">
            <v>1.6050109209661343E-3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 t="str">
            <v/>
          </cell>
          <cell r="B11" t="str">
            <v>Historical Test Year Twelve Months ended September 2005</v>
          </cell>
          <cell r="D11">
            <v>2263536</v>
          </cell>
          <cell r="E11">
            <v>1757345</v>
          </cell>
          <cell r="F11">
            <v>279101</v>
          </cell>
          <cell r="G11">
            <v>140904</v>
          </cell>
          <cell r="H11">
            <v>32636</v>
          </cell>
          <cell r="I11">
            <v>31169</v>
          </cell>
          <cell r="J11">
            <v>0</v>
          </cell>
          <cell r="K11">
            <v>1651</v>
          </cell>
          <cell r="L11">
            <v>2402</v>
          </cell>
          <cell r="M11">
            <v>5572</v>
          </cell>
          <cell r="N11">
            <v>0</v>
          </cell>
          <cell r="O11">
            <v>9123</v>
          </cell>
          <cell r="P11">
            <v>3633</v>
          </cell>
          <cell r="Q11">
            <v>0</v>
          </cell>
          <cell r="R11">
            <v>0</v>
          </cell>
        </row>
        <row r="12">
          <cell r="A12" t="str">
            <v/>
          </cell>
        </row>
        <row r="13">
          <cell r="A13" t="str">
            <v>NCP_360</v>
          </cell>
          <cell r="B13" t="str">
            <v>Allocate Substation Land - 12 NCP</v>
          </cell>
          <cell r="C13" t="str">
            <v>DEM</v>
          </cell>
          <cell r="E13">
            <v>0.38233768229206183</v>
          </cell>
          <cell r="F13">
            <v>0.12994735154862891</v>
          </cell>
          <cell r="G13">
            <v>0.19344954689388996</v>
          </cell>
          <cell r="H13">
            <v>0.14995490120946325</v>
          </cell>
          <cell r="I13">
            <v>8.557293958753813E-2</v>
          </cell>
          <cell r="J13">
            <v>6.8288389456272672E-5</v>
          </cell>
          <cell r="K13">
            <v>7.5340904492364347E-3</v>
          </cell>
          <cell r="L13">
            <v>2.9520501692034538E-2</v>
          </cell>
          <cell r="M13">
            <v>0</v>
          </cell>
          <cell r="N13">
            <v>9.0693936496856198E-3</v>
          </cell>
          <cell r="O13">
            <v>0</v>
          </cell>
          <cell r="P13">
            <v>1.2513136030471796E-2</v>
          </cell>
          <cell r="Q13">
            <v>0</v>
          </cell>
          <cell r="R13">
            <v>3.2168257533221034E-5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/>
          </cell>
          <cell r="B14" t="str">
            <v>Historical Test Year Twelve Months ended September 2005</v>
          </cell>
          <cell r="D14">
            <v>12652224</v>
          </cell>
          <cell r="E14">
            <v>4837422</v>
          </cell>
          <cell r="F14">
            <v>1644123</v>
          </cell>
          <cell r="G14">
            <v>2447567</v>
          </cell>
          <cell r="H14">
            <v>1897263</v>
          </cell>
          <cell r="I14">
            <v>1082688</v>
          </cell>
          <cell r="J14">
            <v>864</v>
          </cell>
          <cell r="K14">
            <v>95323</v>
          </cell>
          <cell r="L14">
            <v>373500</v>
          </cell>
          <cell r="M14">
            <v>0</v>
          </cell>
          <cell r="N14">
            <v>114748</v>
          </cell>
          <cell r="O14">
            <v>0</v>
          </cell>
          <cell r="P14">
            <v>158319</v>
          </cell>
          <cell r="Q14">
            <v>0</v>
          </cell>
          <cell r="R14">
            <v>407</v>
          </cell>
        </row>
        <row r="15">
          <cell r="A15" t="str">
            <v/>
          </cell>
        </row>
        <row r="16">
          <cell r="A16" t="str">
            <v>NCP_361</v>
          </cell>
          <cell r="B16" t="str">
            <v>Allocate Substation Structures - 12 NCP</v>
          </cell>
          <cell r="C16" t="str">
            <v>DEM</v>
          </cell>
          <cell r="E16">
            <v>0.47217309764801435</v>
          </cell>
          <cell r="F16">
            <v>0.12725414213287409</v>
          </cell>
          <cell r="G16">
            <v>0.1534577411331384</v>
          </cell>
          <cell r="H16">
            <v>0.11657275539180251</v>
          </cell>
          <cell r="I16">
            <v>7.9647702985328597E-2</v>
          </cell>
          <cell r="J16">
            <v>0</v>
          </cell>
          <cell r="K16">
            <v>1.2815540073302687E-2</v>
          </cell>
          <cell r="L16">
            <v>1.5693581730566158E-2</v>
          </cell>
          <cell r="M16">
            <v>0</v>
          </cell>
          <cell r="N16">
            <v>6.2513652233414877E-3</v>
          </cell>
          <cell r="O16">
            <v>0</v>
          </cell>
          <cell r="P16">
            <v>1.6118384927210214E-2</v>
          </cell>
          <cell r="Q16">
            <v>0</v>
          </cell>
          <cell r="R16">
            <v>1.5688754421513385E-5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/>
          </cell>
          <cell r="B17" t="str">
            <v>Historical Test Year Twelve Months ended September 2005</v>
          </cell>
          <cell r="D17">
            <v>4143095</v>
          </cell>
          <cell r="E17">
            <v>1956258</v>
          </cell>
          <cell r="F17">
            <v>527226</v>
          </cell>
          <cell r="G17">
            <v>635790</v>
          </cell>
          <cell r="H17">
            <v>482972</v>
          </cell>
          <cell r="I17">
            <v>329988</v>
          </cell>
          <cell r="J17">
            <v>0</v>
          </cell>
          <cell r="K17">
            <v>53096</v>
          </cell>
          <cell r="L17">
            <v>65020</v>
          </cell>
          <cell r="M17">
            <v>0</v>
          </cell>
          <cell r="N17">
            <v>25900</v>
          </cell>
          <cell r="O17">
            <v>0</v>
          </cell>
          <cell r="P17">
            <v>66780</v>
          </cell>
          <cell r="Q17">
            <v>0</v>
          </cell>
          <cell r="R17">
            <v>65</v>
          </cell>
        </row>
        <row r="18">
          <cell r="A18" t="str">
            <v/>
          </cell>
        </row>
        <row r="19">
          <cell r="A19" t="str">
            <v>NCP_362</v>
          </cell>
          <cell r="B19" t="str">
            <v>Allocate Substation Equipment - 12 NCP</v>
          </cell>
          <cell r="C19" t="str">
            <v>DEM</v>
          </cell>
          <cell r="E19">
            <v>0.4976067940089749</v>
          </cell>
          <cell r="F19">
            <v>0.14212694401001752</v>
          </cell>
          <cell r="G19">
            <v>0.14548995691824093</v>
          </cell>
          <cell r="H19">
            <v>9.5623684213414453E-2</v>
          </cell>
          <cell r="I19">
            <v>7.4571975032741988E-2</v>
          </cell>
          <cell r="J19">
            <v>2.7105373593005176E-4</v>
          </cell>
          <cell r="K19">
            <v>1.1564620667195418E-2</v>
          </cell>
          <cell r="L19">
            <v>1.6406467349817228E-2</v>
          </cell>
          <cell r="M19">
            <v>0</v>
          </cell>
          <cell r="N19">
            <v>5.8784719701644788E-3</v>
          </cell>
          <cell r="O19">
            <v>0</v>
          </cell>
          <cell r="P19">
            <v>1.0289717399144581E-2</v>
          </cell>
          <cell r="Q19">
            <v>0</v>
          </cell>
          <cell r="R19">
            <v>1.7031469435844793E-4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/>
          </cell>
          <cell r="B20" t="str">
            <v>Historical Test Year Twelve Months ended September 2005</v>
          </cell>
          <cell r="D20">
            <v>221413661</v>
          </cell>
          <cell r="E20">
            <v>110176942</v>
          </cell>
          <cell r="F20">
            <v>31468847</v>
          </cell>
          <cell r="G20">
            <v>32213464</v>
          </cell>
          <cell r="H20">
            <v>21172390</v>
          </cell>
          <cell r="I20">
            <v>16511254</v>
          </cell>
          <cell r="J20">
            <v>60015</v>
          </cell>
          <cell r="K20">
            <v>2560565</v>
          </cell>
          <cell r="L20">
            <v>3632616</v>
          </cell>
          <cell r="M20">
            <v>0</v>
          </cell>
          <cell r="N20">
            <v>1301574</v>
          </cell>
          <cell r="O20">
            <v>0</v>
          </cell>
          <cell r="P20">
            <v>2278284</v>
          </cell>
          <cell r="Q20">
            <v>0</v>
          </cell>
          <cell r="R20">
            <v>37710</v>
          </cell>
        </row>
        <row r="21">
          <cell r="A21" t="str">
            <v/>
          </cell>
        </row>
        <row r="22">
          <cell r="A22" t="str">
            <v>CUST_1</v>
          </cell>
          <cell r="B22" t="str">
            <v>Ave. No. Cust.</v>
          </cell>
          <cell r="C22" t="str">
            <v>CUS</v>
          </cell>
          <cell r="E22">
            <v>0.88327632852639681</v>
          </cell>
          <cell r="F22">
            <v>0.10452480826031919</v>
          </cell>
          <cell r="G22">
            <v>7.9019087095733333E-3</v>
          </cell>
          <cell r="H22">
            <v>7.0292139293603713E-4</v>
          </cell>
          <cell r="I22">
            <v>4.854923180024324E-4</v>
          </cell>
          <cell r="J22">
            <v>9.9282682618084339E-7</v>
          </cell>
          <cell r="K22">
            <v>1.8962992380054108E-4</v>
          </cell>
          <cell r="L22">
            <v>6.1555263223212286E-5</v>
          </cell>
          <cell r="M22">
            <v>1.7870882871255182E-5</v>
          </cell>
          <cell r="N22">
            <v>1.9856536523616868E-6</v>
          </cell>
          <cell r="O22">
            <v>1.489240239271265E-5</v>
          </cell>
          <cell r="P22">
            <v>2.8126783985703294E-3</v>
          </cell>
          <cell r="Q22">
            <v>9.9282682618084339E-7</v>
          </cell>
          <cell r="R22">
            <v>7.9426146094467471E-6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 t="str">
            <v/>
          </cell>
          <cell r="B23" t="str">
            <v>Historical Test Year Twelve Months ended September 2005</v>
          </cell>
          <cell r="D23">
            <v>1007225</v>
          </cell>
          <cell r="E23">
            <v>889658</v>
          </cell>
          <cell r="F23">
            <v>105280</v>
          </cell>
          <cell r="G23">
            <v>7959</v>
          </cell>
          <cell r="H23">
            <v>708</v>
          </cell>
          <cell r="I23">
            <v>489</v>
          </cell>
          <cell r="J23">
            <v>1</v>
          </cell>
          <cell r="K23">
            <v>191</v>
          </cell>
          <cell r="L23">
            <v>62</v>
          </cell>
          <cell r="M23">
            <v>18</v>
          </cell>
          <cell r="N23">
            <v>2</v>
          </cell>
          <cell r="O23">
            <v>15</v>
          </cell>
          <cell r="P23">
            <v>2833</v>
          </cell>
          <cell r="Q23">
            <v>1</v>
          </cell>
          <cell r="R23">
            <v>8</v>
          </cell>
        </row>
        <row r="24">
          <cell r="A24" t="str">
            <v/>
          </cell>
        </row>
        <row r="25">
          <cell r="A25" t="str">
            <v>CUST_4</v>
          </cell>
          <cell r="B25" t="str">
            <v>Ave. No. Cust Incl. RES &amp; SEC Only</v>
          </cell>
          <cell r="C25" t="str">
            <v>CUS</v>
          </cell>
          <cell r="E25">
            <v>0.88642167446652276</v>
          </cell>
          <cell r="F25">
            <v>0.10489702097641511</v>
          </cell>
          <cell r="G25">
            <v>7.9300473969537225E-3</v>
          </cell>
          <cell r="H25">
            <v>7.0542449516814115E-4</v>
          </cell>
          <cell r="I25">
            <v>0</v>
          </cell>
          <cell r="J25">
            <v>0</v>
          </cell>
          <cell r="K25">
            <v>0</v>
          </cell>
          <cell r="L25">
            <v>4.5832664940302951E-5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/>
          </cell>
          <cell r="B26" t="str">
            <v>Historical Test Year Twelve Months ended September 2005</v>
          </cell>
          <cell r="D26">
            <v>1003651</v>
          </cell>
          <cell r="E26">
            <v>889658</v>
          </cell>
          <cell r="F26">
            <v>105280</v>
          </cell>
          <cell r="G26">
            <v>7959</v>
          </cell>
          <cell r="H26">
            <v>708</v>
          </cell>
          <cell r="I26">
            <v>0</v>
          </cell>
          <cell r="J26">
            <v>0</v>
          </cell>
          <cell r="K26">
            <v>0</v>
          </cell>
          <cell r="L26">
            <v>46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/>
          </cell>
        </row>
        <row r="28">
          <cell r="A28" t="str">
            <v>CUST_5</v>
          </cell>
          <cell r="B28" t="str">
            <v>Wtd. Ave. No. Cust. CAE - NO HV</v>
          </cell>
          <cell r="C28" t="str">
            <v>CUS</v>
          </cell>
          <cell r="E28">
            <v>0.81358028834032914</v>
          </cell>
          <cell r="F28">
            <v>0.12243587680922405</v>
          </cell>
          <cell r="G28">
            <v>1.3615952432809945E-2</v>
          </cell>
          <cell r="H28">
            <v>1.6734148926663091E-2</v>
          </cell>
          <cell r="I28">
            <v>1.5026255069782351E-2</v>
          </cell>
          <cell r="J28">
            <v>1.260921353165674E-5</v>
          </cell>
          <cell r="K28">
            <v>1.0531793925211653E-2</v>
          </cell>
          <cell r="L28">
            <v>1.6041951335739465E-3</v>
          </cell>
          <cell r="M28">
            <v>1.5368770919322601E-3</v>
          </cell>
          <cell r="N28">
            <v>1.6192159453220402E-4</v>
          </cell>
          <cell r="O28">
            <v>1.2145497646038981E-3</v>
          </cell>
          <cell r="P28">
            <v>3.2866638549728221E-3</v>
          </cell>
          <cell r="Q28">
            <v>8.0960797266102012E-5</v>
          </cell>
          <cell r="R28">
            <v>1.7790704556687269E-4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/>
          </cell>
          <cell r="B29" t="str">
            <v>Historical Test Year Twelve Months ended September 2005</v>
          </cell>
          <cell r="D29">
            <v>14513197</v>
          </cell>
          <cell r="E29">
            <v>11807651</v>
          </cell>
          <cell r="F29">
            <v>1776936</v>
          </cell>
          <cell r="G29">
            <v>197611</v>
          </cell>
          <cell r="H29">
            <v>242866</v>
          </cell>
          <cell r="I29">
            <v>218079</v>
          </cell>
          <cell r="J29">
            <v>183</v>
          </cell>
          <cell r="K29">
            <v>152850</v>
          </cell>
          <cell r="L29">
            <v>23282</v>
          </cell>
          <cell r="M29">
            <v>22305</v>
          </cell>
          <cell r="N29">
            <v>2350</v>
          </cell>
          <cell r="O29">
            <v>17627</v>
          </cell>
          <cell r="P29">
            <v>47700</v>
          </cell>
          <cell r="Q29">
            <v>1175</v>
          </cell>
          <cell r="R29">
            <v>2582</v>
          </cell>
        </row>
        <row r="30">
          <cell r="A30" t="str">
            <v/>
          </cell>
        </row>
        <row r="31">
          <cell r="A31" t="str">
            <v>CUST_6</v>
          </cell>
          <cell r="B31" t="str">
            <v>Wtd. Ave. No. Sch. Mtr Reading</v>
          </cell>
          <cell r="C31" t="str">
            <v>CUS</v>
          </cell>
          <cell r="E31">
            <v>0.82591092762824314</v>
          </cell>
          <cell r="F31">
            <v>0.12188538482962462</v>
          </cell>
          <cell r="G31">
            <v>2.9585399772528314E-2</v>
          </cell>
          <cell r="H31">
            <v>3.1372013221438069E-3</v>
          </cell>
          <cell r="I31">
            <v>2.0891769316599977E-3</v>
          </cell>
          <cell r="J31">
            <v>2.492729650803609E-6</v>
          </cell>
          <cell r="K31">
            <v>7.9006055716145736E-4</v>
          </cell>
          <cell r="L31">
            <v>3.0674048919213055E-4</v>
          </cell>
          <cell r="M31">
            <v>9.8620469514387969E-3</v>
          </cell>
          <cell r="N31">
            <v>7.113711454820353E-4</v>
          </cell>
          <cell r="O31">
            <v>5.3352499055794433E-3</v>
          </cell>
          <cell r="P31">
            <v>0</v>
          </cell>
          <cell r="Q31">
            <v>3.5565188720519599E-4</v>
          </cell>
          <cell r="R31">
            <v>2.8295850090203128E-5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/>
          </cell>
          <cell r="B32" t="str">
            <v>Historical Test Year Twelve Months ended September 2005</v>
          </cell>
          <cell r="D32">
            <v>14843166</v>
          </cell>
          <cell r="E32">
            <v>12259133</v>
          </cell>
          <cell r="F32">
            <v>1809165</v>
          </cell>
          <cell r="G32">
            <v>439141</v>
          </cell>
          <cell r="H32">
            <v>46566</v>
          </cell>
          <cell r="I32">
            <v>31010</v>
          </cell>
          <cell r="J32">
            <v>37</v>
          </cell>
          <cell r="K32">
            <v>11727</v>
          </cell>
          <cell r="L32">
            <v>4553</v>
          </cell>
          <cell r="M32">
            <v>146384</v>
          </cell>
          <cell r="N32">
            <v>10559</v>
          </cell>
          <cell r="O32">
            <v>79192</v>
          </cell>
          <cell r="P32">
            <v>0</v>
          </cell>
          <cell r="Q32">
            <v>5279</v>
          </cell>
          <cell r="R32">
            <v>420</v>
          </cell>
        </row>
        <row r="33">
          <cell r="A33" t="str">
            <v/>
          </cell>
        </row>
        <row r="34">
          <cell r="A34" t="str">
            <v>METER</v>
          </cell>
          <cell r="B34" t="str">
            <v>Meter Investment</v>
          </cell>
          <cell r="C34" t="str">
            <v>CUS</v>
          </cell>
          <cell r="E34">
            <v>0.58793856270037692</v>
          </cell>
          <cell r="F34">
            <v>0.20679636312257557</v>
          </cell>
          <cell r="G34">
            <v>6.8655640765648882E-2</v>
          </cell>
          <cell r="H34">
            <v>6.4579689133961197E-3</v>
          </cell>
          <cell r="I34">
            <v>8.6486655212588887E-2</v>
          </cell>
          <cell r="J34">
            <v>1.7150233241627915E-4</v>
          </cell>
          <cell r="K34">
            <v>3.0604370072230838E-2</v>
          </cell>
          <cell r="L34">
            <v>4.4364385266880855E-3</v>
          </cell>
          <cell r="M34">
            <v>4.2896980912603298E-3</v>
          </cell>
          <cell r="N34">
            <v>3.4300466483255831E-4</v>
          </cell>
          <cell r="O34">
            <v>2.2188093575484466E-3</v>
          </cell>
          <cell r="P34">
            <v>0</v>
          </cell>
          <cell r="Q34">
            <v>1.6009752106388138E-4</v>
          </cell>
          <cell r="R34">
            <v>1.4408887193731457E-3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A35" t="str">
            <v/>
          </cell>
          <cell r="B35" t="str">
            <v>Historical Test Year Twelve Months ended September 2005</v>
          </cell>
          <cell r="D35">
            <v>90663490</v>
          </cell>
          <cell r="E35">
            <v>53304562</v>
          </cell>
          <cell r="F35">
            <v>18748880</v>
          </cell>
          <cell r="G35">
            <v>6224560</v>
          </cell>
          <cell r="H35">
            <v>585502</v>
          </cell>
          <cell r="I35">
            <v>7841182</v>
          </cell>
          <cell r="J35">
            <v>15549</v>
          </cell>
          <cell r="K35">
            <v>2774699</v>
          </cell>
          <cell r="L35">
            <v>402223</v>
          </cell>
          <cell r="M35">
            <v>388919</v>
          </cell>
          <cell r="N35">
            <v>31098</v>
          </cell>
          <cell r="O35">
            <v>201165</v>
          </cell>
          <cell r="P35">
            <v>0</v>
          </cell>
          <cell r="Q35">
            <v>14515</v>
          </cell>
          <cell r="R35">
            <v>130636</v>
          </cell>
        </row>
        <row r="36">
          <cell r="A36" t="str">
            <v/>
          </cell>
        </row>
        <row r="37">
          <cell r="A37" t="str">
            <v>DIR360.01</v>
          </cell>
          <cell r="B37" t="str">
            <v>Direct Assign Substation Land</v>
          </cell>
          <cell r="C37" t="str">
            <v>DEM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0.6133514300746491</v>
          </cell>
          <cell r="M37">
            <v>0.38579609140887705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8.5247851647388042E-4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/>
          </cell>
          <cell r="B38" t="str">
            <v>Historical Test Year Twelve Months ended September 2005</v>
          </cell>
          <cell r="D38">
            <v>655735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402196</v>
          </cell>
          <cell r="M38">
            <v>252980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559</v>
          </cell>
        </row>
        <row r="39">
          <cell r="A39" t="str">
            <v/>
          </cell>
        </row>
        <row r="40">
          <cell r="A40" t="str">
            <v>DIR361.01</v>
          </cell>
          <cell r="B40" t="str">
            <v>Direct Assign Substation Structures</v>
          </cell>
          <cell r="C40" t="str">
            <v>DEM</v>
          </cell>
          <cell r="E40">
            <v>3.2338492433164661E-8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0.23189286153973715</v>
          </cell>
          <cell r="M40">
            <v>0.46422552657656535</v>
          </cell>
          <cell r="N40">
            <v>0</v>
          </cell>
          <cell r="O40">
            <v>0.30359376696254986</v>
          </cell>
          <cell r="P40">
            <v>0</v>
          </cell>
          <cell r="Q40">
            <v>0</v>
          </cell>
          <cell r="R40">
            <v>2.8781258265516552E-4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/>
          </cell>
          <cell r="B41" t="str">
            <v>Historical Test Year Twelve Months ended September 2005</v>
          </cell>
          <cell r="D41">
            <v>309229.01</v>
          </cell>
          <cell r="E41">
            <v>0.01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71708</v>
          </cell>
          <cell r="M41">
            <v>143552</v>
          </cell>
          <cell r="N41">
            <v>0</v>
          </cell>
          <cell r="O41">
            <v>93880</v>
          </cell>
          <cell r="P41">
            <v>0</v>
          </cell>
          <cell r="Q41">
            <v>0</v>
          </cell>
          <cell r="R41">
            <v>89</v>
          </cell>
        </row>
        <row r="42">
          <cell r="A42" t="str">
            <v/>
          </cell>
        </row>
        <row r="43">
          <cell r="A43" t="str">
            <v>DIR362.01</v>
          </cell>
          <cell r="B43" t="str">
            <v>Direct Assign Substation Equipment</v>
          </cell>
          <cell r="C43" t="str">
            <v>DEM</v>
          </cell>
          <cell r="E43">
            <v>4.4294995080024233E-10</v>
          </cell>
          <cell r="F43">
            <v>0</v>
          </cell>
          <cell r="G43">
            <v>0</v>
          </cell>
          <cell r="H43">
            <v>0</v>
          </cell>
          <cell r="I43">
            <v>2.0814705433049266E-2</v>
          </cell>
          <cell r="J43">
            <v>0</v>
          </cell>
          <cell r="K43">
            <v>0</v>
          </cell>
          <cell r="L43">
            <v>0.17673490420953283</v>
          </cell>
          <cell r="M43">
            <v>0.36022856024335115</v>
          </cell>
          <cell r="N43">
            <v>0</v>
          </cell>
          <cell r="O43">
            <v>0.43640288475744426</v>
          </cell>
          <cell r="P43">
            <v>0</v>
          </cell>
          <cell r="Q43">
            <v>3.9307821583964304E-3</v>
          </cell>
          <cell r="R43">
            <v>1.8881627552761928E-3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/>
          </cell>
          <cell r="B44" t="str">
            <v>Historical Test Year Twelve Months ended September 2005</v>
          </cell>
          <cell r="D44">
            <v>22575914.009999998</v>
          </cell>
          <cell r="E44">
            <v>0.01</v>
          </cell>
          <cell r="F44">
            <v>0</v>
          </cell>
          <cell r="G44">
            <v>0</v>
          </cell>
          <cell r="H44">
            <v>0</v>
          </cell>
          <cell r="I44">
            <v>469911</v>
          </cell>
          <cell r="J44">
            <v>0</v>
          </cell>
          <cell r="K44">
            <v>0</v>
          </cell>
          <cell r="L44">
            <v>3989952</v>
          </cell>
          <cell r="M44">
            <v>8132489</v>
          </cell>
          <cell r="N44">
            <v>0</v>
          </cell>
          <cell r="O44">
            <v>9852194</v>
          </cell>
          <cell r="P44">
            <v>0</v>
          </cell>
          <cell r="Q44">
            <v>88741</v>
          </cell>
          <cell r="R44">
            <v>42627</v>
          </cell>
        </row>
        <row r="45">
          <cell r="A45" t="str">
            <v/>
          </cell>
        </row>
        <row r="46">
          <cell r="A46" t="str">
            <v>DIR364.01</v>
          </cell>
          <cell r="B46" t="str">
            <v>Direct Assign OH Dist Lines</v>
          </cell>
          <cell r="C46" t="str">
            <v>DEM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0.85581237225384643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0.14418762774615362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 t="str">
            <v/>
          </cell>
          <cell r="B47" t="str">
            <v>Historical Test Year Twelve Months ended September 2005</v>
          </cell>
          <cell r="D47">
            <v>1206005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1032114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173891</v>
          </cell>
          <cell r="R47">
            <v>0</v>
          </cell>
        </row>
        <row r="48">
          <cell r="A48" t="str">
            <v/>
          </cell>
        </row>
        <row r="49">
          <cell r="A49" t="str">
            <v>DIR366.01</v>
          </cell>
          <cell r="B49" t="str">
            <v>Direct Assign OH Dist Lines</v>
          </cell>
          <cell r="C49" t="str">
            <v>DEM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0.83937789880606462</v>
          </cell>
          <cell r="M49">
            <v>0.11810879638070632</v>
          </cell>
          <cell r="N49">
            <v>0</v>
          </cell>
          <cell r="O49">
            <v>0</v>
          </cell>
          <cell r="P49">
            <v>0</v>
          </cell>
          <cell r="Q49">
            <v>4.2513304813229125E-2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/>
          </cell>
          <cell r="B50" t="str">
            <v>Historical Test Year Twelve Months ended September 2005</v>
          </cell>
          <cell r="D50">
            <v>13108414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11002913</v>
          </cell>
          <cell r="M50">
            <v>1548219</v>
          </cell>
          <cell r="N50">
            <v>0</v>
          </cell>
          <cell r="O50">
            <v>0</v>
          </cell>
          <cell r="P50">
            <v>0</v>
          </cell>
          <cell r="Q50">
            <v>557282</v>
          </cell>
          <cell r="R50">
            <v>0</v>
          </cell>
        </row>
        <row r="51">
          <cell r="A51" t="str">
            <v/>
          </cell>
        </row>
        <row r="52">
          <cell r="A52" t="str">
            <v>DIR368.03C</v>
          </cell>
          <cell r="B52" t="str">
            <v>Line Transformers - Customer Related</v>
          </cell>
          <cell r="C52" t="str">
            <v>CUS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0.59684801613529559</v>
          </cell>
          <cell r="J52">
            <v>0</v>
          </cell>
          <cell r="K52">
            <v>4.557735497771543E-2</v>
          </cell>
          <cell r="L52">
            <v>0.34598822362781961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1.1586405259169373E-2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/>
          </cell>
          <cell r="B53" t="str">
            <v>Historical Test Year Twelve Months ended September 2005</v>
          </cell>
          <cell r="D53">
            <v>1674133.57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999203.3</v>
          </cell>
          <cell r="J53">
            <v>0</v>
          </cell>
          <cell r="K53">
            <v>76302.58</v>
          </cell>
          <cell r="L53">
            <v>579230.5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19397.189999999999</v>
          </cell>
        </row>
        <row r="54">
          <cell r="A54" t="str">
            <v/>
          </cell>
        </row>
        <row r="55">
          <cell r="A55" t="str">
            <v>DIR368.03</v>
          </cell>
          <cell r="B55" t="str">
            <v>Line Transformers</v>
          </cell>
          <cell r="C55" t="str">
            <v>DEM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0.59684801613529559</v>
          </cell>
          <cell r="J55">
            <v>0</v>
          </cell>
          <cell r="K55">
            <v>4.557735497771543E-2</v>
          </cell>
          <cell r="L55">
            <v>0.34598822362781961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1.1586405259169373E-2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/>
          </cell>
          <cell r="B56" t="str">
            <v>Historical Test Year Twelve Months ended September 2005</v>
          </cell>
          <cell r="D56">
            <v>1674133.57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999203.3</v>
          </cell>
          <cell r="J56">
            <v>0</v>
          </cell>
          <cell r="K56">
            <v>76302.58</v>
          </cell>
          <cell r="L56">
            <v>579230.5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19397.189999999999</v>
          </cell>
        </row>
        <row r="57">
          <cell r="A57" t="str">
            <v/>
          </cell>
        </row>
        <row r="58">
          <cell r="A58" t="str">
            <v>DIR372.00</v>
          </cell>
          <cell r="B58" t="str">
            <v>Leased Wtr. Htrs.</v>
          </cell>
          <cell r="C58" t="str">
            <v>CUS</v>
          </cell>
          <cell r="E58">
            <v>0.97930401824490343</v>
          </cell>
          <cell r="F58">
            <v>1.8958814267068601E-2</v>
          </cell>
          <cell r="G58">
            <v>1.4320019694091309E-3</v>
          </cell>
          <cell r="H58">
            <v>0</v>
          </cell>
          <cell r="I58">
            <v>2.6661340591658807E-4</v>
          </cell>
          <cell r="J58">
            <v>0</v>
          </cell>
          <cell r="K58">
            <v>3.8552112702224411E-5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/>
          </cell>
          <cell r="B59" t="str">
            <v>Historical Test Year Twelve Months ended September 2005</v>
          </cell>
          <cell r="D59">
            <v>2152930</v>
          </cell>
          <cell r="E59">
            <v>2108373</v>
          </cell>
          <cell r="F59">
            <v>40817</v>
          </cell>
          <cell r="G59">
            <v>3083</v>
          </cell>
          <cell r="H59">
            <v>0</v>
          </cell>
          <cell r="I59">
            <v>574</v>
          </cell>
          <cell r="J59">
            <v>0</v>
          </cell>
          <cell r="K59">
            <v>83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 t="str">
            <v/>
          </cell>
        </row>
        <row r="61">
          <cell r="A61" t="str">
            <v>DIR373.00</v>
          </cell>
          <cell r="B61" t="str">
            <v>Str. &amp; Signal Systems</v>
          </cell>
          <cell r="C61" t="str">
            <v>CUS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 t="str">
            <v/>
          </cell>
          <cell r="B62" t="str">
            <v>Historical Test Year Twelve Months ended September 2005</v>
          </cell>
          <cell r="D62">
            <v>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</v>
          </cell>
          <cell r="Q62">
            <v>0</v>
          </cell>
          <cell r="R62">
            <v>0</v>
          </cell>
        </row>
        <row r="63">
          <cell r="A63" t="str">
            <v/>
          </cell>
        </row>
        <row r="64">
          <cell r="A64" t="str">
            <v>UNBILLED</v>
          </cell>
          <cell r="B64" t="str">
            <v>Direct Assignment of Unbilled Revenue</v>
          </cell>
          <cell r="C64" t="str">
            <v>CUS</v>
          </cell>
          <cell r="E64">
            <v>0.1537510342389749</v>
          </cell>
          <cell r="F64">
            <v>4.3938485602228128E-2</v>
          </cell>
          <cell r="G64">
            <v>5.1366878715329523E-2</v>
          </cell>
          <cell r="H64">
            <v>3.093847394883123E-2</v>
          </cell>
          <cell r="I64">
            <v>1.9633384133511674E-2</v>
          </cell>
          <cell r="J64">
            <v>1.385459409276363E-4</v>
          </cell>
          <cell r="K64">
            <v>1.7247027412673976E-3</v>
          </cell>
          <cell r="L64">
            <v>7.9735131236671423E-3</v>
          </cell>
          <cell r="M64">
            <v>6.8198268305220593E-3</v>
          </cell>
          <cell r="N64">
            <v>3.9226628788810669E-2</v>
          </cell>
          <cell r="O64">
            <v>0.6402440998204082</v>
          </cell>
          <cell r="P64">
            <v>4.2444261155214179E-3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 t="str">
            <v/>
          </cell>
          <cell r="B65" t="str">
            <v>Historical Test Year Twelve Months ended September 2005</v>
          </cell>
          <cell r="D65">
            <v>-772307</v>
          </cell>
          <cell r="E65">
            <v>-118743</v>
          </cell>
          <cell r="F65">
            <v>-33934</v>
          </cell>
          <cell r="G65">
            <v>-39671</v>
          </cell>
          <cell r="H65">
            <v>-23894</v>
          </cell>
          <cell r="I65">
            <v>-15163</v>
          </cell>
          <cell r="J65">
            <v>-107</v>
          </cell>
          <cell r="K65">
            <v>-1332</v>
          </cell>
          <cell r="L65">
            <v>-6158</v>
          </cell>
          <cell r="M65">
            <v>-5267</v>
          </cell>
          <cell r="N65">
            <v>-30295</v>
          </cell>
          <cell r="O65">
            <v>-494465</v>
          </cell>
          <cell r="P65">
            <v>-3278</v>
          </cell>
          <cell r="Q65">
            <v>0</v>
          </cell>
          <cell r="R65">
            <v>0</v>
          </cell>
        </row>
        <row r="66">
          <cell r="A66" t="str">
            <v/>
          </cell>
        </row>
        <row r="67">
          <cell r="A67" t="str">
            <v>PROFORMA</v>
          </cell>
          <cell r="B67" t="str">
            <v>Proforma Revenue</v>
          </cell>
          <cell r="C67" t="str">
            <v>CUS</v>
          </cell>
          <cell r="E67">
            <v>0.54023264276228622</v>
          </cell>
          <cell r="F67">
            <v>0.1223348905308808</v>
          </cell>
          <cell r="G67">
            <v>0.14147065370057785</v>
          </cell>
          <cell r="H67">
            <v>8.3041137924974806E-2</v>
          </cell>
          <cell r="I67">
            <v>5.4191536612645766E-2</v>
          </cell>
          <cell r="J67">
            <v>1.6303854456289625E-4</v>
          </cell>
          <cell r="K67">
            <v>7.5165275419861559E-3</v>
          </cell>
          <cell r="L67">
            <v>1.9828441954852585E-2</v>
          </cell>
          <cell r="M67">
            <v>1.7563570344598475E-2</v>
          </cell>
          <cell r="N67">
            <v>5.4913096780014417E-4</v>
          </cell>
          <cell r="O67">
            <v>3.3542976835472037E-3</v>
          </cell>
          <cell r="P67">
            <v>8.48064221120454E-3</v>
          </cell>
          <cell r="Q67">
            <v>9.8670778235148446E-4</v>
          </cell>
          <cell r="R67">
            <v>2.8678143773105247E-4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/>
          </cell>
          <cell r="B68" t="str">
            <v>Historical Test Year Twelve Months ended September 2005</v>
          </cell>
          <cell r="D68">
            <v>1616820125</v>
          </cell>
          <cell r="E68">
            <v>873459009</v>
          </cell>
          <cell r="F68">
            <v>197793513</v>
          </cell>
          <cell r="G68">
            <v>228732600</v>
          </cell>
          <cell r="H68">
            <v>134262583</v>
          </cell>
          <cell r="I68">
            <v>87617967</v>
          </cell>
          <cell r="J68">
            <v>263604</v>
          </cell>
          <cell r="K68">
            <v>12152873</v>
          </cell>
          <cell r="L68">
            <v>32059024</v>
          </cell>
          <cell r="M68">
            <v>28397134</v>
          </cell>
          <cell r="N68">
            <v>887846</v>
          </cell>
          <cell r="O68">
            <v>5423296</v>
          </cell>
          <cell r="P68">
            <v>13711673</v>
          </cell>
          <cell r="Q68">
            <v>1595329</v>
          </cell>
          <cell r="R68">
            <v>463674</v>
          </cell>
        </row>
        <row r="69">
          <cell r="A69" t="str">
            <v/>
          </cell>
        </row>
        <row r="70">
          <cell r="A70" t="str">
            <v>DIR451.02</v>
          </cell>
          <cell r="B70" t="str">
            <v>Seasonal Svc. Chgs.</v>
          </cell>
          <cell r="C70" t="str">
            <v>CUS</v>
          </cell>
          <cell r="E70">
            <v>0.66666666666666663</v>
          </cell>
          <cell r="F70">
            <v>0</v>
          </cell>
          <cell r="G70">
            <v>0.33333333333333331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/>
          </cell>
          <cell r="B71" t="str">
            <v>Historical Test Year Twelve Months ended September 2005</v>
          </cell>
          <cell r="D71">
            <v>15</v>
          </cell>
          <cell r="E71">
            <v>10</v>
          </cell>
          <cell r="F71">
            <v>0</v>
          </cell>
          <cell r="G71">
            <v>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/>
          </cell>
        </row>
        <row r="73">
          <cell r="A73" t="str">
            <v>DIR454.04</v>
          </cell>
          <cell r="B73" t="str">
            <v>Equip. (Transf.) Rentals</v>
          </cell>
          <cell r="C73" t="str">
            <v>CUS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0.18608247472875239</v>
          </cell>
          <cell r="J73">
            <v>0</v>
          </cell>
          <cell r="K73">
            <v>7.379199687406481E-3</v>
          </cell>
          <cell r="L73">
            <v>2.9581580722156012E-2</v>
          </cell>
          <cell r="M73">
            <v>0.37268792038131571</v>
          </cell>
          <cell r="N73">
            <v>0</v>
          </cell>
          <cell r="O73">
            <v>0.40280687371579604</v>
          </cell>
          <cell r="P73">
            <v>0</v>
          </cell>
          <cell r="Q73">
            <v>0</v>
          </cell>
          <cell r="R73">
            <v>1.4619507645733426E-3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/>
          </cell>
          <cell r="B74" t="str">
            <v>Historical Test Year Twelve Months ended September 2005</v>
          </cell>
          <cell r="D74">
            <v>2341392.12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435692.04</v>
          </cell>
          <cell r="J74">
            <v>0</v>
          </cell>
          <cell r="K74">
            <v>17277.599999999999</v>
          </cell>
          <cell r="L74">
            <v>69262.080000000002</v>
          </cell>
          <cell r="M74">
            <v>872608.56</v>
          </cell>
          <cell r="N74">
            <v>0</v>
          </cell>
          <cell r="O74">
            <v>943128.84</v>
          </cell>
          <cell r="P74">
            <v>0</v>
          </cell>
          <cell r="Q74">
            <v>0</v>
          </cell>
          <cell r="R74">
            <v>3423</v>
          </cell>
        </row>
        <row r="75">
          <cell r="A75" t="str">
            <v/>
          </cell>
        </row>
        <row r="76">
          <cell r="A76" t="str">
            <v>DIR451.05</v>
          </cell>
          <cell r="B76" t="str">
            <v>Water Htr. Rentals</v>
          </cell>
          <cell r="C76" t="str">
            <v>CUS</v>
          </cell>
          <cell r="E76">
            <v>0.88884733624138956</v>
          </cell>
          <cell r="F76">
            <v>0.10182153912342941</v>
          </cell>
          <cell r="G76">
            <v>7.6917606525047219E-3</v>
          </cell>
          <cell r="H76">
            <v>0</v>
          </cell>
          <cell r="I76">
            <v>1.4329176928539154E-3</v>
          </cell>
          <cell r="J76">
            <v>0</v>
          </cell>
          <cell r="K76">
            <v>2.0644628982228634E-4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/>
          </cell>
          <cell r="B77" t="str">
            <v>Historical Test Year Twelve Months ended September 2005</v>
          </cell>
          <cell r="D77">
            <v>56528.020000000004</v>
          </cell>
          <cell r="E77">
            <v>50244.78</v>
          </cell>
          <cell r="F77">
            <v>5755.77</v>
          </cell>
          <cell r="G77">
            <v>434.8</v>
          </cell>
          <cell r="H77">
            <v>0</v>
          </cell>
          <cell r="I77">
            <v>81</v>
          </cell>
          <cell r="J77">
            <v>0</v>
          </cell>
          <cell r="K77">
            <v>11.67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/>
          </cell>
        </row>
        <row r="79">
          <cell r="A79" t="str">
            <v>OH_NCP</v>
          </cell>
          <cell r="B79" t="str">
            <v>Allocate Overhead Lines - 12 NCP</v>
          </cell>
          <cell r="C79" t="str">
            <v>DEM</v>
          </cell>
          <cell r="E79">
            <v>0.67850441517067683</v>
          </cell>
          <cell r="F79">
            <v>0.1193320644177162</v>
          </cell>
          <cell r="G79">
            <v>9.9606983278469105E-2</v>
          </cell>
          <cell r="H79">
            <v>3.8059754740595461E-2</v>
          </cell>
          <cell r="I79">
            <v>4.1890607131768585E-2</v>
          </cell>
          <cell r="J79">
            <v>1.4926150268150023E-3</v>
          </cell>
          <cell r="K79">
            <v>1.5026429313879196E-2</v>
          </cell>
          <cell r="L79">
            <v>1.0895704007112099E-3</v>
          </cell>
          <cell r="M79">
            <v>0</v>
          </cell>
          <cell r="N79">
            <v>8.6779943419476879E-6</v>
          </cell>
          <cell r="O79">
            <v>0</v>
          </cell>
          <cell r="P79">
            <v>4.398778909773928E-3</v>
          </cell>
          <cell r="Q79">
            <v>0</v>
          </cell>
          <cell r="R79">
            <v>5.9010361525244277E-4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A80" t="str">
            <v/>
          </cell>
          <cell r="B80" t="str">
            <v>Historical Test Year Twelve Months ended September 2005</v>
          </cell>
          <cell r="D80">
            <v>10371.060000000001</v>
          </cell>
          <cell r="E80">
            <v>7036.81</v>
          </cell>
          <cell r="F80">
            <v>1237.5999999999999</v>
          </cell>
          <cell r="G80">
            <v>1033.03</v>
          </cell>
          <cell r="H80">
            <v>394.72</v>
          </cell>
          <cell r="I80">
            <v>434.45</v>
          </cell>
          <cell r="J80">
            <v>15.48</v>
          </cell>
          <cell r="K80">
            <v>155.84</v>
          </cell>
          <cell r="L80">
            <v>11.3</v>
          </cell>
          <cell r="M80">
            <v>0</v>
          </cell>
          <cell r="N80">
            <v>0.09</v>
          </cell>
          <cell r="O80">
            <v>0</v>
          </cell>
          <cell r="P80">
            <v>45.62</v>
          </cell>
          <cell r="Q80">
            <v>0</v>
          </cell>
          <cell r="R80">
            <v>6.12</v>
          </cell>
        </row>
        <row r="81">
          <cell r="A81" t="str">
            <v/>
          </cell>
        </row>
        <row r="82">
          <cell r="A82" t="str">
            <v>UG_NCP</v>
          </cell>
          <cell r="B82" t="str">
            <v>Allocate Underground Lines - 12 NCP</v>
          </cell>
          <cell r="C82" t="str">
            <v>DEM</v>
          </cell>
          <cell r="E82">
            <v>0.66860465116279089</v>
          </cell>
          <cell r="F82">
            <v>0.11270310970228871</v>
          </cell>
          <cell r="G82">
            <v>0.10752795570990165</v>
          </cell>
          <cell r="H82">
            <v>5.0724192280843489E-2</v>
          </cell>
          <cell r="I82">
            <v>3.3557827818291183E-2</v>
          </cell>
          <cell r="J82">
            <v>4.2586633065666839E-4</v>
          </cell>
          <cell r="K82">
            <v>1.5545218662604108E-2</v>
          </cell>
          <cell r="L82">
            <v>5.3211339459369282E-3</v>
          </cell>
          <cell r="M82">
            <v>0</v>
          </cell>
          <cell r="N82">
            <v>1.1085695720701935E-4</v>
          </cell>
          <cell r="O82">
            <v>0</v>
          </cell>
          <cell r="P82">
            <v>5.2179601441799004E-3</v>
          </cell>
          <cell r="Q82">
            <v>0</v>
          </cell>
          <cell r="R82">
            <v>2.6122728529970893E-4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/>
          </cell>
          <cell r="B83" t="str">
            <v>Historical Test Year Twelve Months ended September 2005</v>
          </cell>
          <cell r="D83">
            <v>9110.8399999999983</v>
          </cell>
          <cell r="E83">
            <v>6091.55</v>
          </cell>
          <cell r="F83">
            <v>1026.82</v>
          </cell>
          <cell r="G83">
            <v>979.67000000000007</v>
          </cell>
          <cell r="H83">
            <v>462.14</v>
          </cell>
          <cell r="I83">
            <v>305.74</v>
          </cell>
          <cell r="J83">
            <v>3.88</v>
          </cell>
          <cell r="K83">
            <v>141.63</v>
          </cell>
          <cell r="L83">
            <v>48.48</v>
          </cell>
          <cell r="M83">
            <v>0</v>
          </cell>
          <cell r="N83">
            <v>1.01</v>
          </cell>
          <cell r="O83">
            <v>0</v>
          </cell>
          <cell r="P83">
            <v>47.54</v>
          </cell>
          <cell r="Q83">
            <v>0</v>
          </cell>
          <cell r="R83">
            <v>2.38</v>
          </cell>
        </row>
        <row r="84">
          <cell r="A84" t="str">
            <v/>
          </cell>
        </row>
        <row r="85">
          <cell r="A85" t="str">
            <v>DIR235.00</v>
          </cell>
          <cell r="B85" t="str">
            <v>Customer Deposits</v>
          </cell>
          <cell r="C85" t="str">
            <v>CUS</v>
          </cell>
          <cell r="E85">
            <v>0.80262092099597404</v>
          </cell>
          <cell r="F85">
            <v>0.12226930454285714</v>
          </cell>
          <cell r="G85">
            <v>5.1959679991550198E-2</v>
          </cell>
          <cell r="H85">
            <v>1.2335830518469927E-2</v>
          </cell>
          <cell r="I85">
            <v>1.0814263951148656E-2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/>
          </cell>
          <cell r="B86" t="str">
            <v>Historical Test Year Twelve Months ended September 2005</v>
          </cell>
          <cell r="D86">
            <v>8634522</v>
          </cell>
          <cell r="E86">
            <v>6930248</v>
          </cell>
          <cell r="F86">
            <v>1055737</v>
          </cell>
          <cell r="G86">
            <v>448647</v>
          </cell>
          <cell r="H86">
            <v>106514</v>
          </cell>
          <cell r="I86">
            <v>93376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/>
          </cell>
        </row>
        <row r="88">
          <cell r="A88" t="str">
            <v>RESID</v>
          </cell>
          <cell r="B88" t="str">
            <v>Residential Allocation Only</v>
          </cell>
          <cell r="C88" t="str">
            <v>CUS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/>
          </cell>
          <cell r="B89" t="str">
            <v>Historical Test Year Twelve Months ended September 2005</v>
          </cell>
          <cell r="D89">
            <v>1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/>
          </cell>
        </row>
        <row r="91">
          <cell r="A91" t="str">
            <v>PROFORMA_RETAIL</v>
          </cell>
          <cell r="B91" t="str">
            <v>Proforma Retail Revenue - No Transportation</v>
          </cell>
          <cell r="C91" t="str">
            <v>CUS</v>
          </cell>
          <cell r="E91">
            <v>0.54304393662276029</v>
          </cell>
          <cell r="F91">
            <v>0.12297150390713425</v>
          </cell>
          <cell r="G91">
            <v>0.14220684686756624</v>
          </cell>
          <cell r="H91">
            <v>8.3473272199611703E-2</v>
          </cell>
          <cell r="I91">
            <v>5.4473541664006239E-2</v>
          </cell>
          <cell r="J91">
            <v>1.6388697396732226E-4</v>
          </cell>
          <cell r="K91">
            <v>7.5556424825843826E-3</v>
          </cell>
          <cell r="L91">
            <v>1.9931626347497608E-2</v>
          </cell>
          <cell r="M91">
            <v>1.7654968667412337E-2</v>
          </cell>
          <cell r="N91">
            <v>0</v>
          </cell>
          <cell r="O91">
            <v>0</v>
          </cell>
          <cell r="P91">
            <v>8.5247742674596574E-3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 t="str">
            <v/>
          </cell>
          <cell r="B92" t="str">
            <v>Historical Test Year Twelve Months ended September 2005</v>
          </cell>
          <cell r="D92">
            <v>1608449980</v>
          </cell>
          <cell r="E92">
            <v>873459009</v>
          </cell>
          <cell r="F92">
            <v>197793513</v>
          </cell>
          <cell r="G92">
            <v>228732600</v>
          </cell>
          <cell r="H92">
            <v>134262583</v>
          </cell>
          <cell r="I92">
            <v>87617967</v>
          </cell>
          <cell r="J92">
            <v>263604</v>
          </cell>
          <cell r="K92">
            <v>12152873</v>
          </cell>
          <cell r="L92">
            <v>32059024</v>
          </cell>
          <cell r="M92">
            <v>28397134</v>
          </cell>
          <cell r="N92">
            <v>0</v>
          </cell>
          <cell r="O92">
            <v>0</v>
          </cell>
          <cell r="P92">
            <v>13711673</v>
          </cell>
          <cell r="Q92">
            <v>0</v>
          </cell>
          <cell r="R92">
            <v>0</v>
          </cell>
        </row>
        <row r="93">
          <cell r="A93" t="str">
            <v/>
          </cell>
        </row>
        <row r="94">
          <cell r="A94" t="str">
            <v>OH_TFMRC</v>
          </cell>
          <cell r="B94" t="str">
            <v>Allocate Overhead Transformers</v>
          </cell>
          <cell r="C94" t="str">
            <v>CUS</v>
          </cell>
          <cell r="E94">
            <v>0.83789404821706592</v>
          </cell>
          <cell r="F94">
            <v>0.13766780913971724</v>
          </cell>
          <cell r="G94">
            <v>2.3098181861595655E-2</v>
          </cell>
          <cell r="H94">
            <v>2.7852109380830493E-4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1.061439687812837E-3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 t="str">
            <v/>
          </cell>
          <cell r="B95" t="str">
            <v>Historical Test Year Twelve Months ended September 2005</v>
          </cell>
          <cell r="D95">
            <v>235199421</v>
          </cell>
          <cell r="E95">
            <v>197072195</v>
          </cell>
          <cell r="F95">
            <v>32379389</v>
          </cell>
          <cell r="G95">
            <v>5432679</v>
          </cell>
          <cell r="H95">
            <v>65508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249650</v>
          </cell>
          <cell r="Q95">
            <v>0</v>
          </cell>
          <cell r="R95">
            <v>0</v>
          </cell>
        </row>
        <row r="96">
          <cell r="A96" t="str">
            <v/>
          </cell>
        </row>
        <row r="97">
          <cell r="A97" t="str">
            <v>OH_TFMR</v>
          </cell>
          <cell r="B97" t="str">
            <v>Allocate Overhead Transformers</v>
          </cell>
          <cell r="C97" t="str">
            <v>DEM</v>
          </cell>
          <cell r="E97">
            <v>0.83789404821706592</v>
          </cell>
          <cell r="F97">
            <v>0.13766780913971724</v>
          </cell>
          <cell r="G97">
            <v>2.3098181861595655E-2</v>
          </cell>
          <cell r="H97">
            <v>2.7852109380830493E-4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1.061439687812837E-3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 t="str">
            <v/>
          </cell>
          <cell r="B98" t="str">
            <v>Historical Test Year Twelve Months ended September 2005</v>
          </cell>
          <cell r="D98">
            <v>235199421</v>
          </cell>
          <cell r="E98">
            <v>197072195</v>
          </cell>
          <cell r="F98">
            <v>32379389</v>
          </cell>
          <cell r="G98">
            <v>5432679</v>
          </cell>
          <cell r="H98">
            <v>65508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249650</v>
          </cell>
          <cell r="Q98">
            <v>0</v>
          </cell>
          <cell r="R98">
            <v>0</v>
          </cell>
        </row>
        <row r="99">
          <cell r="A99" t="str">
            <v/>
          </cell>
        </row>
        <row r="100">
          <cell r="A100" t="str">
            <v>UG_TFMRC</v>
          </cell>
          <cell r="B100" t="str">
            <v>Allocate Underground Transformers</v>
          </cell>
          <cell r="C100" t="str">
            <v>CUS</v>
          </cell>
          <cell r="E100">
            <v>0.63241112403193611</v>
          </cell>
          <cell r="F100">
            <v>0.17588735914830722</v>
          </cell>
          <cell r="G100">
            <v>0.149112597009986</v>
          </cell>
          <cell r="H100">
            <v>3.9865203927957484E-2</v>
          </cell>
          <cell r="I100">
            <v>0</v>
          </cell>
          <cell r="J100">
            <v>0</v>
          </cell>
          <cell r="K100">
            <v>0</v>
          </cell>
          <cell r="L100">
            <v>2.3679182100649074E-3</v>
          </cell>
          <cell r="M100">
            <v>0</v>
          </cell>
          <cell r="N100">
            <v>0</v>
          </cell>
          <cell r="O100">
            <v>0</v>
          </cell>
          <cell r="P100">
            <v>2.3956549961804866E-4</v>
          </cell>
          <cell r="Q100">
            <v>0</v>
          </cell>
          <cell r="R100">
            <v>1.1623217213027623E-4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/>
          </cell>
          <cell r="B101" t="str">
            <v>Historical Test Year Twelve Months ended September 2005</v>
          </cell>
          <cell r="D101">
            <v>208135145</v>
          </cell>
          <cell r="E101">
            <v>131626981</v>
          </cell>
          <cell r="F101">
            <v>36608341</v>
          </cell>
          <cell r="G101">
            <v>31035572</v>
          </cell>
          <cell r="H101">
            <v>8297350</v>
          </cell>
          <cell r="I101">
            <v>0</v>
          </cell>
          <cell r="J101">
            <v>0</v>
          </cell>
          <cell r="K101">
            <v>0</v>
          </cell>
          <cell r="L101">
            <v>492847</v>
          </cell>
          <cell r="M101">
            <v>0</v>
          </cell>
          <cell r="N101">
            <v>0</v>
          </cell>
          <cell r="O101">
            <v>0</v>
          </cell>
          <cell r="P101">
            <v>49862</v>
          </cell>
          <cell r="Q101">
            <v>0</v>
          </cell>
          <cell r="R101">
            <v>24192</v>
          </cell>
        </row>
        <row r="102">
          <cell r="A102" t="str">
            <v/>
          </cell>
        </row>
        <row r="103">
          <cell r="A103" t="str">
            <v>UG_TFMR</v>
          </cell>
          <cell r="B103" t="str">
            <v>Allocate Underground Transformers</v>
          </cell>
          <cell r="C103" t="str">
            <v>DEM</v>
          </cell>
          <cell r="E103">
            <v>0.63241112403193611</v>
          </cell>
          <cell r="F103">
            <v>0.17588735914830722</v>
          </cell>
          <cell r="G103">
            <v>0.149112597009986</v>
          </cell>
          <cell r="H103">
            <v>3.9865203927957484E-2</v>
          </cell>
          <cell r="I103">
            <v>0</v>
          </cell>
          <cell r="J103">
            <v>0</v>
          </cell>
          <cell r="K103">
            <v>0</v>
          </cell>
          <cell r="L103">
            <v>2.3679182100649074E-3</v>
          </cell>
          <cell r="M103">
            <v>0</v>
          </cell>
          <cell r="N103">
            <v>0</v>
          </cell>
          <cell r="O103">
            <v>0</v>
          </cell>
          <cell r="P103">
            <v>2.3956549961804866E-4</v>
          </cell>
          <cell r="Q103">
            <v>0</v>
          </cell>
          <cell r="R103">
            <v>1.1623217213027623E-4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/>
          </cell>
          <cell r="B104" t="str">
            <v>Historical Test Year Twelve Months ended September 2005</v>
          </cell>
          <cell r="D104">
            <v>208135145</v>
          </cell>
          <cell r="E104">
            <v>131626981</v>
          </cell>
          <cell r="F104">
            <v>36608341</v>
          </cell>
          <cell r="G104">
            <v>31035572</v>
          </cell>
          <cell r="H104">
            <v>8297350</v>
          </cell>
          <cell r="I104">
            <v>0</v>
          </cell>
          <cell r="J104">
            <v>0</v>
          </cell>
          <cell r="K104">
            <v>0</v>
          </cell>
          <cell r="L104">
            <v>492847</v>
          </cell>
          <cell r="M104">
            <v>0</v>
          </cell>
          <cell r="N104">
            <v>0</v>
          </cell>
          <cell r="O104">
            <v>0</v>
          </cell>
          <cell r="P104">
            <v>49862</v>
          </cell>
          <cell r="Q104">
            <v>0</v>
          </cell>
          <cell r="R104">
            <v>24192</v>
          </cell>
        </row>
        <row r="105">
          <cell r="A105" t="str">
            <v/>
          </cell>
        </row>
        <row r="106">
          <cell r="A106" t="str">
            <v>DIR108.09</v>
          </cell>
          <cell r="B106" t="str">
            <v>Dist Accum Depr - Subs &amp; Lines</v>
          </cell>
          <cell r="C106" t="str">
            <v>DEM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5.2637416600764637E-3</v>
          </cell>
          <cell r="J106">
            <v>0</v>
          </cell>
          <cell r="K106">
            <v>0</v>
          </cell>
          <cell r="L106">
            <v>0.44453099339040236</v>
          </cell>
          <cell r="M106">
            <v>0.23934085332917032</v>
          </cell>
          <cell r="N106">
            <v>0</v>
          </cell>
          <cell r="O106">
            <v>0.28983347232394158</v>
          </cell>
          <cell r="P106">
            <v>0</v>
          </cell>
          <cell r="Q106">
            <v>1.9024591142274214E-2</v>
          </cell>
          <cell r="R106">
            <v>2.0063481541350214E-3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/>
          </cell>
          <cell r="B107" t="str">
            <v>Historical Test Year Twelve Months ended September 2005</v>
          </cell>
          <cell r="D107">
            <v>-15399122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-81057</v>
          </cell>
          <cell r="J107">
            <v>0</v>
          </cell>
          <cell r="K107">
            <v>0</v>
          </cell>
          <cell r="L107">
            <v>-6845387</v>
          </cell>
          <cell r="M107">
            <v>-3685639</v>
          </cell>
          <cell r="N107">
            <v>0</v>
          </cell>
          <cell r="O107">
            <v>-4463181</v>
          </cell>
          <cell r="P107">
            <v>0</v>
          </cell>
          <cell r="Q107">
            <v>-292962</v>
          </cell>
          <cell r="R107">
            <v>-30896</v>
          </cell>
        </row>
        <row r="108">
          <cell r="A108" t="str">
            <v/>
          </cell>
        </row>
        <row r="109">
          <cell r="A109" t="str">
            <v>DIR451.06</v>
          </cell>
          <cell r="B109" t="str">
            <v>Acct. Svc. Chgs. Rev.</v>
          </cell>
          <cell r="C109" t="str">
            <v>CUS</v>
          </cell>
          <cell r="E109">
            <v>0.91815628370642788</v>
          </cell>
          <cell r="F109">
            <v>7.8816257864066236E-2</v>
          </cell>
          <cell r="G109">
            <v>2.8095285425570687E-3</v>
          </cell>
          <cell r="H109">
            <v>1.7817240757306358E-4</v>
          </cell>
          <cell r="I109">
            <v>3.9021229757737065E-5</v>
          </cell>
          <cell r="J109">
            <v>0</v>
          </cell>
          <cell r="K109">
            <v>0</v>
          </cell>
          <cell r="L109">
            <v>0</v>
          </cell>
          <cell r="M109">
            <v>4.4174977084230635E-6</v>
          </cell>
          <cell r="N109">
            <v>0</v>
          </cell>
          <cell r="O109">
            <v>0</v>
          </cell>
          <cell r="P109">
            <v>-3.6812480903525531E-6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 t="str">
            <v/>
          </cell>
          <cell r="B110" t="str">
            <v>Historical Test Year Twelve Months ended September 2005</v>
          </cell>
          <cell r="D110">
            <v>1358235</v>
          </cell>
          <cell r="E110">
            <v>1247072</v>
          </cell>
          <cell r="F110">
            <v>107051</v>
          </cell>
          <cell r="G110">
            <v>3816</v>
          </cell>
          <cell r="H110">
            <v>242</v>
          </cell>
          <cell r="I110">
            <v>53</v>
          </cell>
          <cell r="J110">
            <v>0</v>
          </cell>
          <cell r="K110">
            <v>0</v>
          </cell>
          <cell r="L110">
            <v>0</v>
          </cell>
          <cell r="M110">
            <v>6</v>
          </cell>
          <cell r="N110">
            <v>0</v>
          </cell>
          <cell r="O110">
            <v>0</v>
          </cell>
          <cell r="P110">
            <v>-5</v>
          </cell>
          <cell r="Q110">
            <v>0</v>
          </cell>
          <cell r="R110">
            <v>0</v>
          </cell>
        </row>
        <row r="111">
          <cell r="A111" t="str">
            <v/>
          </cell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/>
          </cell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/>
          </cell>
        </row>
        <row r="115">
          <cell r="A115" t="str">
            <v>DEM_1A</v>
          </cell>
          <cell r="B115" t="str">
            <v>200 CP Demand Excl. Interruptible</v>
          </cell>
          <cell r="C115" t="str">
            <v>DEM</v>
          </cell>
          <cell r="E115">
            <v>0.55501262252979222</v>
          </cell>
          <cell r="F115">
            <v>0.11227872654301817</v>
          </cell>
          <cell r="G115">
            <v>0.11965556518921859</v>
          </cell>
          <cell r="H115">
            <v>6.6026286390319502E-2</v>
          </cell>
          <cell r="I115">
            <v>4.6979481955364506E-2</v>
          </cell>
          <cell r="J115">
            <v>7.4593892202377206E-7</v>
          </cell>
          <cell r="K115">
            <v>0</v>
          </cell>
          <cell r="L115">
            <v>1.5916844718143249E-2</v>
          </cell>
          <cell r="M115">
            <v>1.3775005426705659E-2</v>
          </cell>
          <cell r="N115">
            <v>3.466378170644469E-3</v>
          </cell>
          <cell r="O115">
            <v>5.8868256494579385E-2</v>
          </cell>
          <cell r="P115">
            <v>3.4430054177543908E-3</v>
          </cell>
          <cell r="Q115">
            <v>4.1993874846864955E-3</v>
          </cell>
          <cell r="R115">
            <v>3.7769374085136991E-4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A116" t="str">
            <v/>
          </cell>
          <cell r="B116" t="str">
            <v>Historical Test Year Twelve Months ended September 2005</v>
          </cell>
          <cell r="D116">
            <v>4021777</v>
          </cell>
          <cell r="E116">
            <v>2232137</v>
          </cell>
          <cell r="F116">
            <v>451560</v>
          </cell>
          <cell r="G116">
            <v>481228</v>
          </cell>
          <cell r="H116">
            <v>265543</v>
          </cell>
          <cell r="I116">
            <v>188941</v>
          </cell>
          <cell r="J116">
            <v>3</v>
          </cell>
          <cell r="K116">
            <v>0</v>
          </cell>
          <cell r="L116">
            <v>64014</v>
          </cell>
          <cell r="M116">
            <v>55400</v>
          </cell>
          <cell r="N116">
            <v>13941</v>
          </cell>
          <cell r="O116">
            <v>236755</v>
          </cell>
          <cell r="P116">
            <v>13847</v>
          </cell>
          <cell r="Q116">
            <v>16889</v>
          </cell>
          <cell r="R116">
            <v>1519</v>
          </cell>
        </row>
        <row r="117">
          <cell r="A117" t="str">
            <v/>
          </cell>
        </row>
        <row r="118">
          <cell r="A118" t="str">
            <v>DEM_12CP</v>
          </cell>
          <cell r="B118" t="str">
            <v>12 Monthly CP Demand</v>
          </cell>
          <cell r="C118" t="str">
            <v>DEM</v>
          </cell>
          <cell r="E118">
            <v>0.52186887011442418</v>
          </cell>
          <cell r="F118">
            <v>0.11015252524075382</v>
          </cell>
          <cell r="G118">
            <v>0.13078093354233808</v>
          </cell>
          <cell r="H118">
            <v>6.9672550184117818E-2</v>
          </cell>
          <cell r="I118">
            <v>5.2520689205552536E-2</v>
          </cell>
          <cell r="J118">
            <v>8.7952623439857886E-7</v>
          </cell>
          <cell r="K118">
            <v>1.7700025704154201E-2</v>
          </cell>
          <cell r="L118">
            <v>1.6314991766535038E-2</v>
          </cell>
          <cell r="M118">
            <v>1.4606512056215798E-2</v>
          </cell>
          <cell r="N118">
            <v>3.3690252408637563E-3</v>
          </cell>
          <cell r="O118">
            <v>5.4951919598988812E-2</v>
          </cell>
          <cell r="P118">
            <v>3.8584815903065653E-3</v>
          </cell>
          <cell r="Q118">
            <v>3.8844276142213237E-3</v>
          </cell>
          <cell r="R118">
            <v>3.1816861529368592E-4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/>
          </cell>
          <cell r="B119" t="str">
            <v>Historical Test Year Twelve Months ended September 2005</v>
          </cell>
          <cell r="D119">
            <v>4547903</v>
          </cell>
          <cell r="E119">
            <v>2373409</v>
          </cell>
          <cell r="F119">
            <v>500963</v>
          </cell>
          <cell r="G119">
            <v>594779</v>
          </cell>
          <cell r="H119">
            <v>316864</v>
          </cell>
          <cell r="I119">
            <v>238859</v>
          </cell>
          <cell r="J119">
            <v>4</v>
          </cell>
          <cell r="K119">
            <v>80498</v>
          </cell>
          <cell r="L119">
            <v>74199</v>
          </cell>
          <cell r="M119">
            <v>66429</v>
          </cell>
          <cell r="N119">
            <v>15322</v>
          </cell>
          <cell r="O119">
            <v>249916</v>
          </cell>
          <cell r="P119">
            <v>17548</v>
          </cell>
          <cell r="Q119">
            <v>17666</v>
          </cell>
          <cell r="R119">
            <v>1447</v>
          </cell>
        </row>
        <row r="120">
          <cell r="A120" t="str">
            <v/>
          </cell>
        </row>
        <row r="121">
          <cell r="A121" t="str">
            <v>BPAX</v>
          </cell>
          <cell r="B121" t="str">
            <v>BPA Residential Exchange kWh</v>
          </cell>
          <cell r="C121" t="str">
            <v>NRG</v>
          </cell>
          <cell r="E121">
            <v>0.95103584675056285</v>
          </cell>
          <cell r="F121">
            <v>2.5916994088286835E-2</v>
          </cell>
          <cell r="G121">
            <v>1.7676337029349256E-2</v>
          </cell>
          <cell r="H121">
            <v>1.9693832800008583E-3</v>
          </cell>
          <cell r="I121">
            <v>2.6419381960398379E-3</v>
          </cell>
          <cell r="J121">
            <v>5.5009468573624372E-4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2.094059700241021E-4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/>
          </cell>
          <cell r="B122" t="str">
            <v>Historical Test Year Twelve Months ended September 2005</v>
          </cell>
          <cell r="D122">
            <v>10675980249</v>
          </cell>
          <cell r="E122">
            <v>10153239916</v>
          </cell>
          <cell r="F122">
            <v>276689317</v>
          </cell>
          <cell r="G122">
            <v>188712225</v>
          </cell>
          <cell r="H122">
            <v>21025097</v>
          </cell>
          <cell r="I122">
            <v>28205280</v>
          </cell>
          <cell r="J122">
            <v>5872800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2235614</v>
          </cell>
          <cell r="Q122">
            <v>0</v>
          </cell>
          <cell r="R122">
            <v>0</v>
          </cell>
        </row>
        <row r="123">
          <cell r="A123" t="str">
            <v/>
          </cell>
        </row>
        <row r="124">
          <cell r="A124" t="str">
            <v>DIR_RESALE</v>
          </cell>
          <cell r="B124" t="str">
            <v>Firm Resale Allocation Only Excise Tax</v>
          </cell>
          <cell r="C124" t="str">
            <v>CUS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0.69679229155294187</v>
          </cell>
          <cell r="R124">
            <v>0.30320770844705813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/>
          </cell>
          <cell r="B125" t="str">
            <v>Historical Test Year Twelve Months ended September 2005</v>
          </cell>
          <cell r="D125">
            <v>38525.01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26843.93</v>
          </cell>
          <cell r="R125">
            <v>11681.08</v>
          </cell>
        </row>
        <row r="126">
          <cell r="A126" t="str">
            <v/>
          </cell>
        </row>
        <row r="127">
          <cell r="A127" t="str">
            <v>DIR_449</v>
          </cell>
          <cell r="B127" t="str">
            <v>Schedule 449 / 459 Allocation Only</v>
          </cell>
          <cell r="C127" t="str">
            <v>CUS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0.14067913540845697</v>
          </cell>
          <cell r="O127">
            <v>0.859320864591543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A128" t="str">
            <v/>
          </cell>
          <cell r="B128" t="str">
            <v>Historical Test Year Twelve Months ended September 2005</v>
          </cell>
          <cell r="D128">
            <v>6311142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887846</v>
          </cell>
          <cell r="O128">
            <v>5423296</v>
          </cell>
          <cell r="P128">
            <v>0</v>
          </cell>
          <cell r="Q128">
            <v>0</v>
          </cell>
          <cell r="R128">
            <v>0</v>
          </cell>
        </row>
        <row r="129">
          <cell r="A129" t="str">
            <v/>
          </cell>
        </row>
        <row r="130">
          <cell r="A130" t="str">
            <v>DEM_12NCP2</v>
          </cell>
          <cell r="B130" t="str">
            <v>Dist 12 NCP Dem, Excl Dir Assn Transf (No HV, PRI &amp; FR)</v>
          </cell>
          <cell r="C130" t="str">
            <v>DEM</v>
          </cell>
          <cell r="E130">
            <v>0.61690246298523865</v>
          </cell>
          <cell r="F130">
            <v>0.13414853646184971</v>
          </cell>
          <cell r="G130">
            <v>0.15568045398670377</v>
          </cell>
          <cell r="H130">
            <v>8.7402937885279586E-2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5.8656086809282873E-3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A131" t="str">
            <v/>
          </cell>
          <cell r="B131" t="str">
            <v>Historical Test Year Twelve Months ended September 2005</v>
          </cell>
          <cell r="D131">
            <v>4172457</v>
          </cell>
          <cell r="E131">
            <v>2573999</v>
          </cell>
          <cell r="F131">
            <v>559729</v>
          </cell>
          <cell r="G131">
            <v>649570</v>
          </cell>
          <cell r="H131">
            <v>364685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24474</v>
          </cell>
          <cell r="Q131">
            <v>0</v>
          </cell>
          <cell r="R131">
            <v>0</v>
          </cell>
        </row>
        <row r="132">
          <cell r="A132" t="str">
            <v/>
          </cell>
        </row>
        <row r="133">
          <cell r="A133" t="str">
            <v>DIR451.07</v>
          </cell>
          <cell r="B133" t="str">
            <v>NSF Check Charge Revenue</v>
          </cell>
          <cell r="C133" t="str">
            <v>CUS</v>
          </cell>
          <cell r="E133">
            <v>0.94412098369570308</v>
          </cell>
          <cell r="F133">
            <v>5.2278757535697877E-2</v>
          </cell>
          <cell r="G133">
            <v>3.3752425955615559E-3</v>
          </cell>
          <cell r="H133">
            <v>7.5005391012479019E-5</v>
          </cell>
          <cell r="I133">
            <v>7.5005391012479019E-5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7.5005391012479019E-5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 t="str">
            <v/>
          </cell>
          <cell r="B134" t="str">
            <v>Historical Test Year Twelve Months ended September 2005</v>
          </cell>
          <cell r="D134">
            <v>213318</v>
          </cell>
          <cell r="E134">
            <v>201398</v>
          </cell>
          <cell r="F134">
            <v>11152</v>
          </cell>
          <cell r="G134">
            <v>720</v>
          </cell>
          <cell r="H134">
            <v>16</v>
          </cell>
          <cell r="I134">
            <v>16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16</v>
          </cell>
          <cell r="Q134">
            <v>0</v>
          </cell>
          <cell r="R134">
            <v>0</v>
          </cell>
        </row>
        <row r="135">
          <cell r="A135" t="str">
            <v/>
          </cell>
        </row>
        <row r="136">
          <cell r="A136" t="str">
            <v>DIR451.03</v>
          </cell>
          <cell r="B136" t="str">
            <v>Connect/Reconnect Revenue</v>
          </cell>
          <cell r="C136" t="str">
            <v>CUS</v>
          </cell>
          <cell r="E136">
            <v>0.97374060348969105</v>
          </cell>
          <cell r="F136">
            <v>2.5135104425604356E-2</v>
          </cell>
          <cell r="G136">
            <v>1.0505353344669281E-3</v>
          </cell>
          <cell r="H136">
            <v>0</v>
          </cell>
          <cell r="I136">
            <v>7.3756750237716017E-5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 t="str">
            <v/>
          </cell>
          <cell r="B137" t="str">
            <v>Historical Test Year Twelve Months ended September 2005</v>
          </cell>
          <cell r="D137">
            <v>1003298</v>
          </cell>
          <cell r="E137">
            <v>976952</v>
          </cell>
          <cell r="F137">
            <v>25218</v>
          </cell>
          <cell r="G137">
            <v>1054</v>
          </cell>
          <cell r="H137">
            <v>0</v>
          </cell>
          <cell r="I137">
            <v>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 t="str">
            <v/>
          </cell>
        </row>
        <row r="139">
          <cell r="A139" t="str">
            <v>DEM_12NCP1</v>
          </cell>
          <cell r="B139" t="str">
            <v>12 NCP Distribution Demand (No HV, LFR, Trans)</v>
          </cell>
          <cell r="C139" t="str">
            <v>DEM</v>
          </cell>
          <cell r="E139">
            <v>0.5716406604117813</v>
          </cell>
          <cell r="F139">
            <v>0.12430613034877867</v>
          </cell>
          <cell r="G139">
            <v>0.14425826264255767</v>
          </cell>
          <cell r="H139">
            <v>8.0990231248058167E-2</v>
          </cell>
          <cell r="I139">
            <v>5.4799573690039613E-2</v>
          </cell>
          <cell r="J139">
            <v>4.5771245486446628E-4</v>
          </cell>
          <cell r="K139">
            <v>1.7697770756016164E-2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5.4352521205011869E-3</v>
          </cell>
          <cell r="Q139">
            <v>0</v>
          </cell>
          <cell r="R139">
            <v>4.1440632740276275E-4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 t="str">
            <v/>
          </cell>
          <cell r="B140" t="str">
            <v>Historical Test Year Twelve Months ended September 2005</v>
          </cell>
          <cell r="D140">
            <v>4502827</v>
          </cell>
          <cell r="E140">
            <v>2573999</v>
          </cell>
          <cell r="F140">
            <v>559729</v>
          </cell>
          <cell r="G140">
            <v>649570</v>
          </cell>
          <cell r="H140">
            <v>364685</v>
          </cell>
          <cell r="I140">
            <v>246753</v>
          </cell>
          <cell r="J140">
            <v>2061</v>
          </cell>
          <cell r="K140">
            <v>79690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24474</v>
          </cell>
          <cell r="Q140">
            <v>0</v>
          </cell>
          <cell r="R140">
            <v>1866</v>
          </cell>
        </row>
        <row r="141">
          <cell r="A141" t="str">
            <v/>
          </cell>
        </row>
        <row r="142">
          <cell r="A142" t="str">
            <v>OH_SVC</v>
          </cell>
          <cell r="B142" t="str">
            <v>Dist OH Services</v>
          </cell>
          <cell r="C142" t="str">
            <v>CUS</v>
          </cell>
          <cell r="E142">
            <v>0.86817585956139687</v>
          </cell>
          <cell r="F142">
            <v>0.12612575364387879</v>
          </cell>
          <cell r="G142">
            <v>5.6351524555596361E-3</v>
          </cell>
          <cell r="H142">
            <v>6.3234339164674384E-5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A143" t="str">
            <v/>
          </cell>
          <cell r="B143" t="str">
            <v>Historical Test Year Twelve Months ended September 2005</v>
          </cell>
          <cell r="D143">
            <v>411169</v>
          </cell>
          <cell r="E143">
            <v>356967</v>
          </cell>
          <cell r="F143">
            <v>51859</v>
          </cell>
          <cell r="G143">
            <v>2317</v>
          </cell>
          <cell r="H143">
            <v>26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/>
          </cell>
        </row>
        <row r="145">
          <cell r="A145" t="str">
            <v>ENERGY_2</v>
          </cell>
          <cell r="B145" t="str">
            <v>Energy - NO RETAIL WHEELING</v>
          </cell>
          <cell r="C145" t="str">
            <v>NRG</v>
          </cell>
          <cell r="E145">
            <v>0.50898010759620138</v>
          </cell>
          <cell r="F145">
            <v>0.1233295607610793</v>
          </cell>
          <cell r="G145">
            <v>0.14667595726803034</v>
          </cell>
          <cell r="H145">
            <v>9.4776894694337671E-2</v>
          </cell>
          <cell r="I145">
            <v>6.6524014882480942E-2</v>
          </cell>
          <cell r="J145">
            <v>2.7153137999111706E-4</v>
          </cell>
          <cell r="K145">
            <v>8.2255229292589604E-3</v>
          </cell>
          <cell r="L145">
            <v>2.4333806121729022E-2</v>
          </cell>
          <cell r="M145">
            <v>2.2351074030810918E-2</v>
          </cell>
          <cell r="N145">
            <v>0</v>
          </cell>
          <cell r="O145">
            <v>0</v>
          </cell>
          <cell r="P145">
            <v>4.1762290459519116E-3</v>
          </cell>
          <cell r="Q145">
            <v>0</v>
          </cell>
          <cell r="R145">
            <v>3.5530129012848063E-4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 t="str">
            <v/>
          </cell>
          <cell r="B146" t="str">
            <v>Historical Test Year Twelve Months ended September 2005</v>
          </cell>
          <cell r="D146">
            <v>21759006271</v>
          </cell>
          <cell r="E146">
            <v>11074901353</v>
          </cell>
          <cell r="F146">
            <v>2683528686</v>
          </cell>
          <cell r="G146">
            <v>3191523074</v>
          </cell>
          <cell r="H146">
            <v>2062251046</v>
          </cell>
          <cell r="I146">
            <v>1447496457</v>
          </cell>
          <cell r="J146">
            <v>5908253</v>
          </cell>
          <cell r="K146">
            <v>178979205</v>
          </cell>
          <cell r="L146">
            <v>529479440</v>
          </cell>
          <cell r="M146">
            <v>486337160</v>
          </cell>
          <cell r="N146">
            <v>0</v>
          </cell>
          <cell r="O146">
            <v>0</v>
          </cell>
          <cell r="P146">
            <v>90870594</v>
          </cell>
          <cell r="Q146">
            <v>0</v>
          </cell>
          <cell r="R146">
            <v>7731003</v>
          </cell>
        </row>
        <row r="147">
          <cell r="A147" t="str">
            <v/>
          </cell>
        </row>
        <row r="148">
          <cell r="A148" t="str">
            <v>DEM_2A</v>
          </cell>
          <cell r="B148" t="str">
            <v>200 CP Demand - NO RETAIL WHEELING &amp; INTERRUPT</v>
          </cell>
          <cell r="C148" t="str">
            <v>DEM</v>
          </cell>
          <cell r="E148">
            <v>0.59457188124635074</v>
          </cell>
          <cell r="F148">
            <v>0.12028154127439407</v>
          </cell>
          <cell r="G148">
            <v>0.12818417385152384</v>
          </cell>
          <cell r="H148">
            <v>7.0732397277496722E-2</v>
          </cell>
          <cell r="I148">
            <v>5.0328006665615398E-2</v>
          </cell>
          <cell r="J148">
            <v>7.9910670525108997E-7</v>
          </cell>
          <cell r="K148">
            <v>0</v>
          </cell>
          <cell r="L148">
            <v>1.7051338876647757E-2</v>
          </cell>
          <cell r="M148">
            <v>1.4756837156970128E-2</v>
          </cell>
          <cell r="N148">
            <v>0</v>
          </cell>
          <cell r="O148">
            <v>0</v>
          </cell>
          <cell r="P148">
            <v>3.6884101825372809E-3</v>
          </cell>
          <cell r="Q148">
            <v>0</v>
          </cell>
          <cell r="R148">
            <v>4.0461436175880187E-4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 t="str">
            <v/>
          </cell>
          <cell r="B149" t="str">
            <v>Historical Test Year Twelve Months ended September 2005</v>
          </cell>
          <cell r="D149">
            <v>3754192</v>
          </cell>
          <cell r="E149">
            <v>2232137</v>
          </cell>
          <cell r="F149">
            <v>451560</v>
          </cell>
          <cell r="G149">
            <v>481228</v>
          </cell>
          <cell r="H149">
            <v>265543</v>
          </cell>
          <cell r="I149">
            <v>188941</v>
          </cell>
          <cell r="J149">
            <v>3</v>
          </cell>
          <cell r="K149">
            <v>0</v>
          </cell>
          <cell r="L149">
            <v>64014</v>
          </cell>
          <cell r="M149">
            <v>55400</v>
          </cell>
          <cell r="N149">
            <v>0</v>
          </cell>
          <cell r="O149">
            <v>0</v>
          </cell>
          <cell r="P149">
            <v>13847</v>
          </cell>
          <cell r="Q149">
            <v>0</v>
          </cell>
          <cell r="R149">
            <v>1519</v>
          </cell>
        </row>
        <row r="150">
          <cell r="A150" t="str">
            <v/>
          </cell>
        </row>
        <row r="151">
          <cell r="A151" t="str">
            <v>DIR_RESALE_SMALL</v>
          </cell>
          <cell r="B151" t="str">
            <v>Small Firm Resale Allocation Only</v>
          </cell>
          <cell r="C151" t="str">
            <v>CUS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 t="str">
            <v/>
          </cell>
          <cell r="B152" t="str">
            <v>Historical Test Year Twelve Months ended September 2005</v>
          </cell>
          <cell r="D152">
            <v>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</row>
        <row r="153">
          <cell r="A153" t="str">
            <v/>
          </cell>
        </row>
        <row r="154">
          <cell r="A154" t="str">
            <v>DIR_RESALE_LARGE</v>
          </cell>
          <cell r="B154" t="str">
            <v>Large Firm Resale Allocation Only</v>
          </cell>
          <cell r="C154" t="str">
            <v>CUS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 t="str">
            <v/>
          </cell>
          <cell r="B155" t="str">
            <v>Historical Test Year Twelve Months ended September 2005</v>
          </cell>
          <cell r="D155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0</v>
          </cell>
        </row>
        <row r="156">
          <cell r="A156" t="str">
            <v/>
          </cell>
        </row>
        <row r="157">
          <cell r="A157" t="str">
            <v>DIR_449_HV</v>
          </cell>
          <cell r="B157" t="str">
            <v>Schedule 449 / 459 HV Allocation Only</v>
          </cell>
          <cell r="C157" t="str">
            <v>DEM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 t="str">
            <v/>
          </cell>
          <cell r="B158" t="str">
            <v>Historical Test Year Twelve Months ended September 2005</v>
          </cell>
          <cell r="D158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0</v>
          </cell>
          <cell r="Q158">
            <v>0</v>
          </cell>
          <cell r="R158">
            <v>0</v>
          </cell>
        </row>
        <row r="159">
          <cell r="A159" t="str">
            <v/>
          </cell>
        </row>
        <row r="160">
          <cell r="A160" t="str">
            <v>DIR_449_ENERGY</v>
          </cell>
          <cell r="B160" t="str">
            <v>Schedule 449 / 459 Energy Allocation</v>
          </cell>
          <cell r="C160" t="str">
            <v>NRG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5.7713334870122673E-2</v>
          </cell>
          <cell r="O160">
            <v>0.94228666512987735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A161" t="str">
            <v/>
          </cell>
          <cell r="B161" t="str">
            <v>Historical Test Year Twelve Months ended September 2005</v>
          </cell>
          <cell r="D161">
            <v>2086458169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120416459</v>
          </cell>
          <cell r="O161">
            <v>1966041710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 t="str">
            <v/>
          </cell>
        </row>
        <row r="163">
          <cell r="A163" t="str">
            <v>ANCIL</v>
          </cell>
          <cell r="B163" t="str">
            <v>Transportation Ancillary Exp</v>
          </cell>
          <cell r="C163" t="str">
            <v>DEM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4.3665730453056086E-2</v>
          </cell>
          <cell r="O163">
            <v>0.83479950857140728</v>
          </cell>
          <cell r="P163">
            <v>0</v>
          </cell>
          <cell r="Q163">
            <v>0.1215347609755366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A164" t="str">
            <v/>
          </cell>
          <cell r="B164" t="str">
            <v>Historical Test Year Twelve Months ended September 2005</v>
          </cell>
          <cell r="D164">
            <v>972438.33000000007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42462.23</v>
          </cell>
          <cell r="O164">
            <v>811791.04</v>
          </cell>
          <cell r="P164">
            <v>0</v>
          </cell>
          <cell r="Q164">
            <v>118185.06</v>
          </cell>
          <cell r="R164">
            <v>0</v>
          </cell>
        </row>
        <row r="165">
          <cell r="A165" t="str">
            <v/>
          </cell>
        </row>
        <row r="166">
          <cell r="A166" t="str">
            <v>DIR_449_OATT</v>
          </cell>
          <cell r="B166" t="str">
            <v>Transportation OATT Revenue</v>
          </cell>
          <cell r="C166" t="str">
            <v>CUS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5.221404014033313E-2</v>
          </cell>
          <cell r="O166">
            <v>0.94778595985966685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A167" t="str">
            <v/>
          </cell>
          <cell r="B167" t="str">
            <v>Historical Test Year Twelve Months ended September 2005</v>
          </cell>
          <cell r="D167">
            <v>1980000.01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103383.8</v>
          </cell>
          <cell r="O167">
            <v>1876616.21</v>
          </cell>
          <cell r="P167">
            <v>0</v>
          </cell>
          <cell r="Q167">
            <v>0</v>
          </cell>
          <cell r="R167">
            <v>0</v>
          </cell>
        </row>
        <row r="168">
          <cell r="A168" t="str">
            <v/>
          </cell>
        </row>
        <row r="169">
          <cell r="A169" t="str">
            <v>PROFORMA_RETAIL_TAX</v>
          </cell>
          <cell r="B169" t="str">
            <v>Proforma State Revenue</v>
          </cell>
          <cell r="C169" t="str">
            <v>CUS</v>
          </cell>
          <cell r="E169">
            <v>0.54092150046203558</v>
          </cell>
          <cell r="F169">
            <v>0.12249088134783567</v>
          </cell>
          <cell r="G169">
            <v>0.1416510447791175</v>
          </cell>
          <cell r="H169">
            <v>8.3147024764694571E-2</v>
          </cell>
          <cell r="I169">
            <v>5.4260636948874966E-2</v>
          </cell>
          <cell r="J169">
            <v>1.6324643714081197E-4</v>
          </cell>
          <cell r="K169">
            <v>7.5261119644420074E-3</v>
          </cell>
          <cell r="L169">
            <v>1.9853725460204634E-2</v>
          </cell>
          <cell r="M169">
            <v>1.7585965882574675E-2</v>
          </cell>
          <cell r="N169">
            <v>5.4983117187038639E-4</v>
          </cell>
          <cell r="O169">
            <v>3.3585747923400894E-3</v>
          </cell>
          <cell r="P169">
            <v>8.491455988869169E-3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 t="str">
            <v/>
          </cell>
          <cell r="B170" t="str">
            <v>Historical Test Year Twelve Months ended September 2005</v>
          </cell>
          <cell r="D170">
            <v>1614761122</v>
          </cell>
          <cell r="E170">
            <v>873459009</v>
          </cell>
          <cell r="F170">
            <v>197793513</v>
          </cell>
          <cell r="G170">
            <v>228732600</v>
          </cell>
          <cell r="H170">
            <v>134262583</v>
          </cell>
          <cell r="I170">
            <v>87617967</v>
          </cell>
          <cell r="J170">
            <v>263604</v>
          </cell>
          <cell r="K170">
            <v>12152873</v>
          </cell>
          <cell r="L170">
            <v>32059024</v>
          </cell>
          <cell r="M170">
            <v>28397134</v>
          </cell>
          <cell r="N170">
            <v>887846</v>
          </cell>
          <cell r="O170">
            <v>5423296</v>
          </cell>
          <cell r="P170">
            <v>13711673</v>
          </cell>
          <cell r="Q170">
            <v>0</v>
          </cell>
          <cell r="R170">
            <v>0</v>
          </cell>
        </row>
        <row r="171">
          <cell r="A171" t="str">
            <v/>
          </cell>
        </row>
        <row r="172">
          <cell r="A172" t="str">
            <v>DIR908.01</v>
          </cell>
          <cell r="B172" t="str">
            <v>Direct Assign A/C 908</v>
          </cell>
          <cell r="C172" t="str">
            <v>CUS</v>
          </cell>
          <cell r="E172">
            <v>0.88217227295718714</v>
          </cell>
          <cell r="F172">
            <v>0.10607200646231199</v>
          </cell>
          <cell r="G172">
            <v>7.9520661531376682E-3</v>
          </cell>
          <cell r="H172">
            <v>7.0587169492250512E-4</v>
          </cell>
          <cell r="I172">
            <v>4.8064703647129583E-4</v>
          </cell>
          <cell r="J172">
            <v>2.5164766307397686E-5</v>
          </cell>
          <cell r="K172">
            <v>1.9502693888233207E-4</v>
          </cell>
          <cell r="L172">
            <v>6.291191576849422E-5</v>
          </cell>
          <cell r="M172">
            <v>1.6357098099808495E-5</v>
          </cell>
          <cell r="N172">
            <v>1.2582383153698843E-6</v>
          </cell>
          <cell r="O172">
            <v>1.2582383153698843E-5</v>
          </cell>
          <cell r="P172">
            <v>2.2950266872346688E-3</v>
          </cell>
          <cell r="Q172">
            <v>1.2582383153698843E-6</v>
          </cell>
          <cell r="R172">
            <v>7.5494298922193058E-6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A173" t="str">
            <v/>
          </cell>
          <cell r="B173" t="str">
            <v>Historical Test Year Twelve Months ended September 2005</v>
          </cell>
          <cell r="D173">
            <v>794762</v>
          </cell>
          <cell r="E173">
            <v>701117</v>
          </cell>
          <cell r="F173">
            <v>84302</v>
          </cell>
          <cell r="G173">
            <v>6320</v>
          </cell>
          <cell r="H173">
            <v>561</v>
          </cell>
          <cell r="I173">
            <v>382</v>
          </cell>
          <cell r="J173">
            <v>20</v>
          </cell>
          <cell r="K173">
            <v>155</v>
          </cell>
          <cell r="L173">
            <v>50</v>
          </cell>
          <cell r="M173">
            <v>13</v>
          </cell>
          <cell r="N173">
            <v>1</v>
          </cell>
          <cell r="O173">
            <v>10</v>
          </cell>
          <cell r="P173">
            <v>1824</v>
          </cell>
          <cell r="Q173">
            <v>1</v>
          </cell>
          <cell r="R173">
            <v>6</v>
          </cell>
        </row>
        <row r="174">
          <cell r="A174" t="str">
            <v/>
          </cell>
        </row>
        <row r="175">
          <cell r="A175" t="str">
            <v>DIR556.01</v>
          </cell>
          <cell r="B175" t="str">
            <v>Direct Assign A/C 556</v>
          </cell>
          <cell r="C175" t="str">
            <v>DEM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0.11109005936592144</v>
          </cell>
          <cell r="O175">
            <v>0.83333333333333337</v>
          </cell>
          <cell r="P175">
            <v>0</v>
          </cell>
          <cell r="Q175">
            <v>5.5576607300745234E-2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 t="str">
            <v/>
          </cell>
          <cell r="B176" t="str">
            <v>Historical Test Year Twelve Months ended September 2005</v>
          </cell>
          <cell r="D176">
            <v>15834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1759</v>
          </cell>
          <cell r="O176">
            <v>13195</v>
          </cell>
          <cell r="P176">
            <v>0</v>
          </cell>
          <cell r="Q176">
            <v>880</v>
          </cell>
          <cell r="R176">
            <v>0</v>
          </cell>
        </row>
        <row r="177">
          <cell r="A177" t="str">
            <v/>
          </cell>
        </row>
        <row r="178">
          <cell r="A178" t="str">
            <v>DIR565.02</v>
          </cell>
          <cell r="B178" t="str">
            <v>Direct Assign A/C 565.02</v>
          </cell>
          <cell r="C178" t="str">
            <v>DEM</v>
          </cell>
          <cell r="E178">
            <v>1.5088871187966442E-7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0.11111444742818488</v>
          </cell>
          <cell r="O178">
            <v>0.83332817796901071</v>
          </cell>
          <cell r="P178">
            <v>0</v>
          </cell>
          <cell r="Q178">
            <v>5.5557223714092441E-2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 t="str">
            <v/>
          </cell>
          <cell r="B179" t="str">
            <v>Historical Test Year Twelve Months ended September 2005</v>
          </cell>
          <cell r="D179">
            <v>66274.010000000009</v>
          </cell>
          <cell r="E179">
            <v>0.01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7364</v>
          </cell>
          <cell r="O179">
            <v>55228</v>
          </cell>
          <cell r="P179">
            <v>0</v>
          </cell>
          <cell r="Q179">
            <v>3682</v>
          </cell>
          <cell r="R179">
            <v>0</v>
          </cell>
        </row>
        <row r="180">
          <cell r="A180" t="str">
            <v/>
          </cell>
        </row>
        <row r="181">
          <cell r="A181" t="str">
            <v>DIR920.01</v>
          </cell>
          <cell r="B181" t="str">
            <v>Direct Assign A/C 920.01</v>
          </cell>
          <cell r="C181" t="str">
            <v>CUS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0.10921295592292486</v>
          </cell>
          <cell r="M181">
            <v>0.45245801924706192</v>
          </cell>
          <cell r="N181">
            <v>4.8704190472052655E-2</v>
          </cell>
          <cell r="O181">
            <v>0.36527273912193425</v>
          </cell>
          <cell r="P181">
            <v>0</v>
          </cell>
          <cell r="Q181">
            <v>2.4352095236026328E-2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 t="str">
            <v/>
          </cell>
          <cell r="B182" t="str">
            <v>Historical Test Year Twelve Months ended September 2005</v>
          </cell>
          <cell r="D182">
            <v>230165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25137</v>
          </cell>
          <cell r="M182">
            <v>104140</v>
          </cell>
          <cell r="N182">
            <v>11210</v>
          </cell>
          <cell r="O182">
            <v>84073</v>
          </cell>
          <cell r="P182">
            <v>0</v>
          </cell>
          <cell r="Q182">
            <v>5605</v>
          </cell>
          <cell r="R182">
            <v>0</v>
          </cell>
        </row>
        <row r="183">
          <cell r="A183" t="str">
            <v/>
          </cell>
        </row>
        <row r="184">
          <cell r="A184" t="str">
            <v>DIR450.02</v>
          </cell>
          <cell r="B184" t="str">
            <v>Direct Assign  Disconnect Call - A/C 450.02</v>
          </cell>
          <cell r="C184" t="str">
            <v>CUS</v>
          </cell>
          <cell r="E184">
            <v>0.89279790505829737</v>
          </cell>
          <cell r="F184">
            <v>0.10206489531398476</v>
          </cell>
          <cell r="G184">
            <v>4.1527529087591331E-3</v>
          </cell>
          <cell r="H184">
            <v>3.175634577286396E-5</v>
          </cell>
          <cell r="I184">
            <v>2.222944204100477E-4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7.3039595277587101E-4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 t="str">
            <v/>
          </cell>
          <cell r="B185" t="str">
            <v>Historical Test Year Twelve Months ended September 2005</v>
          </cell>
          <cell r="D185">
            <v>409367</v>
          </cell>
          <cell r="E185">
            <v>365482</v>
          </cell>
          <cell r="F185">
            <v>41782</v>
          </cell>
          <cell r="G185">
            <v>1700</v>
          </cell>
          <cell r="H185">
            <v>13</v>
          </cell>
          <cell r="I185">
            <v>91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299</v>
          </cell>
          <cell r="Q185">
            <v>0</v>
          </cell>
          <cell r="R185">
            <v>0</v>
          </cell>
        </row>
        <row r="186">
          <cell r="A186" t="str">
            <v/>
          </cell>
        </row>
        <row r="187">
          <cell r="A187" t="str">
            <v>DEM_12NCP_P</v>
          </cell>
          <cell r="B187" t="str">
            <v>12 NCP Distribution Demand (No HV)</v>
          </cell>
          <cell r="C187" t="str">
            <v>DMP</v>
          </cell>
          <cell r="E187">
            <v>0.5716406604117813</v>
          </cell>
          <cell r="F187">
            <v>0.12430613034877867</v>
          </cell>
          <cell r="G187">
            <v>0.14425826264255767</v>
          </cell>
          <cell r="H187">
            <v>8.0990231248058167E-2</v>
          </cell>
          <cell r="I187">
            <v>5.4799573690039613E-2</v>
          </cell>
          <cell r="J187">
            <v>4.5771245486446628E-4</v>
          </cell>
          <cell r="K187">
            <v>1.7697770756016164E-2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5.4352521205011869E-3</v>
          </cell>
          <cell r="Q187">
            <v>0</v>
          </cell>
          <cell r="R187">
            <v>4.1440632740276275E-4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 t="str">
            <v/>
          </cell>
          <cell r="B188" t="str">
            <v>Historical Test Year Twelve Months ended September 2005</v>
          </cell>
          <cell r="D188">
            <v>4502827</v>
          </cell>
          <cell r="E188">
            <v>2573999</v>
          </cell>
          <cell r="F188">
            <v>559729</v>
          </cell>
          <cell r="G188">
            <v>649570</v>
          </cell>
          <cell r="H188">
            <v>364685</v>
          </cell>
          <cell r="I188">
            <v>246753</v>
          </cell>
          <cell r="J188">
            <v>2061</v>
          </cell>
          <cell r="K188">
            <v>79690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24474</v>
          </cell>
          <cell r="Q188">
            <v>0</v>
          </cell>
          <cell r="R188">
            <v>1866</v>
          </cell>
        </row>
        <row r="189">
          <cell r="A189" t="str">
            <v/>
          </cell>
        </row>
        <row r="190">
          <cell r="A190" t="str">
            <v>DEM_12NCP_S</v>
          </cell>
          <cell r="B190" t="str">
            <v>Dist 12 NCP Dem, Excl Dir Assn Transf (No HV, PRI &amp; FR)</v>
          </cell>
          <cell r="C190" t="str">
            <v>DMS</v>
          </cell>
          <cell r="E190">
            <v>0.61690246298523865</v>
          </cell>
          <cell r="F190">
            <v>0.13414853646184971</v>
          </cell>
          <cell r="G190">
            <v>0.15568045398670377</v>
          </cell>
          <cell r="H190">
            <v>8.7402937885279586E-2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5.8656086809282873E-3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 t="str">
            <v/>
          </cell>
          <cell r="B191" t="str">
            <v>Historical Test Year Twelve Months ended September 2005</v>
          </cell>
          <cell r="D191">
            <v>4172457</v>
          </cell>
          <cell r="E191">
            <v>2573999</v>
          </cell>
          <cell r="F191">
            <v>559729</v>
          </cell>
          <cell r="G191">
            <v>649570</v>
          </cell>
          <cell r="H191">
            <v>364685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24474</v>
          </cell>
          <cell r="Q191">
            <v>0</v>
          </cell>
          <cell r="R191">
            <v>0</v>
          </cell>
        </row>
        <row r="192">
          <cell r="A192" t="str">
            <v/>
          </cell>
        </row>
        <row r="193">
          <cell r="A193" t="str">
            <v>DIR_40</v>
          </cell>
          <cell r="B193" t="str">
            <v>Direct Assignment Schedule 40</v>
          </cell>
          <cell r="C193" t="str">
            <v>CUS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 t="str">
            <v/>
          </cell>
          <cell r="B194" t="str">
            <v>Historical Test Year Twelve Months ended September 2005</v>
          </cell>
          <cell r="D194">
            <v>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 t="str">
            <v/>
          </cell>
        </row>
        <row r="196">
          <cell r="A196" t="str">
            <v>DEM_3B</v>
          </cell>
          <cell r="B196" t="str">
            <v>Top 75 CP - No Interruptibles</v>
          </cell>
          <cell r="C196" t="str">
            <v>DEM</v>
          </cell>
          <cell r="E196">
            <v>0.5550344459005877</v>
          </cell>
          <cell r="F196">
            <v>0.11431287341887425</v>
          </cell>
          <cell r="G196">
            <v>0.12019985625531962</v>
          </cell>
          <cell r="H196">
            <v>6.5487724457653038E-2</v>
          </cell>
          <cell r="I196">
            <v>4.7267476726340386E-2</v>
          </cell>
          <cell r="J196">
            <v>9.5606704611374291E-7</v>
          </cell>
          <cell r="K196">
            <v>0</v>
          </cell>
          <cell r="L196">
            <v>1.5715591087256175E-2</v>
          </cell>
          <cell r="M196">
            <v>1.3644510848612281E-2</v>
          </cell>
          <cell r="N196">
            <v>3.368224203458716E-3</v>
          </cell>
          <cell r="O196">
            <v>5.7168029022371253E-2</v>
          </cell>
          <cell r="P196">
            <v>3.386389477334877E-3</v>
          </cell>
          <cell r="Q196">
            <v>4.0362760519306934E-3</v>
          </cell>
          <cell r="R196">
            <v>3.7764648321492839E-4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 t="str">
            <v/>
          </cell>
          <cell r="B197" t="str">
            <v>Historical Test Year Twelve Months ended September 2005</v>
          </cell>
          <cell r="D197">
            <v>4183807</v>
          </cell>
          <cell r="E197">
            <v>2322157</v>
          </cell>
          <cell r="F197">
            <v>478263</v>
          </cell>
          <cell r="G197">
            <v>502893</v>
          </cell>
          <cell r="H197">
            <v>273988</v>
          </cell>
          <cell r="I197">
            <v>197758</v>
          </cell>
          <cell r="J197">
            <v>4</v>
          </cell>
          <cell r="K197">
            <v>0</v>
          </cell>
          <cell r="L197">
            <v>65751</v>
          </cell>
          <cell r="M197">
            <v>57086</v>
          </cell>
          <cell r="N197">
            <v>14092</v>
          </cell>
          <cell r="O197">
            <v>239180</v>
          </cell>
          <cell r="P197">
            <v>14168</v>
          </cell>
          <cell r="Q197">
            <v>16887</v>
          </cell>
          <cell r="R197">
            <v>1580</v>
          </cell>
        </row>
        <row r="198">
          <cell r="A198" t="str">
            <v/>
          </cell>
        </row>
        <row r="199">
          <cell r="A199" t="str">
            <v>DEM_3A</v>
          </cell>
          <cell r="B199" t="str">
            <v>Top 75 CP - No Interruptibles or Transportation</v>
          </cell>
          <cell r="C199" t="str">
            <v>DEM</v>
          </cell>
          <cell r="E199">
            <v>0.59334845647845691</v>
          </cell>
          <cell r="F199">
            <v>0.1222038875238652</v>
          </cell>
          <cell r="G199">
            <v>0.12849724860283807</v>
          </cell>
          <cell r="H199">
            <v>7.0008340044889067E-2</v>
          </cell>
          <cell r="I199">
            <v>5.0530349178055871E-2</v>
          </cell>
          <cell r="J199">
            <v>1.0220643246403356E-6</v>
          </cell>
          <cell r="K199">
            <v>0</v>
          </cell>
          <cell r="L199">
            <v>1.6800437852356676E-2</v>
          </cell>
          <cell r="M199">
            <v>1.4586391009104549E-2</v>
          </cell>
          <cell r="N199">
            <v>0</v>
          </cell>
          <cell r="O199">
            <v>0</v>
          </cell>
          <cell r="P199">
            <v>3.6201518378760687E-3</v>
          </cell>
          <cell r="Q199">
            <v>0</v>
          </cell>
          <cell r="R199">
            <v>4.0371540823293256E-4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 t="str">
            <v/>
          </cell>
          <cell r="B200" t="str">
            <v>Historical Test Year Twelve Months ended September 2005</v>
          </cell>
          <cell r="D200">
            <v>3913648</v>
          </cell>
          <cell r="E200">
            <v>2322157</v>
          </cell>
          <cell r="F200">
            <v>478263</v>
          </cell>
          <cell r="G200">
            <v>502893</v>
          </cell>
          <cell r="H200">
            <v>273988</v>
          </cell>
          <cell r="I200">
            <v>197758</v>
          </cell>
          <cell r="J200">
            <v>4</v>
          </cell>
          <cell r="K200">
            <v>0</v>
          </cell>
          <cell r="L200">
            <v>65751</v>
          </cell>
          <cell r="M200">
            <v>57086</v>
          </cell>
          <cell r="N200">
            <v>0</v>
          </cell>
          <cell r="O200">
            <v>0</v>
          </cell>
          <cell r="P200">
            <v>14168</v>
          </cell>
          <cell r="Q200">
            <v>0</v>
          </cell>
          <cell r="R200">
            <v>1580</v>
          </cell>
        </row>
        <row r="201">
          <cell r="A201" t="str">
            <v/>
          </cell>
        </row>
      </sheetData>
      <sheetData sheetId="4" refreshError="1">
        <row r="4">
          <cell r="A4" t="str">
            <v>D361.T</v>
          </cell>
          <cell r="B4" t="str">
            <v>Total Struct and Improvements</v>
          </cell>
          <cell r="C4">
            <v>5822059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273947.40000000002</v>
          </cell>
          <cell r="K4">
            <v>309229</v>
          </cell>
          <cell r="L4">
            <v>4143093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1095789.6000000001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</row>
        <row r="5">
          <cell r="A5" t="str">
            <v/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4.7053353461378532E-2</v>
          </cell>
          <cell r="K5">
            <v>5.3113340143066227E-2</v>
          </cell>
          <cell r="L5">
            <v>0.7116198925500411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0.18821341384551413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A6" t="str">
            <v/>
          </cell>
        </row>
        <row r="7">
          <cell r="A7" t="str">
            <v>D362.T</v>
          </cell>
          <cell r="B7" t="str">
            <v>Total Station Equip</v>
          </cell>
          <cell r="C7">
            <v>339335987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19069282.600000001</v>
          </cell>
          <cell r="K7">
            <v>0</v>
          </cell>
          <cell r="L7">
            <v>0</v>
          </cell>
          <cell r="M7">
            <v>22575914</v>
          </cell>
          <cell r="N7">
            <v>221413660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76277130.400000006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A8" t="str">
            <v/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5.6195874680394574E-2</v>
          </cell>
          <cell r="K8">
            <v>0</v>
          </cell>
          <cell r="L8">
            <v>0</v>
          </cell>
          <cell r="M8">
            <v>6.6529678150522839E-2</v>
          </cell>
          <cell r="N8">
            <v>0.65249094844750433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0.2247834987215783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A9" t="str">
            <v/>
          </cell>
        </row>
        <row r="10">
          <cell r="A10" t="str">
            <v>D364.T</v>
          </cell>
          <cell r="B10" t="str">
            <v>Total OVHD Lines</v>
          </cell>
          <cell r="C10">
            <v>451209396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450003391</v>
          </cell>
          <cell r="P10">
            <v>1206005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A11" t="str">
            <v/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0.99732717223823064</v>
          </cell>
          <cell r="P11">
            <v>2.6728277617693937E-3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A12" t="str">
            <v/>
          </cell>
        </row>
        <row r="13">
          <cell r="A13" t="str">
            <v>D366.T</v>
          </cell>
          <cell r="B13" t="str">
            <v>Total UNGD Lines</v>
          </cell>
          <cell r="C13">
            <v>940340482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927232068</v>
          </cell>
          <cell r="R13">
            <v>13108414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A14" t="str">
            <v/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0.98605992802509168</v>
          </cell>
          <cell r="R14">
            <v>1.394007197490834E-2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 t="str">
            <v/>
          </cell>
        </row>
        <row r="16">
          <cell r="A16" t="str">
            <v>D368.T</v>
          </cell>
          <cell r="B16" t="str">
            <v>Total Transformers</v>
          </cell>
          <cell r="C16">
            <v>326103464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115456007</v>
          </cell>
          <cell r="AJ16">
            <v>208973323</v>
          </cell>
          <cell r="AK16">
            <v>1674134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A17" t="str">
            <v/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0.35404716522729118</v>
          </cell>
          <cell r="AJ17">
            <v>0.64081908372491259</v>
          </cell>
          <cell r="AK17">
            <v>5.133751047796291E-3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 t="str">
            <v/>
          </cell>
        </row>
        <row r="19">
          <cell r="A19" t="str">
            <v>D370.T</v>
          </cell>
          <cell r="B19" t="str">
            <v>Total Meters</v>
          </cell>
          <cell r="C19">
            <v>121949908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121949908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 t="str">
            <v/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A21" t="str">
            <v/>
          </cell>
        </row>
        <row r="22">
          <cell r="A22" t="str">
            <v>D108.05.T</v>
          </cell>
          <cell r="B22" t="str">
            <v>Total Dist Acc Depr - Subs &amp; Lines</v>
          </cell>
          <cell r="C22">
            <v>1720363718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12652224</v>
          </cell>
          <cell r="J22">
            <v>20983856.400000002</v>
          </cell>
          <cell r="K22">
            <v>0</v>
          </cell>
          <cell r="L22">
            <v>4143093</v>
          </cell>
          <cell r="M22">
            <v>0</v>
          </cell>
          <cell r="N22">
            <v>221413660</v>
          </cell>
          <cell r="O22">
            <v>450003391</v>
          </cell>
          <cell r="P22">
            <v>0</v>
          </cell>
          <cell r="Q22">
            <v>927232068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83935425.600000009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7.3543889978735302E-3</v>
          </cell>
          <cell r="J23">
            <v>1.2197337214478503E-2</v>
          </cell>
          <cell r="K23">
            <v>0</v>
          </cell>
          <cell r="L23">
            <v>2.4082657386058637E-3</v>
          </cell>
          <cell r="M23">
            <v>0</v>
          </cell>
          <cell r="N23">
            <v>0.12870165633195479</v>
          </cell>
          <cell r="O23">
            <v>0.26157456489674702</v>
          </cell>
          <cell r="P23">
            <v>0</v>
          </cell>
          <cell r="Q23">
            <v>0.53897443796242628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4.8789348857914014E-2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5">
          <cell r="A25" t="str">
            <v>D108.10.T</v>
          </cell>
          <cell r="B25" t="str">
            <v>Total Dist Acc Depr - Other</v>
          </cell>
          <cell r="C25">
            <v>705188683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1922251.4758986074</v>
          </cell>
          <cell r="P25">
            <v>5151.6164934657127</v>
          </cell>
          <cell r="Q25">
            <v>3960799.5114274989</v>
          </cell>
          <cell r="R25">
            <v>55994.396180427822</v>
          </cell>
          <cell r="S25">
            <v>0</v>
          </cell>
          <cell r="T25">
            <v>0</v>
          </cell>
          <cell r="U25">
            <v>0</v>
          </cell>
          <cell r="V25">
            <v>1255565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115456007</v>
          </cell>
          <cell r="AJ25">
            <v>208973323</v>
          </cell>
          <cell r="AK25">
            <v>1674134</v>
          </cell>
          <cell r="AL25">
            <v>43231546</v>
          </cell>
          <cell r="AM25">
            <v>125725426</v>
          </cell>
          <cell r="AN25">
            <v>121949908</v>
          </cell>
          <cell r="AO25">
            <v>2152931</v>
          </cell>
          <cell r="AP25">
            <v>29334640</v>
          </cell>
          <cell r="AQ25">
            <v>0</v>
          </cell>
          <cell r="AR25">
            <v>0</v>
          </cell>
          <cell r="AS25">
            <v>14843197.701933347</v>
          </cell>
          <cell r="AT25">
            <v>26084483.951444812</v>
          </cell>
          <cell r="AU25">
            <v>7814967.0161784003</v>
          </cell>
          <cell r="AV25">
            <v>371888.33044344105</v>
          </cell>
          <cell r="AW25">
            <v>376469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A26" t="str">
            <v/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2.7258682991352081E-3</v>
          </cell>
          <cell r="P26">
            <v>7.3053022795967259E-6</v>
          </cell>
          <cell r="Q26">
            <v>5.6166521200787601E-3</v>
          </cell>
          <cell r="R26">
            <v>7.9403424261174395E-5</v>
          </cell>
          <cell r="S26">
            <v>0</v>
          </cell>
          <cell r="T26">
            <v>0</v>
          </cell>
          <cell r="U26">
            <v>0</v>
          </cell>
          <cell r="V26">
            <v>1.7804667463728995E-3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0.16372356758311732</v>
          </cell>
          <cell r="AJ26">
            <v>0.29633675077000632</v>
          </cell>
          <cell r="AK26">
            <v>2.3740227833463404E-3</v>
          </cell>
          <cell r="AL26">
            <v>6.1304934469573726E-2</v>
          </cell>
          <cell r="AM26">
            <v>0.17828622187347268</v>
          </cell>
          <cell r="AN26">
            <v>0.1729323100892701</v>
          </cell>
          <cell r="AO26">
            <v>3.0529857496309253E-3</v>
          </cell>
          <cell r="AP26">
            <v>4.1598285263463312E-2</v>
          </cell>
          <cell r="AQ26">
            <v>0</v>
          </cell>
          <cell r="AR26">
            <v>0</v>
          </cell>
          <cell r="AS26">
            <v>2.1048547799700505E-2</v>
          </cell>
          <cell r="AT26">
            <v>3.6989368349583697E-2</v>
          </cell>
          <cell r="AU26">
            <v>1.1082093636177086E-2</v>
          </cell>
          <cell r="AV26">
            <v>5.2736003768716333E-4</v>
          </cell>
          <cell r="AW26">
            <v>5.3385570284314953E-4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 t="str">
            <v/>
          </cell>
        </row>
        <row r="28">
          <cell r="A28" t="str">
            <v>D372.T</v>
          </cell>
          <cell r="B28" t="str">
            <v>Leased Property Assignment Factor</v>
          </cell>
          <cell r="C28">
            <v>2152931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2152931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 t="str">
            <v/>
          </cell>
        </row>
        <row r="31">
          <cell r="A31" t="str">
            <v>ADJPTDCE.T</v>
          </cell>
          <cell r="B31" t="str">
            <v>Adj Total Prod Trans Dist &amp; Cust Exp</v>
          </cell>
          <cell r="C31">
            <v>186758210</v>
          </cell>
          <cell r="D31">
            <v>0</v>
          </cell>
          <cell r="E31">
            <v>14590907.200000001</v>
          </cell>
          <cell r="F31">
            <v>278602.99666853523</v>
          </cell>
          <cell r="G31">
            <v>535312.60333146469</v>
          </cell>
          <cell r="H31">
            <v>0</v>
          </cell>
          <cell r="I31">
            <v>0</v>
          </cell>
          <cell r="J31">
            <v>276225.11296018958</v>
          </cell>
          <cell r="K31">
            <v>43.517236190581819</v>
          </cell>
          <cell r="L31">
            <v>583.04996181000536</v>
          </cell>
          <cell r="M31">
            <v>326974.23265779892</v>
          </cell>
          <cell r="N31">
            <v>3206805.3403487797</v>
          </cell>
          <cell r="O31">
            <v>28192488.090587143</v>
          </cell>
          <cell r="P31">
            <v>75555.611979129608</v>
          </cell>
          <cell r="Q31">
            <v>13426019.134766128</v>
          </cell>
          <cell r="R31">
            <v>189805.57647240069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31669</v>
          </cell>
          <cell r="AA31">
            <v>82108</v>
          </cell>
          <cell r="AB31">
            <v>5707562.4261067724</v>
          </cell>
          <cell r="AC31">
            <v>58363628.800000004</v>
          </cell>
          <cell r="AD31">
            <v>1114411.9866741409</v>
          </cell>
          <cell r="AE31">
            <v>2141250.4133258588</v>
          </cell>
          <cell r="AF31">
            <v>1104900.4518407583</v>
          </cell>
          <cell r="AG31">
            <v>7939405</v>
          </cell>
          <cell r="AH31">
            <v>0</v>
          </cell>
          <cell r="AI31">
            <v>134565.9152092454</v>
          </cell>
          <cell r="AJ31">
            <v>243561.91760392554</v>
          </cell>
          <cell r="AK31">
            <v>1951.2312936035873</v>
          </cell>
          <cell r="AL31">
            <v>0</v>
          </cell>
          <cell r="AM31">
            <v>2222</v>
          </cell>
          <cell r="AN31">
            <v>5670551.7877452234</v>
          </cell>
          <cell r="AO31">
            <v>31261.988619043648</v>
          </cell>
          <cell r="AP31">
            <v>2973381.6146118571</v>
          </cell>
          <cell r="AQ31">
            <v>0</v>
          </cell>
          <cell r="AR31">
            <v>0</v>
          </cell>
          <cell r="AS31">
            <v>14843197.701933347</v>
          </cell>
          <cell r="AT31">
            <v>13183812.951444812</v>
          </cell>
          <cell r="AU31">
            <v>7814967.0161784003</v>
          </cell>
          <cell r="AV31">
            <v>3898008.3304434409</v>
          </cell>
          <cell r="AW31">
            <v>376469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 t="str">
            <v/>
          </cell>
          <cell r="D32">
            <v>0</v>
          </cell>
          <cell r="E32">
            <v>7.8127259840410773E-2</v>
          </cell>
          <cell r="F32">
            <v>1.4917844664956643E-3</v>
          </cell>
          <cell r="G32">
            <v>2.8663404052301886E-3</v>
          </cell>
          <cell r="H32">
            <v>0</v>
          </cell>
          <cell r="I32">
            <v>0</v>
          </cell>
          <cell r="J32">
            <v>1.4790520478868885E-3</v>
          </cell>
          <cell r="K32">
            <v>2.3301377856738839E-7</v>
          </cell>
          <cell r="L32">
            <v>3.1219509000970044E-6</v>
          </cell>
          <cell r="M32">
            <v>1.7507890692344873E-3</v>
          </cell>
          <cell r="N32">
            <v>1.7170893533134526E-2</v>
          </cell>
          <cell r="O32">
            <v>0.1509571551932691</v>
          </cell>
          <cell r="P32">
            <v>4.045638046066602E-4</v>
          </cell>
          <cell r="Q32">
            <v>7.1889846956479861E-2</v>
          </cell>
          <cell r="R32">
            <v>1.0163171754130685E-3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1.6957219712054425E-4</v>
          </cell>
          <cell r="AA32">
            <v>4.3964867729241996E-4</v>
          </cell>
          <cell r="AB32">
            <v>3.0561239723312685E-2</v>
          </cell>
          <cell r="AC32">
            <v>0.31250903936164309</v>
          </cell>
          <cell r="AD32">
            <v>5.9671378659826571E-3</v>
          </cell>
          <cell r="AE32">
            <v>1.1465361620920754E-2</v>
          </cell>
          <cell r="AF32">
            <v>5.9162081915475539E-3</v>
          </cell>
          <cell r="AG32">
            <v>4.2511678603045083E-2</v>
          </cell>
          <cell r="AH32">
            <v>0</v>
          </cell>
          <cell r="AI32">
            <v>7.2053547316203875E-4</v>
          </cell>
          <cell r="AJ32">
            <v>1.3041564148849227E-3</v>
          </cell>
          <cell r="AK32">
            <v>1.0447901024557835E-5</v>
          </cell>
          <cell r="AL32">
            <v>0</v>
          </cell>
          <cell r="AM32">
            <v>1.1897736651042008E-5</v>
          </cell>
          <cell r="AN32">
            <v>3.0363065633072964E-2</v>
          </cell>
          <cell r="AO32">
            <v>1.6739284778454264E-4</v>
          </cell>
          <cell r="AP32">
            <v>1.5921022238389718E-2</v>
          </cell>
          <cell r="AQ32">
            <v>0</v>
          </cell>
          <cell r="AR32">
            <v>0</v>
          </cell>
          <cell r="AS32">
            <v>7.9478153607990501E-2</v>
          </cell>
          <cell r="AT32">
            <v>7.0592949843783642E-2</v>
          </cell>
          <cell r="AU32">
            <v>4.184537331011258E-2</v>
          </cell>
          <cell r="AV32">
            <v>2.0871951655798377E-2</v>
          </cell>
          <cell r="AW32">
            <v>2.0158096396404742E-3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A33" t="str">
            <v/>
          </cell>
        </row>
        <row r="34">
          <cell r="A34" t="str">
            <v>CAE.T</v>
          </cell>
          <cell r="B34" t="str">
            <v>Cust Accts Exp - Total</v>
          </cell>
          <cell r="C34">
            <v>35587389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14843197.701933347</v>
          </cell>
          <cell r="AT34">
            <v>13183812.951444812</v>
          </cell>
          <cell r="AU34">
            <v>7814967.0161784003</v>
          </cell>
          <cell r="AV34">
            <v>-254588.66955655898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0.41709150682376128</v>
          </cell>
          <cell r="AT35">
            <v>0.37046305789516654</v>
          </cell>
          <cell r="AU35">
            <v>0.2195993366127085</v>
          </cell>
          <cell r="AV35">
            <v>-7.153901331636299E-3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 t="str">
            <v/>
          </cell>
        </row>
        <row r="37">
          <cell r="A37" t="str">
            <v>CAES1.T</v>
          </cell>
          <cell r="B37" t="str">
            <v>Cust Accts Exp - Subtotal ID902.00 to ID905.00</v>
          </cell>
          <cell r="C37">
            <v>34823097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14524418</v>
          </cell>
          <cell r="AT37">
            <v>12900671</v>
          </cell>
          <cell r="AU37">
            <v>7647129</v>
          </cell>
          <cell r="AV37">
            <v>-249121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 t="str">
            <v/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0.41709150682376123</v>
          </cell>
          <cell r="AT38">
            <v>0.37046305789516654</v>
          </cell>
          <cell r="AU38">
            <v>0.2195993366127085</v>
          </cell>
          <cell r="AV38">
            <v>-7.153901331636299E-3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 t="str">
            <v/>
          </cell>
        </row>
        <row r="40">
          <cell r="A40" t="str">
            <v>DES1.T</v>
          </cell>
          <cell r="B40" t="str">
            <v>Dist O&amp;M - ID581.00 to ID587.01 Subtotal</v>
          </cell>
          <cell r="C40">
            <v>17586747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78382.343179462434</v>
          </cell>
          <cell r="K40">
            <v>0</v>
          </cell>
          <cell r="L40">
            <v>0</v>
          </cell>
          <cell r="M40">
            <v>92795.994262418157</v>
          </cell>
          <cell r="N40">
            <v>910098.28984026972</v>
          </cell>
          <cell r="O40">
            <v>3606667.1647617975</v>
          </cell>
          <cell r="P40">
            <v>9665.835238202797</v>
          </cell>
          <cell r="Q40">
            <v>2606314.1593588013</v>
          </cell>
          <cell r="R40">
            <v>36845.840641198731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4469064</v>
          </cell>
          <cell r="AC40">
            <v>0</v>
          </cell>
          <cell r="AD40">
            <v>0</v>
          </cell>
          <cell r="AE40">
            <v>0</v>
          </cell>
          <cell r="AF40">
            <v>313529.37271784974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4217179</v>
          </cell>
          <cell r="AO40">
            <v>5017</v>
          </cell>
          <cell r="AP40">
            <v>1241188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 t="str">
            <v/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4.4568983211882469E-3</v>
          </cell>
          <cell r="K41">
            <v>0</v>
          </cell>
          <cell r="L41">
            <v>0</v>
          </cell>
          <cell r="M41">
            <v>5.2764729180682568E-3</v>
          </cell>
          <cell r="N41">
            <v>5.1749097763234421E-2</v>
          </cell>
          <cell r="O41">
            <v>0.20507869731461978</v>
          </cell>
          <cell r="P41">
            <v>5.4960904584587457E-4</v>
          </cell>
          <cell r="Q41">
            <v>0.14819762627840163</v>
          </cell>
          <cell r="R41">
            <v>2.0950913003524034E-3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0.25411544272513842</v>
          </cell>
          <cell r="AC41">
            <v>0</v>
          </cell>
          <cell r="AD41">
            <v>0</v>
          </cell>
          <cell r="AE41">
            <v>0</v>
          </cell>
          <cell r="AF41">
            <v>1.7827593284752988E-2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0.23979301004330136</v>
          </cell>
          <cell r="AO41">
            <v>2.852716309616554E-4</v>
          </cell>
          <cell r="AP41">
            <v>7.057518937413497E-2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 t="str">
            <v/>
          </cell>
        </row>
        <row r="43">
          <cell r="A43" t="str">
            <v>DES2.T</v>
          </cell>
          <cell r="B43" t="str">
            <v>Dist O&amp;M - ID591.00 to ID597.00 Subtotal</v>
          </cell>
          <cell r="C43">
            <v>39493252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178632.84775025709</v>
          </cell>
          <cell r="K43">
            <v>43.499825577171244</v>
          </cell>
          <cell r="L43">
            <v>582.81669199848363</v>
          </cell>
          <cell r="M43">
            <v>211435.84118047581</v>
          </cell>
          <cell r="N43">
            <v>2073660.6035506632</v>
          </cell>
          <cell r="O43">
            <v>23695705.723914292</v>
          </cell>
          <cell r="P43">
            <v>63504.276085708996</v>
          </cell>
          <cell r="Q43">
            <v>10179253.420531576</v>
          </cell>
          <cell r="R43">
            <v>143905.5794684228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714531.39100102836</v>
          </cell>
          <cell r="AG43">
            <v>0</v>
          </cell>
          <cell r="AH43">
            <v>0</v>
          </cell>
          <cell r="AI43">
            <v>134512.07734330907</v>
          </cell>
          <cell r="AJ43">
            <v>243464.47202235486</v>
          </cell>
          <cell r="AK43">
            <v>1950.4506343361015</v>
          </cell>
          <cell r="AL43">
            <v>0</v>
          </cell>
          <cell r="AM43">
            <v>0</v>
          </cell>
          <cell r="AN43">
            <v>423505</v>
          </cell>
          <cell r="AO43">
            <v>0</v>
          </cell>
          <cell r="AP43">
            <v>1428564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4.5231232857263085E-3</v>
          </cell>
          <cell r="K44">
            <v>1.1014495736428907E-6</v>
          </cell>
          <cell r="L44">
            <v>1.47573740445199E-5</v>
          </cell>
          <cell r="M44">
            <v>5.3537207110844103E-3</v>
          </cell>
          <cell r="N44">
            <v>5.250670680527051E-2</v>
          </cell>
          <cell r="O44">
            <v>0.59999378435369899</v>
          </cell>
          <cell r="P44">
            <v>1.6079778916587824E-3</v>
          </cell>
          <cell r="Q44">
            <v>0.25774665050453621</v>
          </cell>
          <cell r="R44">
            <v>3.6438017175294351E-3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1.8092493142905234E-2</v>
          </cell>
          <cell r="AG44">
            <v>0</v>
          </cell>
          <cell r="AH44">
            <v>0</v>
          </cell>
          <cell r="AI44">
            <v>3.4059509037976683E-3</v>
          </cell>
          <cell r="AJ44">
            <v>6.1647106706319062E-3</v>
          </cell>
          <cell r="AK44">
            <v>4.9386934110569105E-5</v>
          </cell>
          <cell r="AL44">
            <v>0</v>
          </cell>
          <cell r="AM44">
            <v>0</v>
          </cell>
          <cell r="AN44">
            <v>1.0723477519653231E-2</v>
          </cell>
          <cell r="AO44">
            <v>0</v>
          </cell>
          <cell r="AP44">
            <v>3.6172356735778559E-2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 t="str">
            <v/>
          </cell>
        </row>
        <row r="46">
          <cell r="A46" t="str">
            <v>DP.T</v>
          </cell>
          <cell r="B46" t="str">
            <v>Total Distribution Plant</v>
          </cell>
          <cell r="C46">
            <v>2413916693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655736</v>
          </cell>
          <cell r="I46">
            <v>12652224</v>
          </cell>
          <cell r="J46">
            <v>20983856.400000002</v>
          </cell>
          <cell r="K46">
            <v>309229</v>
          </cell>
          <cell r="L46">
            <v>4143093</v>
          </cell>
          <cell r="M46">
            <v>22575914</v>
          </cell>
          <cell r="N46">
            <v>221413660</v>
          </cell>
          <cell r="O46">
            <v>451925642.47589862</v>
          </cell>
          <cell r="P46">
            <v>1211156.6164934656</v>
          </cell>
          <cell r="Q46">
            <v>931192867.51142752</v>
          </cell>
          <cell r="R46">
            <v>13164408.396180429</v>
          </cell>
          <cell r="S46">
            <v>0</v>
          </cell>
          <cell r="T46">
            <v>0</v>
          </cell>
          <cell r="U46">
            <v>0</v>
          </cell>
          <cell r="V46">
            <v>1255565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83935425.600000009</v>
          </cell>
          <cell r="AG46">
            <v>0</v>
          </cell>
          <cell r="AH46">
            <v>0</v>
          </cell>
          <cell r="AI46">
            <v>115456007</v>
          </cell>
          <cell r="AJ46">
            <v>208973323</v>
          </cell>
          <cell r="AK46">
            <v>1674134</v>
          </cell>
          <cell r="AL46">
            <v>43231546</v>
          </cell>
          <cell r="AM46">
            <v>125725426</v>
          </cell>
          <cell r="AN46">
            <v>121949908</v>
          </cell>
          <cell r="AO46">
            <v>2152931</v>
          </cell>
          <cell r="AP46">
            <v>29334640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2.7164814838123328E-4</v>
          </cell>
          <cell r="I47">
            <v>5.2413672918744754E-3</v>
          </cell>
          <cell r="J47">
            <v>8.6928668503142917E-3</v>
          </cell>
          <cell r="K47">
            <v>1.281025981123202E-4</v>
          </cell>
          <cell r="L47">
            <v>1.7163363640569514E-3</v>
          </cell>
          <cell r="M47">
            <v>9.3523998013132752E-3</v>
          </cell>
          <cell r="N47">
            <v>9.1723819899032444E-2</v>
          </cell>
          <cell r="O47">
            <v>0.18721675184003486</v>
          </cell>
          <cell r="P47">
            <v>5.0173919423385238E-4</v>
          </cell>
          <cell r="Q47">
            <v>0.38576015080045994</v>
          </cell>
          <cell r="R47">
            <v>5.4535471063915575E-3</v>
          </cell>
          <cell r="S47">
            <v>0</v>
          </cell>
          <cell r="T47">
            <v>0</v>
          </cell>
          <cell r="U47">
            <v>0</v>
          </cell>
          <cell r="V47">
            <v>5.2013601117261094E-4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3.4771467401257167E-2</v>
          </cell>
          <cell r="AG47">
            <v>0</v>
          </cell>
          <cell r="AH47">
            <v>0</v>
          </cell>
          <cell r="AI47">
            <v>4.782932540083313E-2</v>
          </cell>
          <cell r="AJ47">
            <v>8.6570229869983334E-2</v>
          </cell>
          <cell r="AK47">
            <v>6.9353429008330741E-4</v>
          </cell>
          <cell r="AL47">
            <v>1.7909294933567951E-2</v>
          </cell>
          <cell r="AM47">
            <v>5.2083581162757221E-2</v>
          </cell>
          <cell r="AN47">
            <v>5.0519518073526164E-2</v>
          </cell>
          <cell r="AO47">
            <v>8.9188289150291737E-4</v>
          </cell>
          <cell r="AP47">
            <v>1.215230007111103E-2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 t="str">
            <v/>
          </cell>
        </row>
        <row r="49">
          <cell r="A49" t="str">
            <v>EPIS.T</v>
          </cell>
          <cell r="B49" t="str">
            <v>Total Elec Plant In Service</v>
          </cell>
          <cell r="C49">
            <v>5051680542</v>
          </cell>
          <cell r="D49">
            <v>0</v>
          </cell>
          <cell r="E49">
            <v>365118611.05329591</v>
          </cell>
          <cell r="F49">
            <v>36376444.498803161</v>
          </cell>
          <cell r="G49">
            <v>69894327.905468881</v>
          </cell>
          <cell r="H49">
            <v>712182.87643389963</v>
          </cell>
          <cell r="I49">
            <v>13741349.081956793</v>
          </cell>
          <cell r="J49">
            <v>22790182.649157427</v>
          </cell>
          <cell r="K49">
            <v>335847.96121728612</v>
          </cell>
          <cell r="L49">
            <v>4499737.5316791432</v>
          </cell>
          <cell r="M49">
            <v>24519287.29037958</v>
          </cell>
          <cell r="N49">
            <v>240473326.55299917</v>
          </cell>
          <cell r="O49">
            <v>490828174.74215776</v>
          </cell>
          <cell r="P49">
            <v>1315415.0495721842</v>
          </cell>
          <cell r="Q49">
            <v>1011351542.2350147</v>
          </cell>
          <cell r="R49">
            <v>14297623.18698738</v>
          </cell>
          <cell r="S49">
            <v>0</v>
          </cell>
          <cell r="T49">
            <v>0</v>
          </cell>
          <cell r="U49">
            <v>0</v>
          </cell>
          <cell r="V49">
            <v>1363646.1826859119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1460474444.2131836</v>
          </cell>
          <cell r="AD49">
            <v>145505777.99521264</v>
          </cell>
          <cell r="AE49">
            <v>279577311.62187552</v>
          </cell>
          <cell r="AF49">
            <v>91160730.596629709</v>
          </cell>
          <cell r="AG49">
            <v>0</v>
          </cell>
          <cell r="AH49">
            <v>0</v>
          </cell>
          <cell r="AI49">
            <v>125394657.55552912</v>
          </cell>
          <cell r="AJ49">
            <v>226962104.06640843</v>
          </cell>
          <cell r="AK49">
            <v>1818246.318115507</v>
          </cell>
          <cell r="AL49">
            <v>46952991.421798475</v>
          </cell>
          <cell r="AM49">
            <v>136548085.70759785</v>
          </cell>
          <cell r="AN49">
            <v>132447564.66060948</v>
          </cell>
          <cell r="AO49">
            <v>2338258.9827975156</v>
          </cell>
          <cell r="AP49">
            <v>34683691.763724253</v>
          </cell>
          <cell r="AQ49">
            <v>0</v>
          </cell>
          <cell r="AR49">
            <v>0</v>
          </cell>
          <cell r="AS49">
            <v>25986855.673212785</v>
          </cell>
          <cell r="AT49">
            <v>23081673.590267211</v>
          </cell>
          <cell r="AU49">
            <v>13682120.525410384</v>
          </cell>
          <cell r="AV49">
            <v>7448328.5098183705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7.2276662789278953E-2</v>
          </cell>
          <cell r="F50">
            <v>7.2008600299181711E-3</v>
          </cell>
          <cell r="G50">
            <v>1.3835856666779086E-2</v>
          </cell>
          <cell r="H50">
            <v>1.4097939695765894E-4</v>
          </cell>
          <cell r="I50">
            <v>2.7201540096825848E-3</v>
          </cell>
          <cell r="J50">
            <v>4.5114061468611031E-3</v>
          </cell>
          <cell r="K50">
            <v>6.6482422715574422E-5</v>
          </cell>
          <cell r="L50">
            <v>8.9074071376209034E-4</v>
          </cell>
          <cell r="M50">
            <v>4.8536892003610745E-3</v>
          </cell>
          <cell r="N50">
            <v>4.7602639270968999E-2</v>
          </cell>
          <cell r="O50">
            <v>9.7161364552128829E-2</v>
          </cell>
          <cell r="P50">
            <v>2.6039157437524762E-4</v>
          </cell>
          <cell r="Q50">
            <v>0.20020100911500091</v>
          </cell>
          <cell r="R50">
            <v>2.8302706531254328E-3</v>
          </cell>
          <cell r="S50">
            <v>0</v>
          </cell>
          <cell r="T50">
            <v>0</v>
          </cell>
          <cell r="U50">
            <v>0</v>
          </cell>
          <cell r="V50">
            <v>2.6993911656694616E-4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0.28910665115711581</v>
          </cell>
          <cell r="AD50">
            <v>2.8803440119672685E-2</v>
          </cell>
          <cell r="AE50">
            <v>5.5343426667116342E-2</v>
          </cell>
          <cell r="AF50">
            <v>1.8045624587444412E-2</v>
          </cell>
          <cell r="AG50">
            <v>0</v>
          </cell>
          <cell r="AH50">
            <v>0</v>
          </cell>
          <cell r="AI50">
            <v>2.4822364857197479E-2</v>
          </cell>
          <cell r="AJ50">
            <v>4.4928039724489853E-2</v>
          </cell>
          <cell r="AK50">
            <v>3.5992899847852396E-4</v>
          </cell>
          <cell r="AL50">
            <v>9.2945290248320836E-3</v>
          </cell>
          <cell r="AM50">
            <v>2.7030229756677644E-2</v>
          </cell>
          <cell r="AN50">
            <v>2.6218515513685363E-2</v>
          </cell>
          <cell r="AO50">
            <v>4.6286754741458382E-4</v>
          </cell>
          <cell r="AP50">
            <v>6.8657729789842782E-3</v>
          </cell>
          <cell r="AQ50">
            <v>0</v>
          </cell>
          <cell r="AR50">
            <v>0</v>
          </cell>
          <cell r="AS50">
            <v>5.1442001245241816E-3</v>
          </cell>
          <cell r="AT50">
            <v>4.5691079232672528E-3</v>
          </cell>
          <cell r="AU50">
            <v>2.7084294843382011E-3</v>
          </cell>
          <cell r="AV50">
            <v>1.4744258762786925E-3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2">
          <cell r="A52" t="str">
            <v>GP.T</v>
          </cell>
          <cell r="B52" t="str">
            <v>Total General Plant</v>
          </cell>
          <cell r="C52">
            <v>228124597</v>
          </cell>
          <cell r="D52">
            <v>0</v>
          </cell>
          <cell r="E52">
            <v>12473829.62728172</v>
          </cell>
          <cell r="F52">
            <v>804955.83202498453</v>
          </cell>
          <cell r="G52">
            <v>1546656.020074334</v>
          </cell>
          <cell r="H52">
            <v>30275.404930507848</v>
          </cell>
          <cell r="I52">
            <v>584154.60623099783</v>
          </cell>
          <cell r="J52">
            <v>968827.01195851481</v>
          </cell>
          <cell r="K52">
            <v>14277.137737223531</v>
          </cell>
          <cell r="L52">
            <v>191287.07016200505</v>
          </cell>
          <cell r="M52">
            <v>1042332.4905546152</v>
          </cell>
          <cell r="N52">
            <v>10222693.604813198</v>
          </cell>
          <cell r="O52">
            <v>20865457.782457795</v>
          </cell>
          <cell r="P52">
            <v>55919.237312887293</v>
          </cell>
          <cell r="Q52">
            <v>42993279.509298265</v>
          </cell>
          <cell r="R52">
            <v>607802.21745479864</v>
          </cell>
          <cell r="S52">
            <v>0</v>
          </cell>
          <cell r="T52">
            <v>0</v>
          </cell>
          <cell r="U52">
            <v>0</v>
          </cell>
          <cell r="V52">
            <v>57969.577378050133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49895318.509126879</v>
          </cell>
          <cell r="AD52">
            <v>3219823.3280999381</v>
          </cell>
          <cell r="AE52">
            <v>6186624.080297336</v>
          </cell>
          <cell r="AF52">
            <v>3875308.0478340592</v>
          </cell>
          <cell r="AG52">
            <v>0</v>
          </cell>
          <cell r="AH52">
            <v>0</v>
          </cell>
          <cell r="AI52">
            <v>5330616.8390702168</v>
          </cell>
          <cell r="AJ52">
            <v>9648321.8452224806</v>
          </cell>
          <cell r="AK52">
            <v>77294.95522272808</v>
          </cell>
          <cell r="AL52">
            <v>1996005.3450197591</v>
          </cell>
          <cell r="AM52">
            <v>5804757.0702395476</v>
          </cell>
          <cell r="AN52">
            <v>5630440.9792022686</v>
          </cell>
          <cell r="AO52">
            <v>99401.066606749038</v>
          </cell>
          <cell r="AP52">
            <v>2999707.824896493</v>
          </cell>
          <cell r="AQ52">
            <v>0</v>
          </cell>
          <cell r="AR52">
            <v>0</v>
          </cell>
          <cell r="AS52">
            <v>15141176.77634568</v>
          </cell>
          <cell r="AT52">
            <v>13448479.666756785</v>
          </cell>
          <cell r="AU52">
            <v>7971853.4691386316</v>
          </cell>
          <cell r="AV52">
            <v>4339750.0672505433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 t="str">
            <v/>
          </cell>
          <cell r="D53">
            <v>0</v>
          </cell>
          <cell r="E53">
            <v>5.4679897702051478E-2</v>
          </cell>
          <cell r="F53">
            <v>3.5285797437484769E-3</v>
          </cell>
          <cell r="G53">
            <v>6.7798739829635028E-3</v>
          </cell>
          <cell r="H53">
            <v>1.3271433825484346E-4</v>
          </cell>
          <cell r="I53">
            <v>2.560682249582222E-3</v>
          </cell>
          <cell r="J53">
            <v>4.2469204316381319E-3</v>
          </cell>
          <cell r="K53">
            <v>6.2584823929457859E-5</v>
          </cell>
          <cell r="L53">
            <v>8.385201450328702E-4</v>
          </cell>
          <cell r="M53">
            <v>4.5691367974432639E-3</v>
          </cell>
          <cell r="N53">
            <v>4.4811886746316962E-2</v>
          </cell>
          <cell r="O53">
            <v>9.1465181996388562E-2</v>
          </cell>
          <cell r="P53">
            <v>2.4512585687060871E-4</v>
          </cell>
          <cell r="Q53">
            <v>0.18846402393556125</v>
          </cell>
          <cell r="R53">
            <v>2.6643431942360808E-3</v>
          </cell>
          <cell r="S53">
            <v>0</v>
          </cell>
          <cell r="T53">
            <v>0</v>
          </cell>
          <cell r="U53">
            <v>0</v>
          </cell>
          <cell r="V53">
            <v>2.5411366481471585E-4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0.21871959080820591</v>
          </cell>
          <cell r="AD53">
            <v>1.4114318974993907E-2</v>
          </cell>
          <cell r="AE53">
            <v>2.7119495931854011E-2</v>
          </cell>
          <cell r="AF53">
            <v>1.6987681726552527E-2</v>
          </cell>
          <cell r="AG53">
            <v>0</v>
          </cell>
          <cell r="AH53">
            <v>0</v>
          </cell>
          <cell r="AI53">
            <v>2.3367128793526006E-2</v>
          </cell>
          <cell r="AJ53">
            <v>4.2294088283792039E-2</v>
          </cell>
          <cell r="AK53">
            <v>3.3882779954117826E-4</v>
          </cell>
          <cell r="AL53">
            <v>8.7496279281964462E-3</v>
          </cell>
          <cell r="AM53">
            <v>2.5445555396376426E-2</v>
          </cell>
          <cell r="AN53">
            <v>2.4681428715914701E-2</v>
          </cell>
          <cell r="AO53">
            <v>4.3573147268617001E-4</v>
          </cell>
          <cell r="AP53">
            <v>1.3149427393384034E-2</v>
          </cell>
          <cell r="AQ53">
            <v>0</v>
          </cell>
          <cell r="AR53">
            <v>0</v>
          </cell>
          <cell r="AS53">
            <v>6.6372399011167038E-2</v>
          </cell>
          <cell r="AT53">
            <v>5.895234377885513E-2</v>
          </cell>
          <cell r="AU53">
            <v>3.4945172830874664E-2</v>
          </cell>
          <cell r="AV53">
            <v>1.9023595545247334E-2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 t="str">
            <v/>
          </cell>
        </row>
        <row r="55">
          <cell r="A55" t="str">
            <v>LINE.T</v>
          </cell>
          <cell r="B55" t="str">
            <v>Total Distribution OH &amp; UG Lines</v>
          </cell>
          <cell r="C55">
            <v>1391549878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450003391</v>
          </cell>
          <cell r="P55">
            <v>1206005</v>
          </cell>
          <cell r="Q55">
            <v>927232068</v>
          </cell>
          <cell r="R55">
            <v>13108414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0.3233828683501922</v>
          </cell>
          <cell r="P56">
            <v>8.6666314953318547E-4</v>
          </cell>
          <cell r="Q56">
            <v>0.66633045833230276</v>
          </cell>
          <cell r="R56">
            <v>9.4200101679718599E-3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 t="str">
            <v/>
          </cell>
        </row>
        <row r="58">
          <cell r="A58" t="str">
            <v>POWER.T</v>
          </cell>
          <cell r="B58" t="str">
            <v>Sales of Electricity - Non Firm</v>
          </cell>
          <cell r="C58">
            <v>968420020.98000026</v>
          </cell>
          <cell r="D58">
            <v>0</v>
          </cell>
          <cell r="E58">
            <v>190797182.13400003</v>
          </cell>
          <cell r="F58">
            <v>278602.99666853523</v>
          </cell>
          <cell r="G58">
            <v>535312.60333146469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2342772.31</v>
          </cell>
          <cell r="Z58">
            <v>31669</v>
          </cell>
          <cell r="AA58">
            <v>82108</v>
          </cell>
          <cell r="AB58">
            <v>0</v>
          </cell>
          <cell r="AC58">
            <v>763188728.53600013</v>
          </cell>
          <cell r="AD58">
            <v>1114411.9866741409</v>
          </cell>
          <cell r="AE58">
            <v>2141250.4133258588</v>
          </cell>
          <cell r="AF58">
            <v>0</v>
          </cell>
          <cell r="AG58">
            <v>7939405</v>
          </cell>
          <cell r="AH58">
            <v>-31422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0.19701903926038344</v>
          </cell>
          <cell r="F59">
            <v>2.8768818346671597E-4</v>
          </cell>
          <cell r="G59">
            <v>5.527690379529234E-4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2.4191696363621367E-3</v>
          </cell>
          <cell r="Z59">
            <v>3.2701719619501782E-5</v>
          </cell>
          <cell r="AA59">
            <v>8.4785525103983457E-5</v>
          </cell>
          <cell r="AB59">
            <v>0</v>
          </cell>
          <cell r="AC59">
            <v>0.78807615704153378</v>
          </cell>
          <cell r="AD59">
            <v>1.1507527338668639E-3</v>
          </cell>
          <cell r="AE59">
            <v>2.2110761518116936E-3</v>
          </cell>
          <cell r="AF59">
            <v>0</v>
          </cell>
          <cell r="AG59">
            <v>8.1983073748988135E-3</v>
          </cell>
          <cell r="AH59">
            <v>-3.2446664999967948E-5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1">
          <cell r="A61" t="str">
            <v>PP.T</v>
          </cell>
          <cell r="B61" t="str">
            <v>Total Production Plant</v>
          </cell>
          <cell r="C61">
            <v>1718411998</v>
          </cell>
          <cell r="D61">
            <v>0</v>
          </cell>
          <cell r="E61">
            <v>343682399.60000002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1374729598.4000001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0.2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0.8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4">
          <cell r="A64" t="str">
            <v>PTDGP.T</v>
          </cell>
          <cell r="B64" t="str">
            <v>Total Prod, Trans, Dist &amp; Gen Plant</v>
          </cell>
          <cell r="C64">
            <v>4870994604</v>
          </cell>
          <cell r="D64">
            <v>0</v>
          </cell>
          <cell r="E64">
            <v>356156229.22728175</v>
          </cell>
          <cell r="F64">
            <v>35756575.032024987</v>
          </cell>
          <cell r="G64">
            <v>68703300.020074338</v>
          </cell>
          <cell r="H64">
            <v>686011.40493050788</v>
          </cell>
          <cell r="I64">
            <v>13236378.606230998</v>
          </cell>
          <cell r="J64">
            <v>21952683.411958516</v>
          </cell>
          <cell r="K64">
            <v>323506.13773722353</v>
          </cell>
          <cell r="L64">
            <v>4334380.0701620048</v>
          </cell>
          <cell r="M64">
            <v>23618246.490554616</v>
          </cell>
          <cell r="N64">
            <v>231636353.60481319</v>
          </cell>
          <cell r="O64">
            <v>472791100.25835639</v>
          </cell>
          <cell r="P64">
            <v>1267075.8538063529</v>
          </cell>
          <cell r="Q64">
            <v>974186147.02072573</v>
          </cell>
          <cell r="R64">
            <v>13772210.613635227</v>
          </cell>
          <cell r="S64">
            <v>0</v>
          </cell>
          <cell r="T64">
            <v>0</v>
          </cell>
          <cell r="U64">
            <v>0</v>
          </cell>
          <cell r="V64">
            <v>1313534.5773780502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1424624916.909127</v>
          </cell>
          <cell r="AD64">
            <v>143026300.12809995</v>
          </cell>
          <cell r="AE64">
            <v>274813200.08029735</v>
          </cell>
          <cell r="AF64">
            <v>87810733.647834063</v>
          </cell>
          <cell r="AG64">
            <v>0</v>
          </cell>
          <cell r="AH64">
            <v>0</v>
          </cell>
          <cell r="AI64">
            <v>120786623.83907022</v>
          </cell>
          <cell r="AJ64">
            <v>218621644.84522247</v>
          </cell>
          <cell r="AK64">
            <v>1751428.9552227282</v>
          </cell>
          <cell r="AL64">
            <v>45227551.345019758</v>
          </cell>
          <cell r="AM64">
            <v>131530183.07023954</v>
          </cell>
          <cell r="AN64">
            <v>127580348.97920227</v>
          </cell>
          <cell r="AO64">
            <v>2252332.0666067488</v>
          </cell>
          <cell r="AP64">
            <v>32334347.824896492</v>
          </cell>
          <cell r="AQ64">
            <v>0</v>
          </cell>
          <cell r="AR64">
            <v>0</v>
          </cell>
          <cell r="AS64">
            <v>15141176.77634568</v>
          </cell>
          <cell r="AT64">
            <v>13448479.666756785</v>
          </cell>
          <cell r="AU64">
            <v>7971853.4691386316</v>
          </cell>
          <cell r="AV64">
            <v>4339750.0672505433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7.3117763040593531E-2</v>
          </cell>
          <cell r="F65">
            <v>7.3407133324808315E-3</v>
          </cell>
          <cell r="G65">
            <v>1.4104573214607145E-2</v>
          </cell>
          <cell r="H65">
            <v>1.4083600182335736E-4</v>
          </cell>
          <cell r="I65">
            <v>2.717387244765463E-3</v>
          </cell>
          <cell r="J65">
            <v>4.5068174359978235E-3</v>
          </cell>
          <cell r="K65">
            <v>6.6414801090431164E-5</v>
          </cell>
          <cell r="L65">
            <v>8.8983470985631267E-4</v>
          </cell>
          <cell r="M65">
            <v>4.8487523412897252E-3</v>
          </cell>
          <cell r="N65">
            <v>4.7554220941775693E-2</v>
          </cell>
          <cell r="O65">
            <v>9.7062538289429887E-2</v>
          </cell>
          <cell r="P65">
            <v>2.6012672088896301E-4</v>
          </cell>
          <cell r="Q65">
            <v>0.19999737758295527</v>
          </cell>
          <cell r="R65">
            <v>2.8273918846729289E-3</v>
          </cell>
          <cell r="S65">
            <v>0</v>
          </cell>
          <cell r="T65">
            <v>0</v>
          </cell>
          <cell r="U65">
            <v>0</v>
          </cell>
          <cell r="V65">
            <v>2.6966455193758415E-4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0.29247105216237412</v>
          </cell>
          <cell r="AD65">
            <v>2.9362853329923326E-2</v>
          </cell>
          <cell r="AE65">
            <v>5.641829285842858E-2</v>
          </cell>
          <cell r="AF65">
            <v>1.8027269743991294E-2</v>
          </cell>
          <cell r="AG65">
            <v>0</v>
          </cell>
          <cell r="AH65">
            <v>0</v>
          </cell>
          <cell r="AI65">
            <v>2.4797117151368172E-2</v>
          </cell>
          <cell r="AJ65">
            <v>4.4882341825156838E-2</v>
          </cell>
          <cell r="AK65">
            <v>3.5956290195527556E-4</v>
          </cell>
          <cell r="AL65">
            <v>9.2850752304014985E-3</v>
          </cell>
          <cell r="AM65">
            <v>2.7002736353316549E-2</v>
          </cell>
          <cell r="AN65">
            <v>2.6191847733609656E-2</v>
          </cell>
          <cell r="AO65">
            <v>4.6239674844992889E-4</v>
          </cell>
          <cell r="AP65">
            <v>6.638140760481223E-3</v>
          </cell>
          <cell r="AQ65">
            <v>0</v>
          </cell>
          <cell r="AR65">
            <v>0</v>
          </cell>
          <cell r="AS65">
            <v>3.1084363681930451E-3</v>
          </cell>
          <cell r="AT65">
            <v>2.7609309309669654E-3</v>
          </cell>
          <cell r="AU65">
            <v>1.6365966537085148E-3</v>
          </cell>
          <cell r="AV65">
            <v>8.9093715351004383E-4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7">
          <cell r="A67" t="str">
            <v>PTDP.T</v>
          </cell>
          <cell r="B67" t="str">
            <v>Prod Trans Dist Allocation Factor</v>
          </cell>
          <cell r="C67">
            <v>4642870007</v>
          </cell>
          <cell r="D67">
            <v>0</v>
          </cell>
          <cell r="E67">
            <v>343682399.60000002</v>
          </cell>
          <cell r="F67">
            <v>34951619.200000003</v>
          </cell>
          <cell r="G67">
            <v>67156644</v>
          </cell>
          <cell r="H67">
            <v>655736</v>
          </cell>
          <cell r="I67">
            <v>12652224</v>
          </cell>
          <cell r="J67">
            <v>20983856.400000002</v>
          </cell>
          <cell r="K67">
            <v>309229</v>
          </cell>
          <cell r="L67">
            <v>4143093</v>
          </cell>
          <cell r="M67">
            <v>22575914</v>
          </cell>
          <cell r="N67">
            <v>221413660</v>
          </cell>
          <cell r="O67">
            <v>451925642.47589862</v>
          </cell>
          <cell r="P67">
            <v>1211156.6164934656</v>
          </cell>
          <cell r="Q67">
            <v>931192867.51142752</v>
          </cell>
          <cell r="R67">
            <v>13164408.396180429</v>
          </cell>
          <cell r="S67">
            <v>0</v>
          </cell>
          <cell r="T67">
            <v>0</v>
          </cell>
          <cell r="U67">
            <v>0</v>
          </cell>
          <cell r="V67">
            <v>1255565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1374729598.4000001</v>
          </cell>
          <cell r="AD67">
            <v>139806476.80000001</v>
          </cell>
          <cell r="AE67">
            <v>268626576</v>
          </cell>
          <cell r="AF67">
            <v>83935425.600000009</v>
          </cell>
          <cell r="AG67">
            <v>0</v>
          </cell>
          <cell r="AH67">
            <v>0</v>
          </cell>
          <cell r="AI67">
            <v>115456007</v>
          </cell>
          <cell r="AJ67">
            <v>208973323</v>
          </cell>
          <cell r="AK67">
            <v>1674134</v>
          </cell>
          <cell r="AL67">
            <v>43231546</v>
          </cell>
          <cell r="AM67">
            <v>125725426</v>
          </cell>
          <cell r="AN67">
            <v>121949908</v>
          </cell>
          <cell r="AO67">
            <v>2152931</v>
          </cell>
          <cell r="AP67">
            <v>29334640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7.4023696352005147E-2</v>
          </cell>
          <cell r="F68">
            <v>7.5280202002864305E-3</v>
          </cell>
          <cell r="G68">
            <v>1.446446786120411E-2</v>
          </cell>
          <cell r="H68">
            <v>1.4123505482844763E-4</v>
          </cell>
          <cell r="I68">
            <v>2.725086849497055E-3</v>
          </cell>
          <cell r="J68">
            <v>4.5195873174055899E-3</v>
          </cell>
          <cell r="K68">
            <v>6.6602984691317889E-5</v>
          </cell>
          <cell r="L68">
            <v>8.9235601982254678E-4</v>
          </cell>
          <cell r="M68">
            <v>4.8624910811550966E-3</v>
          </cell>
          <cell r="N68">
            <v>4.7688963866353622E-2</v>
          </cell>
          <cell r="O68">
            <v>9.733756099019264E-2</v>
          </cell>
          <cell r="P68">
            <v>2.6086377922867086E-4</v>
          </cell>
          <cell r="Q68">
            <v>0.2005640619072856</v>
          </cell>
          <cell r="R68">
            <v>2.8354031830166698E-3</v>
          </cell>
          <cell r="S68">
            <v>0</v>
          </cell>
          <cell r="T68">
            <v>0</v>
          </cell>
          <cell r="U68">
            <v>0</v>
          </cell>
          <cell r="V68">
            <v>2.7042863532836362E-4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0.29609478540802059</v>
          </cell>
          <cell r="AD68">
            <v>3.0112080801145722E-2</v>
          </cell>
          <cell r="AE68">
            <v>5.7857871444816439E-2</v>
          </cell>
          <cell r="AF68">
            <v>1.807834926962236E-2</v>
          </cell>
          <cell r="AG68">
            <v>0</v>
          </cell>
          <cell r="AH68">
            <v>0</v>
          </cell>
          <cell r="AI68">
            <v>2.4867378760535692E-2</v>
          </cell>
          <cell r="AJ68">
            <v>4.5009514090408174E-2</v>
          </cell>
          <cell r="AK68">
            <v>3.605817086146991E-4</v>
          </cell>
          <cell r="AL68">
            <v>9.3113841082822293E-3</v>
          </cell>
          <cell r="AM68">
            <v>2.7079247493564385E-2</v>
          </cell>
          <cell r="AN68">
            <v>2.6266061254383081E-2</v>
          </cell>
          <cell r="AO68">
            <v>4.6370693057398797E-4</v>
          </cell>
          <cell r="AP68">
            <v>6.3182126477313626E-3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70">
          <cell r="A70" t="str">
            <v>RB.T</v>
          </cell>
          <cell r="B70" t="str">
            <v>Total Ratebase</v>
          </cell>
          <cell r="C70">
            <v>2973018832</v>
          </cell>
          <cell r="D70">
            <v>0</v>
          </cell>
          <cell r="E70">
            <v>251959233.5977357</v>
          </cell>
          <cell r="F70">
            <v>20196163.925389327</v>
          </cell>
          <cell r="G70">
            <v>36970828.203112632</v>
          </cell>
          <cell r="H70">
            <v>644804.85132929159</v>
          </cell>
          <cell r="I70">
            <v>7705208.9858028647</v>
          </cell>
          <cell r="J70">
            <v>12779176.126669664</v>
          </cell>
          <cell r="K70">
            <v>304074.13863461127</v>
          </cell>
          <cell r="L70">
            <v>2523145.1334261033</v>
          </cell>
          <cell r="M70">
            <v>22199572.496237621</v>
          </cell>
          <cell r="N70">
            <v>134840998.9114562</v>
          </cell>
          <cell r="O70">
            <v>275198976.94900107</v>
          </cell>
          <cell r="P70">
            <v>1188974.1199953721</v>
          </cell>
          <cell r="Q70">
            <v>567047541.44376349</v>
          </cell>
          <cell r="R70">
            <v>12923300.483982256</v>
          </cell>
          <cell r="S70">
            <v>0</v>
          </cell>
          <cell r="T70">
            <v>0</v>
          </cell>
          <cell r="U70">
            <v>0</v>
          </cell>
          <cell r="V70">
            <v>749027.01174798422</v>
          </cell>
          <cell r="W70">
            <v>-15399122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1007836934.3909428</v>
          </cell>
          <cell r="AD70">
            <v>80784655.701557308</v>
          </cell>
          <cell r="AE70">
            <v>147883312.81245053</v>
          </cell>
          <cell r="AF70">
            <v>51116704.506678656</v>
          </cell>
          <cell r="AG70">
            <v>0</v>
          </cell>
          <cell r="AH70">
            <v>0</v>
          </cell>
          <cell r="AI70">
            <v>68877093.508949637</v>
          </cell>
          <cell r="AJ70">
            <v>124666316.48838276</v>
          </cell>
          <cell r="AK70">
            <v>998730.91977372731</v>
          </cell>
          <cell r="AL70">
            <v>25790457.454313807</v>
          </cell>
          <cell r="AM70">
            <v>75003476.632051945</v>
          </cell>
          <cell r="AN70">
            <v>72751132.097646549</v>
          </cell>
          <cell r="AO70">
            <v>1284364.7867132318</v>
          </cell>
          <cell r="AP70">
            <v>18970403.101879254</v>
          </cell>
          <cell r="AQ70">
            <v>-10291319</v>
          </cell>
          <cell r="AR70">
            <v>-41895870</v>
          </cell>
          <cell r="AS70">
            <v>7790270.2810167633</v>
          </cell>
          <cell r="AT70">
            <v>1929844.1233757623</v>
          </cell>
          <cell r="AU70">
            <v>4101589.5978621263</v>
          </cell>
          <cell r="AV70">
            <v>3734434.9708235646</v>
          </cell>
          <cell r="AW70">
            <v>-145604.75270267981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</v>
          </cell>
          <cell r="E71">
            <v>8.4748616754720812E-2</v>
          </cell>
          <cell r="F71">
            <v>6.7931503520961643E-3</v>
          </cell>
          <cell r="G71">
            <v>1.243545039310825E-2</v>
          </cell>
          <cell r="H71">
            <v>2.1688555901124934E-4</v>
          </cell>
          <cell r="I71">
            <v>2.5917121354456542E-3</v>
          </cell>
          <cell r="J71">
            <v>4.2983838477985339E-3</v>
          </cell>
          <cell r="K71">
            <v>1.0227790532697549E-4</v>
          </cell>
          <cell r="L71">
            <v>8.4868118098288027E-4</v>
          </cell>
          <cell r="M71">
            <v>7.4670137495575816E-3</v>
          </cell>
          <cell r="N71">
            <v>4.5354909111270707E-2</v>
          </cell>
          <cell r="O71">
            <v>9.2565500758658187E-2</v>
          </cell>
          <cell r="P71">
            <v>3.9992148963130823E-4</v>
          </cell>
          <cell r="Q71">
            <v>0.19073123094289349</v>
          </cell>
          <cell r="R71">
            <v>4.3468612929331947E-3</v>
          </cell>
          <cell r="S71">
            <v>0</v>
          </cell>
          <cell r="T71">
            <v>0</v>
          </cell>
          <cell r="U71">
            <v>0</v>
          </cell>
          <cell r="V71">
            <v>2.5194156312965602E-4</v>
          </cell>
          <cell r="W71">
            <v>-5.1796247754141373E-3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0.33899446701888325</v>
          </cell>
          <cell r="AD71">
            <v>2.7172601408384657E-2</v>
          </cell>
          <cell r="AE71">
            <v>4.9741801572432999E-2</v>
          </cell>
          <cell r="AF71">
            <v>1.7193535391194135E-2</v>
          </cell>
          <cell r="AG71">
            <v>0</v>
          </cell>
          <cell r="AH71">
            <v>0</v>
          </cell>
          <cell r="AI71">
            <v>2.316739227064191E-2</v>
          </cell>
          <cell r="AJ71">
            <v>4.1932568723258852E-2</v>
          </cell>
          <cell r="AK71">
            <v>3.3593158207540316E-4</v>
          </cell>
          <cell r="AL71">
            <v>8.6748382407534665E-3</v>
          </cell>
          <cell r="AM71">
            <v>2.5228052989356896E-2</v>
          </cell>
          <cell r="AN71">
            <v>2.4470457877559301E-2</v>
          </cell>
          <cell r="AO71">
            <v>4.3200694623559376E-4</v>
          </cell>
          <cell r="AP71">
            <v>6.3808553439661676E-3</v>
          </cell>
          <cell r="AQ71">
            <v>-3.4615720859988148E-3</v>
          </cell>
          <cell r="AR71">
            <v>-1.4092029807902676E-2</v>
          </cell>
          <cell r="AS71">
            <v>2.6203232206827689E-3</v>
          </cell>
          <cell r="AT71">
            <v>6.4911937408668326E-4</v>
          </cell>
          <cell r="AU71">
            <v>1.3796043111852466E-3</v>
          </cell>
          <cell r="AV71">
            <v>1.2561087506840134E-3</v>
          </cell>
          <cell r="AW71">
            <v>-4.8975388630393916E-5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3">
          <cell r="A73" t="str">
            <v>REVFAC1.T</v>
          </cell>
          <cell r="B73" t="str">
            <v>REVFAC1 = (OME.T+DAE.T+RRB.T)</v>
          </cell>
          <cell r="C73">
            <v>1592039735.6632004</v>
          </cell>
          <cell r="D73">
            <v>0</v>
          </cell>
          <cell r="E73">
            <v>234242090.75526002</v>
          </cell>
          <cell r="F73">
            <v>2821553.4865771062</v>
          </cell>
          <cell r="G73">
            <v>5260567.1551483767</v>
          </cell>
          <cell r="H73">
            <v>84552.045161032322</v>
          </cell>
          <cell r="I73">
            <v>1216217.5559488628</v>
          </cell>
          <cell r="J73">
            <v>2351056.5207784288</v>
          </cell>
          <cell r="K73">
            <v>39925.279570566876</v>
          </cell>
          <cell r="L73">
            <v>398967.07619737729</v>
          </cell>
          <cell r="M73">
            <v>3306287.892228052</v>
          </cell>
          <cell r="N73">
            <v>25160691.552714482</v>
          </cell>
          <cell r="O73">
            <v>77523739.233483508</v>
          </cell>
          <cell r="P73">
            <v>247338.48219280259</v>
          </cell>
          <cell r="Q73">
            <v>105739816.2267805</v>
          </cell>
          <cell r="R73">
            <v>1925017.2540084319</v>
          </cell>
          <cell r="S73">
            <v>0</v>
          </cell>
          <cell r="T73">
            <v>0</v>
          </cell>
          <cell r="U73">
            <v>0</v>
          </cell>
          <cell r="V73">
            <v>119324.75617583763</v>
          </cell>
          <cell r="W73">
            <v>-1349956.6272855455</v>
          </cell>
          <cell r="X73">
            <v>5160</v>
          </cell>
          <cell r="Y73">
            <v>2343138.3835877138</v>
          </cell>
          <cell r="Z73">
            <v>38291.600816686652</v>
          </cell>
          <cell r="AA73">
            <v>99278.371904907239</v>
          </cell>
          <cell r="AB73">
            <v>6900232.348460651</v>
          </cell>
          <cell r="AC73">
            <v>936968363.02104008</v>
          </cell>
          <cell r="AD73">
            <v>11286213.946308425</v>
          </cell>
          <cell r="AE73">
            <v>21042268.620593507</v>
          </cell>
          <cell r="AF73">
            <v>9404226.0831137151</v>
          </cell>
          <cell r="AG73">
            <v>9620328.2434559371</v>
          </cell>
          <cell r="AH73">
            <v>-31426.909894241126</v>
          </cell>
          <cell r="AI73">
            <v>11135243.304518219</v>
          </cell>
          <cell r="AJ73">
            <v>20154592.699179981</v>
          </cell>
          <cell r="AK73">
            <v>161463.13993317215</v>
          </cell>
          <cell r="AL73">
            <v>4108583.5345478002</v>
          </cell>
          <cell r="AM73">
            <v>11951216.103431126</v>
          </cell>
          <cell r="AN73">
            <v>18445204.862559341</v>
          </cell>
          <cell r="AO73">
            <v>242402.05148214812</v>
          </cell>
          <cell r="AP73">
            <v>6928934.9687620653</v>
          </cell>
          <cell r="AQ73">
            <v>-902183.53277282009</v>
          </cell>
          <cell r="AR73">
            <v>-3672781.3028816623</v>
          </cell>
          <cell r="AS73">
            <v>22469506.787084579</v>
          </cell>
          <cell r="AT73">
            <v>19520140.492228191</v>
          </cell>
          <cell r="AU73">
            <v>11830230.785647405</v>
          </cell>
          <cell r="AV73">
            <v>6141029.6575404666</v>
          </cell>
          <cell r="AW73">
            <v>442372.757612827</v>
          </cell>
          <cell r="AX73">
            <v>230164</v>
          </cell>
          <cell r="AY73">
            <v>6090353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0</v>
          </cell>
          <cell r="E74">
            <v>0.14713331929349185</v>
          </cell>
          <cell r="F74">
            <v>1.7722883564848485E-3</v>
          </cell>
          <cell r="G74">
            <v>3.3042938799244027E-3</v>
          </cell>
          <cell r="H74">
            <v>5.3109255546194166E-5</v>
          </cell>
          <cell r="I74">
            <v>7.6393668367970714E-4</v>
          </cell>
          <cell r="J74">
            <v>1.4767574377149842E-3</v>
          </cell>
          <cell r="K74">
            <v>2.5078067259379736E-5</v>
          </cell>
          <cell r="L74">
            <v>2.5060120502028708E-4</v>
          </cell>
          <cell r="M74">
            <v>2.0767621675289046E-3</v>
          </cell>
          <cell r="N74">
            <v>1.5804060030092919E-2</v>
          </cell>
          <cell r="O74">
            <v>4.8694600704290353E-2</v>
          </cell>
          <cell r="P74">
            <v>1.5535949050277199E-4</v>
          </cell>
          <cell r="Q74">
            <v>6.6417824793005037E-2</v>
          </cell>
          <cell r="R74">
            <v>1.2091515122934556E-3</v>
          </cell>
          <cell r="S74">
            <v>0</v>
          </cell>
          <cell r="T74">
            <v>0</v>
          </cell>
          <cell r="U74">
            <v>0</v>
          </cell>
          <cell r="V74">
            <v>7.4950865548673119E-5</v>
          </cell>
          <cell r="W74">
            <v>-8.479415413103306E-4</v>
          </cell>
          <cell r="X74">
            <v>3.2411251330046009E-6</v>
          </cell>
          <cell r="Y74">
            <v>1.471783857587968E-3</v>
          </cell>
          <cell r="Z74">
            <v>2.4051912749988879E-5</v>
          </cell>
          <cell r="AA74">
            <v>6.2359229911777662E-5</v>
          </cell>
          <cell r="AB74">
            <v>4.3342086217378253E-3</v>
          </cell>
          <cell r="AC74">
            <v>0.58853327717396742</v>
          </cell>
          <cell r="AD74">
            <v>7.0891534259393939E-3</v>
          </cell>
          <cell r="AE74">
            <v>1.3217175519697611E-2</v>
          </cell>
          <cell r="AF74">
            <v>5.907029750859937E-3</v>
          </cell>
          <cell r="AG74">
            <v>6.0427689258951631E-3</v>
          </cell>
          <cell r="AH74">
            <v>-1.9740028587382923E-5</v>
          </cell>
          <cell r="AI74">
            <v>6.9943249876734895E-3</v>
          </cell>
          <cell r="AJ74">
            <v>1.2659604058678929E-2</v>
          </cell>
          <cell r="AK74">
            <v>1.0141903893241145E-4</v>
          </cell>
          <cell r="AL74">
            <v>2.5807041385410372E-3</v>
          </cell>
          <cell r="AM74">
            <v>7.5068579230232434E-3</v>
          </cell>
          <cell r="AN74">
            <v>1.1585894779740263E-2</v>
          </cell>
          <cell r="AO74">
            <v>1.5225879483540027E-4</v>
          </cell>
          <cell r="AP74">
            <v>4.3522374558544923E-3</v>
          </cell>
          <cell r="AQ74">
            <v>-5.666840547776874E-4</v>
          </cell>
          <cell r="AR74">
            <v>-2.3069658505424687E-3</v>
          </cell>
          <cell r="AS74">
            <v>1.4113659529813428E-2</v>
          </cell>
          <cell r="AT74">
            <v>1.2261088749833641E-2</v>
          </cell>
          <cell r="AU74">
            <v>7.4308640171718158E-3</v>
          </cell>
          <cell r="AV74">
            <v>3.8573344119343109E-3</v>
          </cell>
          <cell r="AW74">
            <v>2.7786539977819495E-4</v>
          </cell>
          <cell r="AX74">
            <v>1.4457176843272692E-4</v>
          </cell>
          <cell r="AY74">
            <v>3.8255031351104593E-3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6">
          <cell r="A76" t="str">
            <v>SW.T</v>
          </cell>
          <cell r="B76" t="str">
            <v>Salary &amp; Wages - Total</v>
          </cell>
          <cell r="C76">
            <v>57795545</v>
          </cell>
          <cell r="D76">
            <v>0</v>
          </cell>
          <cell r="E76">
            <v>3102669.6763198031</v>
          </cell>
          <cell r="F76">
            <v>207396.12854266498</v>
          </cell>
          <cell r="G76">
            <v>398494.49869029212</v>
          </cell>
          <cell r="H76">
            <v>7430.296585170363</v>
          </cell>
          <cell r="I76">
            <v>143365.28234230011</v>
          </cell>
          <cell r="J76">
            <v>237772.93995239743</v>
          </cell>
          <cell r="K76">
            <v>3503.945463930067</v>
          </cell>
          <cell r="L76">
            <v>46946.346959665534</v>
          </cell>
          <cell r="M76">
            <v>255812.91358305753</v>
          </cell>
          <cell r="N76">
            <v>2508889.4948699959</v>
          </cell>
          <cell r="O76">
            <v>5120874.1902832724</v>
          </cell>
          <cell r="P76">
            <v>13723.89631137819</v>
          </cell>
          <cell r="Q76">
            <v>10551562.189059559</v>
          </cell>
          <cell r="R76">
            <v>149168.96243599177</v>
          </cell>
          <cell r="S76">
            <v>0</v>
          </cell>
          <cell r="T76">
            <v>0</v>
          </cell>
          <cell r="U76">
            <v>0</v>
          </cell>
          <cell r="V76">
            <v>14227.097996692919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12410678.705279212</v>
          </cell>
          <cell r="AD76">
            <v>829584.51417065994</v>
          </cell>
          <cell r="AE76">
            <v>1593977.9947611685</v>
          </cell>
          <cell r="AF76">
            <v>951091.75980958971</v>
          </cell>
          <cell r="AG76">
            <v>0</v>
          </cell>
          <cell r="AH76">
            <v>0</v>
          </cell>
          <cell r="AI76">
            <v>1308258.7726608049</v>
          </cell>
          <cell r="AJ76">
            <v>2367925.1532302685</v>
          </cell>
          <cell r="AK76">
            <v>18970.000340560229</v>
          </cell>
          <cell r="AL76">
            <v>489866.66679187282</v>
          </cell>
          <cell r="AM76">
            <v>1424623.9393244984</v>
          </cell>
          <cell r="AN76">
            <v>1381842.6698766577</v>
          </cell>
          <cell r="AO76">
            <v>24395.360110482598</v>
          </cell>
          <cell r="AP76">
            <v>792587.60424805409</v>
          </cell>
          <cell r="AQ76">
            <v>0</v>
          </cell>
          <cell r="AR76">
            <v>0</v>
          </cell>
          <cell r="AS76">
            <v>4234921.0966917733</v>
          </cell>
          <cell r="AT76">
            <v>3761481.098890142</v>
          </cell>
          <cell r="AU76">
            <v>2229692.6411249982</v>
          </cell>
          <cell r="AV76">
            <v>1213809.1632930867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 t="str">
            <v/>
          </cell>
          <cell r="D77">
            <v>0</v>
          </cell>
          <cell r="E77">
            <v>5.3683543884218123E-2</v>
          </cell>
          <cell r="F77">
            <v>3.5884448973128461E-3</v>
          </cell>
          <cell r="G77">
            <v>6.8948999216166592E-3</v>
          </cell>
          <cell r="H77">
            <v>1.2856175307578402E-4</v>
          </cell>
          <cell r="I77">
            <v>2.4805593985193861E-3</v>
          </cell>
          <cell r="J77">
            <v>4.1140357782316513E-3</v>
          </cell>
          <cell r="K77">
            <v>6.0626566700427638E-5</v>
          </cell>
          <cell r="L77">
            <v>8.1228314327108663E-4</v>
          </cell>
          <cell r="M77">
            <v>4.4261701067626847E-3</v>
          </cell>
          <cell r="N77">
            <v>4.3409738499221626E-2</v>
          </cell>
          <cell r="O77">
            <v>8.8603268474815353E-2</v>
          </cell>
          <cell r="P77">
            <v>2.3745595463072784E-4</v>
          </cell>
          <cell r="Q77">
            <v>0.18256705061020809</v>
          </cell>
          <cell r="R77">
            <v>2.5809768285080066E-3</v>
          </cell>
          <cell r="S77">
            <v>0</v>
          </cell>
          <cell r="T77">
            <v>0</v>
          </cell>
          <cell r="U77">
            <v>0</v>
          </cell>
          <cell r="V77">
            <v>2.4616253721100682E-4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0.21473417553687249</v>
          </cell>
          <cell r="AD77">
            <v>1.4353779589251384E-2</v>
          </cell>
          <cell r="AE77">
            <v>2.7579599686466637E-2</v>
          </cell>
          <cell r="AF77">
            <v>1.6456143112926605E-2</v>
          </cell>
          <cell r="AG77">
            <v>0</v>
          </cell>
          <cell r="AH77">
            <v>0</v>
          </cell>
          <cell r="AI77">
            <v>2.2635979514697972E-2</v>
          </cell>
          <cell r="AJ77">
            <v>4.0970721069076663E-2</v>
          </cell>
          <cell r="AK77">
            <v>3.2822599632134674E-4</v>
          </cell>
          <cell r="AL77">
            <v>8.4758551336763556E-3</v>
          </cell>
          <cell r="AM77">
            <v>2.4649372876828109E-2</v>
          </cell>
          <cell r="AN77">
            <v>2.3909155452667807E-2</v>
          </cell>
          <cell r="AO77">
            <v>4.2209758746080859E-4</v>
          </cell>
          <cell r="AP77">
            <v>1.3713645303423543E-2</v>
          </cell>
          <cell r="AQ77">
            <v>0</v>
          </cell>
          <cell r="AR77">
            <v>0</v>
          </cell>
          <cell r="AS77">
            <v>7.3274178774363541E-2</v>
          </cell>
          <cell r="AT77">
            <v>6.5082543972725615E-2</v>
          </cell>
          <cell r="AU77">
            <v>3.8578970768854214E-2</v>
          </cell>
          <cell r="AV77">
            <v>2.1001777270083476E-2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 t="str">
            <v/>
          </cell>
        </row>
        <row r="79">
          <cell r="A79" t="str">
            <v>SWPTD.T</v>
          </cell>
          <cell r="B79" t="str">
            <v>Salary &amp; Wages - PTD Subtotal</v>
          </cell>
          <cell r="C79">
            <v>28577582.000000007</v>
          </cell>
          <cell r="D79">
            <v>0</v>
          </cell>
          <cell r="E79">
            <v>1820737</v>
          </cell>
          <cell r="F79">
            <v>77026.8608847508</v>
          </cell>
          <cell r="G79">
            <v>148000.73911524919</v>
          </cell>
          <cell r="H79">
            <v>4984.40640744349</v>
          </cell>
          <cell r="I79">
            <v>96172.585269087402</v>
          </cell>
          <cell r="J79">
            <v>159503.31885550602</v>
          </cell>
          <cell r="K79">
            <v>2350.5237000368184</v>
          </cell>
          <cell r="L79">
            <v>31492.642307017264</v>
          </cell>
          <cell r="M79">
            <v>171604.93002594518</v>
          </cell>
          <cell r="N79">
            <v>1683018.2658867505</v>
          </cell>
          <cell r="O79">
            <v>3435195.0602756063</v>
          </cell>
          <cell r="P79">
            <v>9206.2915558511468</v>
          </cell>
          <cell r="Q79">
            <v>7078220.0388412969</v>
          </cell>
          <cell r="R79">
            <v>100065.82155032604</v>
          </cell>
          <cell r="S79">
            <v>0</v>
          </cell>
          <cell r="T79">
            <v>0</v>
          </cell>
          <cell r="U79">
            <v>0</v>
          </cell>
          <cell r="V79">
            <v>9543.8503162275447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7282948</v>
          </cell>
          <cell r="AD79">
            <v>308107.4435390032</v>
          </cell>
          <cell r="AE79">
            <v>592002.95646099676</v>
          </cell>
          <cell r="AF79">
            <v>638013.27542202407</v>
          </cell>
          <cell r="AG79">
            <v>0</v>
          </cell>
          <cell r="AH79">
            <v>0</v>
          </cell>
          <cell r="AI79">
            <v>877608.76491246547</v>
          </cell>
          <cell r="AJ79">
            <v>1588456.2844589255</v>
          </cell>
          <cell r="AK79">
            <v>12725.493546974698</v>
          </cell>
          <cell r="AL79">
            <v>328613.33659595932</v>
          </cell>
          <cell r="AM79">
            <v>955669.07861237205</v>
          </cell>
          <cell r="AN79">
            <v>926970.46192727587</v>
          </cell>
          <cell r="AO79">
            <v>16364.944232410178</v>
          </cell>
          <cell r="AP79">
            <v>222979.62530049914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 t="str">
            <v/>
          </cell>
          <cell r="D80">
            <v>0</v>
          </cell>
          <cell r="E80">
            <v>6.3712073330766741E-2</v>
          </cell>
          <cell r="F80">
            <v>2.6953596313624706E-3</v>
          </cell>
          <cell r="G80">
            <v>5.1789104870821178E-3</v>
          </cell>
          <cell r="H80">
            <v>1.744166601444268E-4</v>
          </cell>
          <cell r="I80">
            <v>3.3653156963765296E-3</v>
          </cell>
          <cell r="J80">
            <v>5.5814140907899761E-3</v>
          </cell>
          <cell r="K80">
            <v>8.2250615186295955E-5</v>
          </cell>
          <cell r="L80">
            <v>1.1020051418981934E-3</v>
          </cell>
          <cell r="M80">
            <v>6.0048792800575339E-3</v>
          </cell>
          <cell r="N80">
            <v>5.8892955530203711E-2</v>
          </cell>
          <cell r="O80">
            <v>0.1202059383567023</v>
          </cell>
          <cell r="P80">
            <v>3.2215082283207672E-4</v>
          </cell>
          <cell r="Q80">
            <v>0.24768435757935348</v>
          </cell>
          <cell r="R80">
            <v>3.5015496255185628E-3</v>
          </cell>
          <cell r="S80">
            <v>0</v>
          </cell>
          <cell r="T80">
            <v>0</v>
          </cell>
          <cell r="U80">
            <v>0</v>
          </cell>
          <cell r="V80">
            <v>3.3396283549208403E-4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0.25484829332306697</v>
          </cell>
          <cell r="AD80">
            <v>1.0781438525449882E-2</v>
          </cell>
          <cell r="AE80">
            <v>2.0715641948328471E-2</v>
          </cell>
          <cell r="AF80">
            <v>2.2325656363159904E-2</v>
          </cell>
          <cell r="AG80">
            <v>0</v>
          </cell>
          <cell r="AH80">
            <v>0</v>
          </cell>
          <cell r="AI80">
            <v>3.070969282539248E-2</v>
          </cell>
          <cell r="AJ80">
            <v>5.5583998830234307E-2</v>
          </cell>
          <cell r="AK80">
            <v>4.4529637066476426E-4</v>
          </cell>
          <cell r="AL80">
            <v>1.1498990243329867E-2</v>
          </cell>
          <cell r="AM80">
            <v>3.3441215516847152E-2</v>
          </cell>
          <cell r="AN80">
            <v>3.2436980215025737E-2</v>
          </cell>
          <cell r="AO80">
            <v>5.7264971656489948E-4</v>
          </cell>
          <cell r="AP80">
            <v>7.8026064381688798E-3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 t="str">
            <v/>
          </cell>
        </row>
        <row r="82">
          <cell r="A82" t="str">
            <v>TDP.T</v>
          </cell>
          <cell r="B82" t="str">
            <v>Total Transmission &amp; Distribution Plant</v>
          </cell>
          <cell r="C82">
            <v>2924458009</v>
          </cell>
          <cell r="D82">
            <v>0</v>
          </cell>
          <cell r="E82">
            <v>0</v>
          </cell>
          <cell r="F82">
            <v>34951619.200000003</v>
          </cell>
          <cell r="G82">
            <v>67156644</v>
          </cell>
          <cell r="H82">
            <v>655736</v>
          </cell>
          <cell r="I82">
            <v>12652224</v>
          </cell>
          <cell r="J82">
            <v>20983856.400000002</v>
          </cell>
          <cell r="K82">
            <v>309229</v>
          </cell>
          <cell r="L82">
            <v>4143093</v>
          </cell>
          <cell r="M82">
            <v>22575914</v>
          </cell>
          <cell r="N82">
            <v>221413660</v>
          </cell>
          <cell r="O82">
            <v>451925642.47589862</v>
          </cell>
          <cell r="P82">
            <v>1211156.6164934656</v>
          </cell>
          <cell r="Q82">
            <v>931192867.51142752</v>
          </cell>
          <cell r="R82">
            <v>13164408.396180429</v>
          </cell>
          <cell r="S82">
            <v>0</v>
          </cell>
          <cell r="T82">
            <v>0</v>
          </cell>
          <cell r="U82">
            <v>0</v>
          </cell>
          <cell r="V82">
            <v>1255565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139806476.80000001</v>
          </cell>
          <cell r="AE82">
            <v>268626576</v>
          </cell>
          <cell r="AF82">
            <v>83935425.600000009</v>
          </cell>
          <cell r="AG82">
            <v>0</v>
          </cell>
          <cell r="AH82">
            <v>0</v>
          </cell>
          <cell r="AI82">
            <v>115456007</v>
          </cell>
          <cell r="AJ82">
            <v>208973323</v>
          </cell>
          <cell r="AK82">
            <v>1674134</v>
          </cell>
          <cell r="AL82">
            <v>43231546</v>
          </cell>
          <cell r="AM82">
            <v>125725426</v>
          </cell>
          <cell r="AN82">
            <v>121949908</v>
          </cell>
          <cell r="AO82">
            <v>2152931</v>
          </cell>
          <cell r="AP82">
            <v>29334640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1.1951486084750279E-2</v>
          </cell>
          <cell r="G83">
            <v>2.2963791510538321E-2</v>
          </cell>
          <cell r="H83">
            <v>2.2422479583634875E-4</v>
          </cell>
          <cell r="I83">
            <v>4.3263483220011591E-3</v>
          </cell>
          <cell r="J83">
            <v>7.1752975544262642E-3</v>
          </cell>
          <cell r="K83">
            <v>1.0573890924347342E-4</v>
          </cell>
          <cell r="L83">
            <v>1.4167045610672675E-3</v>
          </cell>
          <cell r="M83">
            <v>7.7196916250884011E-3</v>
          </cell>
          <cell r="N83">
            <v>7.5711006729657582E-2</v>
          </cell>
          <cell r="O83">
            <v>0.1545331275351195</v>
          </cell>
          <cell r="P83">
            <v>4.141473779982955E-4</v>
          </cell>
          <cell r="Q83">
            <v>0.3184155370484677</v>
          </cell>
          <cell r="R83">
            <v>4.5014865508983372E-3</v>
          </cell>
          <cell r="S83">
            <v>0</v>
          </cell>
          <cell r="T83">
            <v>0</v>
          </cell>
          <cell r="U83">
            <v>0</v>
          </cell>
          <cell r="V83">
            <v>4.293325450856217E-4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4.7805944339001115E-2</v>
          </cell>
          <cell r="AE83">
            <v>9.1855166042153283E-2</v>
          </cell>
          <cell r="AF83">
            <v>2.8701190217705057E-2</v>
          </cell>
          <cell r="AG83">
            <v>0</v>
          </cell>
          <cell r="AH83">
            <v>0</v>
          </cell>
          <cell r="AI83">
            <v>3.9479454533005741E-2</v>
          </cell>
          <cell r="AJ83">
            <v>7.1457111832991277E-2</v>
          </cell>
          <cell r="AK83">
            <v>5.7245957878275695E-4</v>
          </cell>
          <cell r="AL83">
            <v>1.4782754912860846E-2</v>
          </cell>
          <cell r="AM83">
            <v>4.2991017690485155E-2</v>
          </cell>
          <cell r="AN83">
            <v>4.1700003085939331E-2</v>
          </cell>
          <cell r="AO83">
            <v>7.3618119780635228E-4</v>
          </cell>
          <cell r="AP83">
            <v>1.0030795419090594E-2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5">
          <cell r="A85" t="str">
            <v>IBFIT.T</v>
          </cell>
          <cell r="B85" t="str">
            <v>Total Income Before FIT</v>
          </cell>
          <cell r="C85">
            <v>11</v>
          </cell>
          <cell r="D85">
            <v>9.9999999999999998E-17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1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</row>
        <row r="86">
          <cell r="A86" t="str">
            <v/>
          </cell>
          <cell r="D86">
            <v>9.0909090909090904E-18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9.0909090909090912E-2</v>
          </cell>
          <cell r="AR86">
            <v>9.0909090909090912E-2</v>
          </cell>
          <cell r="AS86">
            <v>9.0909090909090912E-2</v>
          </cell>
          <cell r="AT86">
            <v>9.0909090909090912E-2</v>
          </cell>
          <cell r="AU86">
            <v>9.0909090909090912E-2</v>
          </cell>
          <cell r="AV86">
            <v>9.0909090909090912E-2</v>
          </cell>
          <cell r="AW86">
            <v>9.0909090909090912E-2</v>
          </cell>
          <cell r="AX86">
            <v>9.0909090909090912E-2</v>
          </cell>
          <cell r="AY86">
            <v>9.0909090909090912E-2</v>
          </cell>
          <cell r="AZ86">
            <v>9.0909090909090912E-2</v>
          </cell>
          <cell r="BA86">
            <v>9.0909090909090912E-2</v>
          </cell>
          <cell r="BB86">
            <v>9.0909090909090912E-2</v>
          </cell>
          <cell r="BC86">
            <v>9.0909090909090912E-2</v>
          </cell>
          <cell r="BD86">
            <v>9.0909090909090912E-2</v>
          </cell>
          <cell r="BE86">
            <v>9.0909090909090912E-2</v>
          </cell>
          <cell r="BF86">
            <v>9.0909090909090912E-2</v>
          </cell>
          <cell r="BG86">
            <v>9.0909090909090912E-2</v>
          </cell>
          <cell r="BH86">
            <v>9.0909090909090912E-2</v>
          </cell>
          <cell r="BI86">
            <v>9.0909090909090912E-2</v>
          </cell>
          <cell r="BJ86">
            <v>9.0909090909090912E-2</v>
          </cell>
          <cell r="BK86">
            <v>9.0909090909090912E-2</v>
          </cell>
          <cell r="BL86">
            <v>9.0909090909090912E-2</v>
          </cell>
          <cell r="BM86">
            <v>9.0909090909090912E-2</v>
          </cell>
          <cell r="BN86">
            <v>9.0909090909090912E-2</v>
          </cell>
          <cell r="BO86">
            <v>9.0909090909090912E-2</v>
          </cell>
          <cell r="BP86">
            <v>9.0909090909090912E-2</v>
          </cell>
          <cell r="BQ86">
            <v>9.0909090909090912E-2</v>
          </cell>
          <cell r="BR86">
            <v>9.0909090909090912E-2</v>
          </cell>
          <cell r="BS86">
            <v>9.0909090909090912E-2</v>
          </cell>
          <cell r="BT86">
            <v>9.0909090909090912E-2</v>
          </cell>
          <cell r="BU86">
            <v>9.0909090909090912E-2</v>
          </cell>
          <cell r="BV86">
            <v>9.0909090909090912E-2</v>
          </cell>
          <cell r="BW86">
            <v>9.0909090909090912E-2</v>
          </cell>
          <cell r="BX86">
            <v>9.0909090909090912E-2</v>
          </cell>
          <cell r="BY86">
            <v>9.0909090909090912E-2</v>
          </cell>
        </row>
        <row r="87">
          <cell r="A87" t="str">
            <v/>
          </cell>
        </row>
        <row r="88">
          <cell r="A88" t="str">
            <v>EBFIT.T</v>
          </cell>
          <cell r="B88" t="str">
            <v>Total Expenses Before FIT</v>
          </cell>
          <cell r="C88">
            <v>1440764037.9799998</v>
          </cell>
          <cell r="D88">
            <v>0</v>
          </cell>
          <cell r="E88">
            <v>215376495.03318271</v>
          </cell>
          <cell r="F88">
            <v>1353598.5359734497</v>
          </cell>
          <cell r="G88">
            <v>2600597.5602930393</v>
          </cell>
          <cell r="H88">
            <v>34075.517751004729</v>
          </cell>
          <cell r="I88">
            <v>656882.76386775542</v>
          </cell>
          <cell r="J88">
            <v>1423625.3200400972</v>
          </cell>
          <cell r="K88">
            <v>16121.824916692543</v>
          </cell>
          <cell r="L88">
            <v>215807.98342274057</v>
          </cell>
          <cell r="M88">
            <v>1568738.3866049557</v>
          </cell>
          <cell r="N88">
            <v>15375036.044922194</v>
          </cell>
          <cell r="O88">
            <v>57570579.838935532</v>
          </cell>
          <cell r="P88">
            <v>154345.23633954048</v>
          </cell>
          <cell r="Q88">
            <v>64588835.304331452</v>
          </cell>
          <cell r="R88">
            <v>913716.9763252961</v>
          </cell>
          <cell r="S88">
            <v>0</v>
          </cell>
          <cell r="T88">
            <v>0</v>
          </cell>
          <cell r="U88">
            <v>0</v>
          </cell>
          <cell r="V88">
            <v>65184.922368263957</v>
          </cell>
          <cell r="W88">
            <v>-1930.8572091346769</v>
          </cell>
          <cell r="X88">
            <v>5163.5827494453988</v>
          </cell>
          <cell r="Y88">
            <v>2344765.2978792433</v>
          </cell>
          <cell r="Z88">
            <v>38318.187873196228</v>
          </cell>
          <cell r="AA88">
            <v>99347.303984729413</v>
          </cell>
          <cell r="AB88">
            <v>6905023.3956737462</v>
          </cell>
          <cell r="AC88">
            <v>861505980.13273084</v>
          </cell>
          <cell r="AD88">
            <v>5414394.1438937988</v>
          </cell>
          <cell r="AE88">
            <v>10402390.241172157</v>
          </cell>
          <cell r="AF88">
            <v>7399012.2801603889</v>
          </cell>
          <cell r="AG88">
            <v>9627007.938354928</v>
          </cell>
          <cell r="AH88">
            <v>-31448.730581061704</v>
          </cell>
          <cell r="AI88">
            <v>6156905.1016732007</v>
          </cell>
          <cell r="AJ88">
            <v>11143888.93158501</v>
          </cell>
          <cell r="AK88">
            <v>89276.29175227377</v>
          </cell>
          <cell r="AL88">
            <v>2244443.7124880296</v>
          </cell>
          <cell r="AM88">
            <v>6529950.5161018856</v>
          </cell>
          <cell r="AN88">
            <v>13191497.3380227</v>
          </cell>
          <cell r="AO88">
            <v>149594.12991362545</v>
          </cell>
          <cell r="AP88">
            <v>5579029.5414827019</v>
          </cell>
          <cell r="AQ88">
            <v>-1290.4026270234547</v>
          </cell>
          <cell r="AR88">
            <v>-5253.2178537496638</v>
          </cell>
          <cell r="AS88">
            <v>22179338.608226512</v>
          </cell>
          <cell r="AT88">
            <v>19699189.569579199</v>
          </cell>
          <cell r="AU88">
            <v>11677456.781523954</v>
          </cell>
          <cell r="AV88">
            <v>5926114.4922700524</v>
          </cell>
          <cell r="AW88">
            <v>455434.88719609275</v>
          </cell>
          <cell r="AX88">
            <v>230323.81006654084</v>
          </cell>
          <cell r="AY88">
            <v>69857948.712642074</v>
          </cell>
          <cell r="AZ88">
            <v>38525.01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 t="str">
            <v/>
          </cell>
          <cell r="D89">
            <v>0</v>
          </cell>
          <cell r="E89">
            <v>0.14948769496991879</v>
          </cell>
          <cell r="F89">
            <v>9.3950050132514471E-4</v>
          </cell>
          <cell r="G89">
            <v>1.8050128207941431E-3</v>
          </cell>
          <cell r="H89">
            <v>2.3651005197755882E-5</v>
          </cell>
          <cell r="I89">
            <v>4.5592667956144119E-4</v>
          </cell>
          <cell r="J89">
            <v>9.8810442411935017E-4</v>
          </cell>
          <cell r="K89">
            <v>1.1189774655463979E-5</v>
          </cell>
          <cell r="L89">
            <v>1.4978718078312859E-4</v>
          </cell>
          <cell r="M89">
            <v>1.0888239470526904E-3</v>
          </cell>
          <cell r="N89">
            <v>1.067144628795602E-2</v>
          </cell>
          <cell r="O89">
            <v>3.9958368144482177E-2</v>
          </cell>
          <cell r="P89">
            <v>1.0712735206518463E-4</v>
          </cell>
          <cell r="Q89">
            <v>4.4829572089325045E-2</v>
          </cell>
          <cell r="R89">
            <v>6.3418918867961084E-4</v>
          </cell>
          <cell r="S89">
            <v>0</v>
          </cell>
          <cell r="T89">
            <v>0</v>
          </cell>
          <cell r="U89">
            <v>0</v>
          </cell>
          <cell r="V89">
            <v>4.5243301921704984E-5</v>
          </cell>
          <cell r="W89">
            <v>-1.3401619961599017E-6</v>
          </cell>
          <cell r="X89">
            <v>3.5839197907000216E-6</v>
          </cell>
          <cell r="Y89">
            <v>1.6274457413350517E-3</v>
          </cell>
          <cell r="Z89">
            <v>2.659574146986597E-5</v>
          </cell>
          <cell r="AA89">
            <v>6.8954597259394195E-5</v>
          </cell>
          <cell r="AB89">
            <v>4.7926122624179484E-3</v>
          </cell>
          <cell r="AC89">
            <v>0.59795077987967515</v>
          </cell>
          <cell r="AD89">
            <v>3.7580020053005789E-3</v>
          </cell>
          <cell r="AE89">
            <v>7.2200512831765724E-3</v>
          </cell>
          <cell r="AF89">
            <v>5.1354781804063181E-3</v>
          </cell>
          <cell r="AG89">
            <v>6.6818768962697882E-3</v>
          </cell>
          <cell r="AH89">
            <v>-2.1827814792735868E-5</v>
          </cell>
          <cell r="AI89">
            <v>4.2733611746066285E-3</v>
          </cell>
          <cell r="AJ89">
            <v>7.7347078618155421E-3</v>
          </cell>
          <cell r="AK89">
            <v>6.1964547558698204E-5</v>
          </cell>
          <cell r="AL89">
            <v>1.5578149185586393E-3</v>
          </cell>
          <cell r="AM89">
            <v>4.5322831108812918E-3</v>
          </cell>
          <cell r="AN89">
            <v>9.1559040830291871E-3</v>
          </cell>
          <cell r="AO89">
            <v>1.03829722265529E-4</v>
          </cell>
          <cell r="AP89">
            <v>3.8722715131790015E-3</v>
          </cell>
          <cell r="AQ89">
            <v>-8.956377262390885E-7</v>
          </cell>
          <cell r="AR89">
            <v>-3.646133381504201E-6</v>
          </cell>
          <cell r="AS89">
            <v>1.5394150619779974E-2</v>
          </cell>
          <cell r="AT89">
            <v>1.3672738248796196E-2</v>
          </cell>
          <cell r="AU89">
            <v>8.1050445969599195E-3</v>
          </cell>
          <cell r="AV89">
            <v>4.1131749100141802E-3</v>
          </cell>
          <cell r="AW89">
            <v>3.161065068188598E-4</v>
          </cell>
          <cell r="AX89">
            <v>1.5986227029199219E-4</v>
          </cell>
          <cell r="AY89">
            <v>4.848673819662052E-2</v>
          </cell>
          <cell r="AZ89">
            <v>2.6739291781611496E-5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 t="str">
            <v/>
          </cell>
        </row>
        <row r="91">
          <cell r="A91" t="str">
            <v>TP.T</v>
          </cell>
          <cell r="B91" t="str">
            <v>Total Transmission Plant</v>
          </cell>
          <cell r="C91">
            <v>510541316</v>
          </cell>
          <cell r="D91">
            <v>0</v>
          </cell>
          <cell r="E91">
            <v>0</v>
          </cell>
          <cell r="F91">
            <v>34951619.200000003</v>
          </cell>
          <cell r="G91">
            <v>67156644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139806476.80000001</v>
          </cell>
          <cell r="AE91">
            <v>268626576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6.8459923035886092E-2</v>
          </cell>
          <cell r="G92">
            <v>0.13154007696411391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0.27383969214354437</v>
          </cell>
          <cell r="AE92">
            <v>0.52616030785645562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E_VER1"/>
    </sheetNames>
    <definedNames>
      <definedName name="menu1_Button5_Click"/>
      <definedName name="menu1_Button6_Click"/>
    </definedNames>
    <sheetDataSet>
      <sheetData sheetId="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3">
          <cell r="AJ3" t="str">
            <v>PAGE 2.16</v>
          </cell>
        </row>
        <row r="4">
          <cell r="AF4" t="str">
            <v>PUGET SOUND ENERGY-ELECTRIC ONLY</v>
          </cell>
        </row>
        <row r="5">
          <cell r="AF5" t="str">
            <v>MERGER COST RESTATEMENT</v>
          </cell>
        </row>
        <row r="6">
          <cell r="AF6" t="str">
            <v>FOR THE TWELVE MONTHS ENDED JUNE 30, 2001</v>
          </cell>
        </row>
        <row r="7">
          <cell r="AF7" t="str">
            <v>GENERAL RATE INCREASE</v>
          </cell>
        </row>
        <row r="9">
          <cell r="AF9" t="str">
            <v>LINE</v>
          </cell>
        </row>
        <row r="10"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F12">
            <v>1</v>
          </cell>
          <cell r="AG12" t="str">
            <v>OPERATING EXPENSES</v>
          </cell>
        </row>
        <row r="13"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F14">
            <v>3</v>
          </cell>
        </row>
        <row r="15">
          <cell r="AF15">
            <v>4</v>
          </cell>
        </row>
        <row r="16">
          <cell r="AF16">
            <v>5</v>
          </cell>
        </row>
        <row r="17">
          <cell r="AF17">
            <v>6</v>
          </cell>
        </row>
        <row r="18"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F19">
            <v>8</v>
          </cell>
        </row>
        <row r="20">
          <cell r="AF20">
            <v>9</v>
          </cell>
        </row>
        <row r="21">
          <cell r="AF21">
            <v>10</v>
          </cell>
        </row>
        <row r="22">
          <cell r="AF22">
            <v>11</v>
          </cell>
        </row>
        <row r="23">
          <cell r="AF23">
            <v>12</v>
          </cell>
        </row>
        <row r="24"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F26">
            <v>15</v>
          </cell>
        </row>
        <row r="27"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01"/>
      <sheetName val="JAN01WA"/>
      <sheetName val="Master"/>
      <sheetName val="Table"/>
      <sheetName val="Scheds"/>
      <sheetName val="WA SBC"/>
      <sheetName val="WA Centralia"/>
      <sheetName val="WA Deferred"/>
    </sheetNames>
    <sheetDataSet>
      <sheetData sheetId="0" refreshError="1"/>
      <sheetData sheetId="1" refreshError="1"/>
      <sheetData sheetId="2" refreshError="1"/>
      <sheetData sheetId="3" refreshError="1">
        <row r="2">
          <cell r="R2">
            <v>1</v>
          </cell>
          <cell r="S2" t="str">
            <v>January</v>
          </cell>
        </row>
        <row r="3">
          <cell r="R3">
            <v>2</v>
          </cell>
          <cell r="S3" t="str">
            <v>February</v>
          </cell>
        </row>
        <row r="4">
          <cell r="R4">
            <v>3</v>
          </cell>
          <cell r="S4" t="str">
            <v>March</v>
          </cell>
        </row>
        <row r="5">
          <cell r="R5">
            <v>4</v>
          </cell>
          <cell r="S5" t="str">
            <v>April</v>
          </cell>
        </row>
        <row r="6">
          <cell r="R6">
            <v>5</v>
          </cell>
          <cell r="S6" t="str">
            <v>May</v>
          </cell>
        </row>
        <row r="7">
          <cell r="R7">
            <v>6</v>
          </cell>
          <cell r="S7" t="str">
            <v>June</v>
          </cell>
        </row>
        <row r="8">
          <cell r="R8">
            <v>7</v>
          </cell>
          <cell r="S8" t="str">
            <v>July</v>
          </cell>
        </row>
        <row r="9">
          <cell r="R9">
            <v>8</v>
          </cell>
          <cell r="S9" t="str">
            <v>August</v>
          </cell>
        </row>
        <row r="10">
          <cell r="R10">
            <v>9</v>
          </cell>
          <cell r="S10" t="str">
            <v>September</v>
          </cell>
        </row>
        <row r="11">
          <cell r="R11">
            <v>10</v>
          </cell>
          <cell r="S11" t="str">
            <v>October</v>
          </cell>
        </row>
        <row r="12">
          <cell r="R12">
            <v>11</v>
          </cell>
          <cell r="S12" t="str">
            <v>November</v>
          </cell>
        </row>
        <row r="13">
          <cell r="R13">
            <v>12</v>
          </cell>
          <cell r="S13" t="str">
            <v>December</v>
          </cell>
        </row>
      </sheetData>
      <sheetData sheetId="4" refreshError="1"/>
      <sheetData sheetId="5" refreshError="1">
        <row r="40">
          <cell r="D40">
            <v>165489017.34000003</v>
          </cell>
          <cell r="E40">
            <v>372014853</v>
          </cell>
          <cell r="F40">
            <v>328275526</v>
          </cell>
          <cell r="G40">
            <v>307956109</v>
          </cell>
          <cell r="H40">
            <v>297004741</v>
          </cell>
          <cell r="I40">
            <v>299080847</v>
          </cell>
          <cell r="J40">
            <v>330097222</v>
          </cell>
          <cell r="K40">
            <v>329996296</v>
          </cell>
          <cell r="L40">
            <v>331533822</v>
          </cell>
          <cell r="M40">
            <v>321655581</v>
          </cell>
          <cell r="N40">
            <v>315539410</v>
          </cell>
          <cell r="O40">
            <v>375498985</v>
          </cell>
        </row>
      </sheetData>
      <sheetData sheetId="6" refreshError="1"/>
      <sheetData sheetId="7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QTD"/>
      <sheetName val="YTD"/>
      <sheetName val="YTD Detail"/>
      <sheetName val="12ME"/>
      <sheetName val="12ME Detail"/>
    </sheetNames>
    <sheetDataSet>
      <sheetData sheetId="0" refreshError="1">
        <row r="11">
          <cell r="B11">
            <v>44233239.039999999</v>
          </cell>
          <cell r="D11">
            <v>42263600</v>
          </cell>
        </row>
        <row r="32">
          <cell r="B32">
            <v>3725069</v>
          </cell>
          <cell r="D32">
            <v>3467692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ess"/>
      <sheetName val="xxxxxxxxx FYI"/>
      <sheetName val="Introduction"/>
      <sheetName val="Variables"/>
      <sheetName val="Cover"/>
      <sheetName val="Table of Cnts"/>
      <sheetName val="Table 1"/>
      <sheetName val="Table 2"/>
      <sheetName val="Table 3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1 Year MC"/>
      <sheetName val="Capacity"/>
      <sheetName val="Energy"/>
      <sheetName val="Transm1"/>
      <sheetName val="Transm2"/>
      <sheetName val="Tran_OM"/>
      <sheetName val="TransLF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XFMR 4"/>
      <sheetName val="XFMR 5"/>
      <sheetName val="Dist OM"/>
      <sheetName val="Meters 1"/>
      <sheetName val="Meters 2"/>
      <sheetName val="Meters 2a"/>
      <sheetName val="Meters 3"/>
      <sheetName val="Meters 4"/>
      <sheetName val="Meters 5"/>
      <sheetName val="Services 1"/>
      <sheetName val="Services 2"/>
      <sheetName val="Services 2a"/>
      <sheetName val="Services 3"/>
      <sheetName val="Cust Exp Sum"/>
      <sheetName val="Cust Exp Year"/>
      <sheetName val="Acct 902"/>
      <sheetName val="Acct 903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Cust Data 5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>
        <row r="14">
          <cell r="E14">
            <v>2002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ummary"/>
      <sheetName val="Unit Costs"/>
      <sheetName val="Class Summary"/>
      <sheetName val="Function Summary"/>
      <sheetName val="Generation Summary"/>
      <sheetName val="Transmission Summary"/>
      <sheetName val="Distribution Summary"/>
      <sheetName val="Distribution Substations"/>
      <sheetName val="Distribution Poles &amp; Wires"/>
      <sheetName val="Distribution Transformers"/>
      <sheetName val="Distribution Meters"/>
      <sheetName val="Distribution Services"/>
      <sheetName val="Distribution Customer"/>
      <sheetName val="Distribution Misc"/>
      <sheetName val="G+T+D"/>
      <sheetName val="Generation"/>
      <sheetName val="Transmission"/>
      <sheetName val="Distribution"/>
      <sheetName val="Dist Misc"/>
      <sheetName val="Factor Summary"/>
      <sheetName val="FuncFac"/>
      <sheetName val="DisFac"/>
      <sheetName val="Variables"/>
      <sheetName val="IJA Factors"/>
      <sheetName val="IJA Link"/>
      <sheetName val="IJA Inputs"/>
      <sheetName val="Option Inputs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Rev_Recon"/>
      <sheetName val="TransInvest"/>
      <sheetName val="DistInvest"/>
      <sheetName val="WorkArea"/>
      <sheetName val="Diagram"/>
      <sheetName val="Message"/>
      <sheetName val="Progr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20">
          <cell r="F120" t="str">
            <v>BaseCase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"/>
      <sheetName val="CAPACITY_A"/>
      <sheetName val="2006-07"/>
      <sheetName val="Peak Resources"/>
      <sheetName val="F05Peak"/>
      <sheetName val="Peak Resources 07.05 Update"/>
      <sheetName val="7.05 05 PCORCJMR_ Peak Capacity"/>
      <sheetName val="05 PCORC JMR__ Peak Capacity"/>
      <sheetName val="05 PCORC2 JMR__ Peak Capacity"/>
      <sheetName val="Peak Resources Strat Plan"/>
      <sheetName val="04 GRC JMR24C Peak Capacity"/>
      <sheetName val="Winter On-peak Cap - 2005+PCORC"/>
      <sheetName val="Plant Capacities 11.16.05 TomLe"/>
      <sheetName val="Mid-C Generation"/>
      <sheetName val="Westside Plants 011904"/>
      <sheetName val="Winter On-peak Cap - 2004-05"/>
      <sheetName val="Loads"/>
      <sheetName val="PSE % of Rock Island"/>
      <sheetName val="04_05 Prem Update"/>
      <sheetName val="CAPACITY_DAmounts"/>
      <sheetName val="2008 Extreme Peaks - 080403"/>
      <sheetName val="MidC Capacity - New"/>
      <sheetName val="2005 Budget Update"/>
      <sheetName val="2002 Frcst vs Actual MWh"/>
      <sheetName val="Peaks - 071503"/>
      <sheetName val="Peaks-FO2"/>
      <sheetName val="Peaks-F01"/>
      <sheetName val="MidC Capacity - Old"/>
      <sheetName val="CAPACITY_DAmounts OLD"/>
      <sheetName val="2006"/>
      <sheetName val="05 GRC JMR__ Peak Capacity"/>
      <sheetName val="Sheet1"/>
      <sheetName val="Frcst vs Actual MWh"/>
      <sheetName val="chg in 04"/>
      <sheetName val="2008 Extreme Peaks - 091803"/>
      <sheetName val="Peaks-New"/>
      <sheetName val="2008 Extreme Peaks - 071503"/>
      <sheetName val="Peaks-Old"/>
      <sheetName val="Mid-C Generation06GRC"/>
      <sheetName val="Exhibit A-1 Orig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5">
          <cell r="E5">
            <v>36099</v>
          </cell>
          <cell r="F5">
            <v>36129</v>
          </cell>
          <cell r="G5">
            <v>36160</v>
          </cell>
          <cell r="H5">
            <v>36191</v>
          </cell>
          <cell r="I5">
            <v>36464</v>
          </cell>
          <cell r="J5">
            <v>36494</v>
          </cell>
          <cell r="K5">
            <v>36525</v>
          </cell>
          <cell r="L5">
            <v>36556</v>
          </cell>
          <cell r="M5">
            <v>36830</v>
          </cell>
          <cell r="N5">
            <v>36860</v>
          </cell>
          <cell r="O5">
            <v>36891</v>
          </cell>
          <cell r="P5">
            <v>36922</v>
          </cell>
          <cell r="Q5">
            <v>37195</v>
          </cell>
          <cell r="R5">
            <v>37225</v>
          </cell>
          <cell r="S5">
            <v>37256</v>
          </cell>
          <cell r="T5">
            <v>37287</v>
          </cell>
          <cell r="U5">
            <v>37560</v>
          </cell>
          <cell r="V5">
            <v>37590</v>
          </cell>
          <cell r="W5">
            <v>37621</v>
          </cell>
          <cell r="X5">
            <v>37652</v>
          </cell>
          <cell r="Y5">
            <v>37925</v>
          </cell>
          <cell r="Z5">
            <v>37955</v>
          </cell>
          <cell r="AA5">
            <v>37986</v>
          </cell>
          <cell r="AB5">
            <v>38017</v>
          </cell>
          <cell r="AC5">
            <v>38291</v>
          </cell>
          <cell r="AD5">
            <v>38321</v>
          </cell>
        </row>
        <row r="6">
          <cell r="E6">
            <v>2570.7735360580582</v>
          </cell>
          <cell r="F6">
            <v>2816.6719238560922</v>
          </cell>
          <cell r="G6">
            <v>2884.4517302600407</v>
          </cell>
          <cell r="H6">
            <v>2719.5451206742555</v>
          </cell>
          <cell r="I6">
            <v>2584.0666666666666</v>
          </cell>
          <cell r="J6">
            <v>2875.1384408602153</v>
          </cell>
          <cell r="K6">
            <v>2881.8047580645166</v>
          </cell>
          <cell r="L6">
            <v>2711.74066091954</v>
          </cell>
          <cell r="M6">
            <v>2585.5042083333333</v>
          </cell>
          <cell r="N6">
            <v>2857.5044892473115</v>
          </cell>
          <cell r="O6">
            <v>2888.8676836196305</v>
          </cell>
          <cell r="P6">
            <v>2731.6511985609218</v>
          </cell>
          <cell r="Q6">
            <v>2598.5807454048909</v>
          </cell>
          <cell r="R6">
            <v>2863.0480052799267</v>
          </cell>
          <cell r="S6">
            <v>2897.8545411478408</v>
          </cell>
          <cell r="T6">
            <v>2740.1489779079748</v>
          </cell>
          <cell r="U6">
            <v>2606.664561450506</v>
          </cell>
          <cell r="V6">
            <v>2871.954541451787</v>
          </cell>
          <cell r="W6">
            <v>2923.4876569936223</v>
          </cell>
          <cell r="X6">
            <v>2764.3871013845223</v>
          </cell>
          <cell r="Y6">
            <v>2629.7219419111166</v>
          </cell>
          <cell r="Z6">
            <v>2897.3585575676861</v>
          </cell>
          <cell r="AA6">
            <v>2951.1749854031737</v>
          </cell>
          <cell r="AB6">
            <v>2694.3411736286771</v>
          </cell>
          <cell r="AC6">
            <v>2654.6271180480226</v>
          </cell>
          <cell r="AD6">
            <v>2924.7984264214838</v>
          </cell>
        </row>
        <row r="7">
          <cell r="E7">
            <v>4282.4334003791209</v>
          </cell>
          <cell r="F7">
            <v>4577.4057709677263</v>
          </cell>
          <cell r="G7">
            <v>4772.9597002800228</v>
          </cell>
          <cell r="H7">
            <v>4469.6961155805802</v>
          </cell>
          <cell r="I7">
            <v>3810.072688136017</v>
          </cell>
          <cell r="J7">
            <v>4244.9811347948626</v>
          </cell>
          <cell r="K7">
            <v>4481.2306589386726</v>
          </cell>
          <cell r="L7">
            <v>4206.0654958214582</v>
          </cell>
          <cell r="M7">
            <v>3868.1146177557475</v>
          </cell>
          <cell r="N7">
            <v>4281.7080345540098</v>
          </cell>
          <cell r="O7">
            <v>4492.9327191175889</v>
          </cell>
          <cell r="P7">
            <v>4216.599445258531</v>
          </cell>
          <cell r="Q7">
            <v>3876.0430629517859</v>
          </cell>
          <cell r="R7">
            <v>4289.398422168053</v>
          </cell>
          <cell r="S7">
            <v>4500.3234394803194</v>
          </cell>
          <cell r="T7">
            <v>4223.6907599413771</v>
          </cell>
          <cell r="U7">
            <v>3888.8888126531047</v>
          </cell>
          <cell r="V7">
            <v>4320.882401320715</v>
          </cell>
          <cell r="W7">
            <v>4548.4359742375091</v>
          </cell>
          <cell r="X7">
            <v>4268.5843231942563</v>
          </cell>
          <cell r="Y7">
            <v>3931.2139074496649</v>
          </cell>
          <cell r="Z7">
            <v>4359.5868833657787</v>
          </cell>
          <cell r="AA7">
            <v>4580.9965462901928</v>
          </cell>
          <cell r="AB7">
            <v>4299.3708970792168</v>
          </cell>
          <cell r="AC7">
            <v>3962.5999427177253</v>
          </cell>
          <cell r="AD7">
            <v>4383.1710707591837</v>
          </cell>
        </row>
        <row r="8">
          <cell r="E8">
            <v>4685</v>
          </cell>
          <cell r="F8">
            <v>5124</v>
          </cell>
          <cell r="G8">
            <v>5047</v>
          </cell>
          <cell r="H8">
            <v>4987</v>
          </cell>
          <cell r="I8">
            <v>4709.2255165722718</v>
          </cell>
          <cell r="J8">
            <v>5230.3604286291857</v>
          </cell>
          <cell r="K8">
            <v>5042.3685241009025</v>
          </cell>
          <cell r="L8">
            <v>4972.6884739654115</v>
          </cell>
          <cell r="M8">
            <v>4711.8453049798727</v>
          </cell>
          <cell r="N8">
            <v>5198.2813045752846</v>
          </cell>
          <cell r="O8">
            <v>5054.7267081199661</v>
          </cell>
          <cell r="P8">
            <v>5009.1996722767508</v>
          </cell>
          <cell r="Q8">
            <v>4735.6760996107323</v>
          </cell>
          <cell r="R8">
            <v>5208.3658926703838</v>
          </cell>
          <cell r="S8">
            <v>5070.4512458090703</v>
          </cell>
          <cell r="T8">
            <v>5024.7825818161391</v>
          </cell>
          <cell r="U8">
            <v>4750.4081161195763</v>
          </cell>
          <cell r="V8">
            <v>5224.5683800662655</v>
          </cell>
          <cell r="W8">
            <v>5115.3021733931473</v>
          </cell>
          <cell r="X8">
            <v>5069.2295449713502</v>
          </cell>
          <cell r="Y8">
            <v>4792.4280863514159</v>
          </cell>
          <cell r="Z8">
            <v>5270.7825583933109</v>
          </cell>
          <cell r="AA8">
            <v>5163.7474099755636</v>
          </cell>
          <cell r="AB8">
            <v>4940.7819457523337</v>
          </cell>
          <cell r="AC8">
            <v>4837.8154954579832</v>
          </cell>
          <cell r="AD8">
            <v>5320.7002952855692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5">
          <cell r="C5">
            <v>35764</v>
          </cell>
          <cell r="D5">
            <v>4791.9845725734322</v>
          </cell>
          <cell r="E5">
            <v>5272.9159427448749</v>
          </cell>
        </row>
        <row r="6">
          <cell r="C6">
            <v>35795</v>
          </cell>
          <cell r="D6">
            <v>5002.3387796910711</v>
          </cell>
          <cell r="E6">
            <v>5505.6985356050645</v>
          </cell>
        </row>
        <row r="7">
          <cell r="C7">
            <v>35826</v>
          </cell>
          <cell r="D7">
            <v>4630.2405641197802</v>
          </cell>
          <cell r="E7">
            <v>5101.0109932573032</v>
          </cell>
        </row>
        <row r="8">
          <cell r="C8">
            <v>35854</v>
          </cell>
          <cell r="D8">
            <v>3848.1866035800076</v>
          </cell>
          <cell r="E8" t="str">
            <v xml:space="preserve"> </v>
          </cell>
        </row>
        <row r="9">
          <cell r="C9">
            <v>35885</v>
          </cell>
          <cell r="D9">
            <v>3456.2425731958638</v>
          </cell>
          <cell r="E9" t="str">
            <v xml:space="preserve"> </v>
          </cell>
        </row>
        <row r="10">
          <cell r="C10">
            <v>35915</v>
          </cell>
          <cell r="D10">
            <v>3191.4964072552948</v>
          </cell>
          <cell r="E10" t="str">
            <v xml:space="preserve"> </v>
          </cell>
        </row>
        <row r="11">
          <cell r="C11">
            <v>35946</v>
          </cell>
          <cell r="D11">
            <v>3017.289513443111</v>
          </cell>
          <cell r="E11" t="str">
            <v xml:space="preserve"> </v>
          </cell>
        </row>
        <row r="12">
          <cell r="C12">
            <v>35976</v>
          </cell>
          <cell r="D12">
            <v>2885.6151059950012</v>
          </cell>
          <cell r="E12" t="str">
            <v xml:space="preserve"> </v>
          </cell>
        </row>
        <row r="13">
          <cell r="C13">
            <v>36007</v>
          </cell>
          <cell r="D13">
            <v>3004.5443369656596</v>
          </cell>
          <cell r="E13" t="str">
            <v xml:space="preserve"> </v>
          </cell>
        </row>
        <row r="14">
          <cell r="C14">
            <v>36038</v>
          </cell>
          <cell r="D14">
            <v>3079.1485368724361</v>
          </cell>
          <cell r="E14" t="str">
            <v xml:space="preserve"> </v>
          </cell>
        </row>
        <row r="15">
          <cell r="C15">
            <v>36068</v>
          </cell>
          <cell r="D15">
            <v>3395.3565016883094</v>
          </cell>
          <cell r="E15" t="str">
            <v xml:space="preserve"> </v>
          </cell>
        </row>
        <row r="16">
          <cell r="C16">
            <v>36099</v>
          </cell>
          <cell r="D16">
            <v>4543.5812258051892</v>
          </cell>
          <cell r="E16">
            <v>4979.8945535057737</v>
          </cell>
        </row>
        <row r="17">
          <cell r="C17">
            <v>36129</v>
          </cell>
          <cell r="D17">
            <v>4860.4780375251357</v>
          </cell>
          <cell r="E17">
            <v>5350.7838476318038</v>
          </cell>
        </row>
        <row r="18">
          <cell r="C18">
            <v>36160</v>
          </cell>
          <cell r="D18">
            <v>5086.0051397105117</v>
          </cell>
          <cell r="E18">
            <v>5599.8359640184071</v>
          </cell>
        </row>
        <row r="19">
          <cell r="C19">
            <v>36191</v>
          </cell>
          <cell r="D19">
            <v>4694.6543839931956</v>
          </cell>
          <cell r="E19">
            <v>5173.7273132864029</v>
          </cell>
        </row>
        <row r="20">
          <cell r="C20">
            <v>36219</v>
          </cell>
          <cell r="D20">
            <v>3908.4453631732185</v>
          </cell>
          <cell r="E20" t="str">
            <v xml:space="preserve"> </v>
          </cell>
        </row>
        <row r="21">
          <cell r="C21">
            <v>36250</v>
          </cell>
          <cell r="D21">
            <v>3509.4830087594419</v>
          </cell>
          <cell r="E21" t="str">
            <v xml:space="preserve"> </v>
          </cell>
        </row>
        <row r="22">
          <cell r="C22">
            <v>36280</v>
          </cell>
          <cell r="D22">
            <v>3244.1387534520009</v>
          </cell>
          <cell r="E22" t="str">
            <v xml:space="preserve"> </v>
          </cell>
        </row>
        <row r="23">
          <cell r="C23">
            <v>36311</v>
          </cell>
          <cell r="D23">
            <v>3089.2782295470452</v>
          </cell>
          <cell r="E23" t="str">
            <v xml:space="preserve"> </v>
          </cell>
        </row>
        <row r="24">
          <cell r="C24">
            <v>36341</v>
          </cell>
          <cell r="D24">
            <v>2948.7824225700238</v>
          </cell>
          <cell r="E24" t="str">
            <v xml:space="preserve"> </v>
          </cell>
        </row>
        <row r="25">
          <cell r="C25">
            <v>36372</v>
          </cell>
          <cell r="D25">
            <v>3049.078643556767</v>
          </cell>
          <cell r="E25" t="str">
            <v xml:space="preserve"> </v>
          </cell>
        </row>
        <row r="26">
          <cell r="C26">
            <v>36403</v>
          </cell>
          <cell r="D26">
            <v>3117.5054695461859</v>
          </cell>
          <cell r="E26" t="str">
            <v xml:space="preserve"> </v>
          </cell>
        </row>
        <row r="27">
          <cell r="C27">
            <v>36433</v>
          </cell>
          <cell r="D27">
            <v>3430.0938085976932</v>
          </cell>
          <cell r="E27" t="str">
            <v xml:space="preserve"> </v>
          </cell>
        </row>
        <row r="28">
          <cell r="C28">
            <v>36464</v>
          </cell>
          <cell r="D28">
            <v>4586.9691451582894</v>
          </cell>
          <cell r="E28">
            <v>5027.9701955085256</v>
          </cell>
        </row>
        <row r="29">
          <cell r="C29">
            <v>36494</v>
          </cell>
          <cell r="D29">
            <v>4895.1288391540647</v>
          </cell>
          <cell r="E29">
            <v>5389.3448364788137</v>
          </cell>
        </row>
        <row r="30">
          <cell r="C30">
            <v>36525</v>
          </cell>
          <cell r="D30">
            <v>5094.8196127533847</v>
          </cell>
          <cell r="E30">
            <v>5610.8709855475227</v>
          </cell>
        </row>
        <row r="31">
          <cell r="C31">
            <v>36556</v>
          </cell>
          <cell r="D31">
            <v>4690.9664471310625</v>
          </cell>
          <cell r="E31">
            <v>5170.8411258861479</v>
          </cell>
        </row>
        <row r="32">
          <cell r="C32">
            <v>36585</v>
          </cell>
          <cell r="D32">
            <v>3892.9149697460171</v>
          </cell>
          <cell r="E32" t="str">
            <v xml:space="preserve"> </v>
          </cell>
        </row>
        <row r="33">
          <cell r="C33">
            <v>36616</v>
          </cell>
          <cell r="D33">
            <v>3485.6734371256944</v>
          </cell>
          <cell r="E33" t="str">
            <v xml:space="preserve"> </v>
          </cell>
        </row>
        <row r="34">
          <cell r="C34">
            <v>36646</v>
          </cell>
          <cell r="D34">
            <v>3224.2225165411628</v>
          </cell>
          <cell r="E34" t="str">
            <v xml:space="preserve"> </v>
          </cell>
        </row>
        <row r="35">
          <cell r="C35">
            <v>36677</v>
          </cell>
          <cell r="D35">
            <v>3092.0265597984235</v>
          </cell>
          <cell r="E35" t="str">
            <v xml:space="preserve"> </v>
          </cell>
        </row>
        <row r="36">
          <cell r="C36">
            <v>36707</v>
          </cell>
          <cell r="D36">
            <v>2954.8600909287843</v>
          </cell>
          <cell r="E36" t="str">
            <v xml:space="preserve"> </v>
          </cell>
        </row>
        <row r="37">
          <cell r="C37">
            <v>36738</v>
          </cell>
          <cell r="D37">
            <v>3044.4536412716193</v>
          </cell>
          <cell r="E37" t="str">
            <v xml:space="preserve"> </v>
          </cell>
        </row>
        <row r="38">
          <cell r="C38">
            <v>36769</v>
          </cell>
          <cell r="D38">
            <v>3120.1062164393743</v>
          </cell>
          <cell r="E38" t="str">
            <v xml:space="preserve"> </v>
          </cell>
        </row>
        <row r="39">
          <cell r="C39">
            <v>36799</v>
          </cell>
          <cell r="D39">
            <v>3441.9635100351779</v>
          </cell>
          <cell r="E39" t="str">
            <v xml:space="preserve"> </v>
          </cell>
        </row>
        <row r="40">
          <cell r="C40">
            <v>36830</v>
          </cell>
          <cell r="D40">
            <v>4617.8540961846038</v>
          </cell>
          <cell r="E40">
            <v>5061.7441237929561</v>
          </cell>
        </row>
        <row r="41">
          <cell r="C41">
            <v>36860</v>
          </cell>
          <cell r="D41">
            <v>4952.402875100348</v>
          </cell>
          <cell r="E41">
            <v>5451.7912303485737</v>
          </cell>
        </row>
        <row r="42">
          <cell r="C42">
            <v>36891</v>
          </cell>
          <cell r="D42">
            <v>5150.3333460161411</v>
          </cell>
          <cell r="E42">
            <v>5672.2133937585031</v>
          </cell>
        </row>
        <row r="43">
          <cell r="C43">
            <v>36922</v>
          </cell>
          <cell r="D43">
            <v>4736.9214064646767</v>
          </cell>
          <cell r="E43">
            <v>5221.9769841411007</v>
          </cell>
        </row>
        <row r="44">
          <cell r="C44">
            <v>36950</v>
          </cell>
          <cell r="D44">
            <v>3931.4075433827688</v>
          </cell>
          <cell r="E44" t="str">
            <v xml:space="preserve"> </v>
          </cell>
        </row>
        <row r="45">
          <cell r="C45">
            <v>36981</v>
          </cell>
          <cell r="D45">
            <v>3524.4932288957366</v>
          </cell>
          <cell r="E45" t="str">
            <v xml:space="preserve"> </v>
          </cell>
        </row>
        <row r="46">
          <cell r="C46">
            <v>37011</v>
          </cell>
          <cell r="D46">
            <v>3278.4362222626396</v>
          </cell>
          <cell r="E46" t="str">
            <v xml:space="preserve"> </v>
          </cell>
        </row>
        <row r="47">
          <cell r="C47">
            <v>37042</v>
          </cell>
          <cell r="D47">
            <v>3158.8728586341867</v>
          </cell>
          <cell r="E47" t="str">
            <v xml:space="preserve"> </v>
          </cell>
        </row>
        <row r="48">
          <cell r="C48">
            <v>37072</v>
          </cell>
          <cell r="D48">
            <v>3026.5964330355482</v>
          </cell>
          <cell r="E48" t="str">
            <v xml:space="preserve"> </v>
          </cell>
        </row>
        <row r="49">
          <cell r="C49">
            <v>37103</v>
          </cell>
          <cell r="D49">
            <v>3122.9065540047113</v>
          </cell>
          <cell r="E49" t="str">
            <v xml:space="preserve"> </v>
          </cell>
        </row>
        <row r="50">
          <cell r="C50">
            <v>37134</v>
          </cell>
          <cell r="D50">
            <v>3202.3327942661131</v>
          </cell>
          <cell r="E50" t="str">
            <v xml:space="preserve"> </v>
          </cell>
        </row>
        <row r="51">
          <cell r="C51">
            <v>37164</v>
          </cell>
          <cell r="D51">
            <v>3532.3048166289173</v>
          </cell>
          <cell r="E51" t="str">
            <v xml:space="preserve"> </v>
          </cell>
        </row>
        <row r="52">
          <cell r="C52">
            <v>37195</v>
          </cell>
          <cell r="D52">
            <v>4736.3389644157642</v>
          </cell>
          <cell r="E52">
            <v>5192.6339342816545</v>
          </cell>
        </row>
        <row r="53">
          <cell r="C53">
            <v>37225</v>
          </cell>
          <cell r="D53">
            <v>5070.7553418263306</v>
          </cell>
          <cell r="E53">
            <v>5583.1136098026091</v>
          </cell>
        </row>
        <row r="54">
          <cell r="C54">
            <v>37256</v>
          </cell>
          <cell r="D54">
            <v>5257.7442375931432</v>
          </cell>
          <cell r="E54">
            <v>5791.3477167615183</v>
          </cell>
        </row>
        <row r="55">
          <cell r="C55">
            <v>37287</v>
          </cell>
          <cell r="D55">
            <v>4821.1064175835972</v>
          </cell>
          <cell r="E55">
            <v>5315.5138999207329</v>
          </cell>
        </row>
        <row r="56">
          <cell r="C56">
            <v>37315</v>
          </cell>
          <cell r="D56">
            <v>3996.5398284683788</v>
          </cell>
          <cell r="E56" t="str">
            <v xml:space="preserve"> </v>
          </cell>
        </row>
        <row r="57">
          <cell r="C57">
            <v>37346</v>
          </cell>
          <cell r="D57">
            <v>3580.9975804480337</v>
          </cell>
          <cell r="E57" t="str">
            <v xml:space="preserve"> </v>
          </cell>
        </row>
        <row r="58">
          <cell r="C58">
            <v>37376</v>
          </cell>
          <cell r="D58">
            <v>3335.5611210632451</v>
          </cell>
          <cell r="E58" t="str">
            <v xml:space="preserve"> </v>
          </cell>
        </row>
        <row r="59">
          <cell r="C59">
            <v>37407</v>
          </cell>
          <cell r="D59">
            <v>3222.2018079727741</v>
          </cell>
          <cell r="E59" t="str">
            <v xml:space="preserve"> </v>
          </cell>
        </row>
        <row r="60">
          <cell r="C60">
            <v>37437</v>
          </cell>
          <cell r="D60">
            <v>3089.5450905601979</v>
          </cell>
          <cell r="E60" t="str">
            <v xml:space="preserve"> </v>
          </cell>
        </row>
        <row r="61">
          <cell r="C61">
            <v>37468</v>
          </cell>
          <cell r="D61">
            <v>3188.5597430454191</v>
          </cell>
          <cell r="E61" t="str">
            <v xml:space="preserve"> </v>
          </cell>
        </row>
        <row r="62">
          <cell r="C62">
            <v>37499</v>
          </cell>
          <cell r="D62">
            <v>3268.7253042150187</v>
          </cell>
          <cell r="E62" t="str">
            <v xml:space="preserve"> </v>
          </cell>
        </row>
        <row r="63">
          <cell r="C63">
            <v>37529</v>
          </cell>
          <cell r="D63">
            <v>3603.9523197377816</v>
          </cell>
          <cell r="E63" t="str">
            <v xml:space="preserve"> </v>
          </cell>
        </row>
        <row r="64">
          <cell r="C64">
            <v>37560</v>
          </cell>
          <cell r="D64">
            <v>4832.0594976828588</v>
          </cell>
          <cell r="E64">
            <v>5297.9212628364094</v>
          </cell>
        </row>
        <row r="65">
          <cell r="C65">
            <v>37590</v>
          </cell>
          <cell r="D65">
            <v>5168.0172212516745</v>
          </cell>
          <cell r="E65">
            <v>5690.5082003214848</v>
          </cell>
        </row>
        <row r="66">
          <cell r="C66">
            <v>37621</v>
          </cell>
          <cell r="D66">
            <v>5348.3429480108316</v>
          </cell>
          <cell r="E66">
            <v>5891.5491955667585</v>
          </cell>
        </row>
        <row r="67">
          <cell r="C67">
            <v>37652</v>
          </cell>
          <cell r="D67">
            <v>4895.60336323099</v>
          </cell>
          <cell r="E67">
            <v>5398.1784250144719</v>
          </cell>
        </row>
        <row r="68">
          <cell r="C68">
            <v>37680</v>
          </cell>
          <cell r="D68">
            <v>4051.9045393586603</v>
          </cell>
          <cell r="E68" t="str">
            <v xml:space="preserve"> </v>
          </cell>
        </row>
        <row r="69">
          <cell r="C69">
            <v>37711</v>
          </cell>
          <cell r="D69">
            <v>3629.0480895719702</v>
          </cell>
          <cell r="E69" t="str">
            <v xml:space="preserve"> </v>
          </cell>
        </row>
        <row r="70">
          <cell r="C70">
            <v>37741</v>
          </cell>
          <cell r="D70">
            <v>3390.461171296055</v>
          </cell>
          <cell r="E70" t="str">
            <v xml:space="preserve"> </v>
          </cell>
        </row>
        <row r="71">
          <cell r="C71">
            <v>37772</v>
          </cell>
          <cell r="D71">
            <v>3285.2974309003139</v>
          </cell>
          <cell r="E71" t="str">
            <v xml:space="preserve"> </v>
          </cell>
        </row>
        <row r="72">
          <cell r="C72">
            <v>37802</v>
          </cell>
          <cell r="D72">
            <v>3153.4483546713554</v>
          </cell>
          <cell r="E72" t="str">
            <v xml:space="preserve"> </v>
          </cell>
        </row>
        <row r="73">
          <cell r="C73">
            <v>37833</v>
          </cell>
          <cell r="D73">
            <v>3254.7642682066862</v>
          </cell>
          <cell r="E73" t="str">
            <v xml:space="preserve"> </v>
          </cell>
        </row>
        <row r="74">
          <cell r="C74">
            <v>37864</v>
          </cell>
          <cell r="D74">
            <v>3336.6527554859263</v>
          </cell>
          <cell r="E74" t="str">
            <v xml:space="preserve"> </v>
          </cell>
        </row>
        <row r="75">
          <cell r="C75">
            <v>37894</v>
          </cell>
          <cell r="D75">
            <v>3678.3992141496983</v>
          </cell>
          <cell r="E75" t="str">
            <v xml:space="preserve"> </v>
          </cell>
        </row>
        <row r="76">
          <cell r="C76">
            <v>37925</v>
          </cell>
          <cell r="D76">
            <v>4929.349705487788</v>
          </cell>
          <cell r="E76">
            <v>5404.9527597790793</v>
          </cell>
        </row>
        <row r="77">
          <cell r="C77">
            <v>37955</v>
          </cell>
          <cell r="D77">
            <v>5270.3234715185472</v>
          </cell>
          <cell r="E77">
            <v>5803.5550917620185</v>
          </cell>
        </row>
        <row r="78">
          <cell r="C78">
            <v>37986</v>
          </cell>
          <cell r="D78">
            <v>5443.8926368301627</v>
          </cell>
          <cell r="E78">
            <v>5997.310447529363</v>
          </cell>
        </row>
        <row r="79">
          <cell r="C79">
            <v>38017</v>
          </cell>
          <cell r="D79">
            <v>4971.9775781362032</v>
          </cell>
          <cell r="E79">
            <v>5482.943141777243</v>
          </cell>
        </row>
        <row r="80">
          <cell r="C80">
            <v>38046</v>
          </cell>
          <cell r="D80">
            <v>4111.1235564885028</v>
          </cell>
          <cell r="E80" t="str">
            <v xml:space="preserve"> </v>
          </cell>
        </row>
        <row r="81">
          <cell r="C81">
            <v>38077</v>
          </cell>
          <cell r="D81">
            <v>3680.2643124329916</v>
          </cell>
          <cell r="E81" t="str">
            <v xml:space="preserve"> </v>
          </cell>
        </row>
        <row r="82">
          <cell r="C82">
            <v>38107</v>
          </cell>
          <cell r="D82">
            <v>3446.9032424867833</v>
          </cell>
          <cell r="E82" t="str">
            <v xml:space="preserve"> </v>
          </cell>
        </row>
        <row r="83">
          <cell r="C83">
            <v>38138</v>
          </cell>
          <cell r="D83">
            <v>3346.9376670202896</v>
          </cell>
          <cell r="E83" t="str">
            <v xml:space="preserve"> </v>
          </cell>
        </row>
        <row r="84">
          <cell r="C84">
            <v>38168</v>
          </cell>
          <cell r="D84">
            <v>3215.1294227033491</v>
          </cell>
          <cell r="E84" t="str">
            <v xml:space="preserve"> </v>
          </cell>
        </row>
        <row r="85">
          <cell r="C85">
            <v>38199</v>
          </cell>
          <cell r="D85">
            <v>3322.8339184387969</v>
          </cell>
          <cell r="E85" t="str">
            <v xml:space="preserve"> </v>
          </cell>
        </row>
        <row r="86">
          <cell r="C86">
            <v>38230</v>
          </cell>
          <cell r="D86">
            <v>3404.4063854815586</v>
          </cell>
          <cell r="E86" t="str">
            <v xml:space="preserve"> </v>
          </cell>
        </row>
        <row r="87">
          <cell r="C87">
            <v>38260</v>
          </cell>
          <cell r="D87">
            <v>3752.0122867601076</v>
          </cell>
          <cell r="E87" t="str">
            <v xml:space="preserve"> </v>
          </cell>
        </row>
        <row r="88">
          <cell r="C88">
            <v>38291</v>
          </cell>
          <cell r="D88">
            <v>5029.1095418075311</v>
          </cell>
          <cell r="E88">
            <v>5514.7285753311335</v>
          </cell>
        </row>
        <row r="89">
          <cell r="C89">
            <v>38321</v>
          </cell>
          <cell r="D89">
            <v>5374.390335016491</v>
          </cell>
          <cell r="E89">
            <v>5918.7243537167979</v>
          </cell>
        </row>
        <row r="90">
          <cell r="C90">
            <v>38352</v>
          </cell>
          <cell r="D90">
            <v>5541.9736809626656</v>
          </cell>
          <cell r="E90">
            <v>6105.9182644773236</v>
          </cell>
        </row>
        <row r="91">
          <cell r="C91">
            <v>38383</v>
          </cell>
          <cell r="D91">
            <v>5049.5427163693375</v>
          </cell>
          <cell r="E91">
            <v>5569.0533675573479</v>
          </cell>
        </row>
        <row r="92">
          <cell r="C92">
            <v>38411</v>
          </cell>
          <cell r="D92">
            <v>4173.1383654796227</v>
          </cell>
          <cell r="E92" t="str">
            <v xml:space="preserve"> </v>
          </cell>
        </row>
        <row r="93">
          <cell r="C93">
            <v>38442</v>
          </cell>
          <cell r="D93">
            <v>3735.0252943992023</v>
          </cell>
          <cell r="E93" t="str">
            <v xml:space="preserve"> </v>
          </cell>
        </row>
        <row r="94">
          <cell r="C94">
            <v>38472</v>
          </cell>
          <cell r="D94">
            <v>3504.3409718803032</v>
          </cell>
          <cell r="E94" t="str">
            <v xml:space="preserve"> </v>
          </cell>
        </row>
        <row r="95">
          <cell r="C95">
            <v>38503</v>
          </cell>
          <cell r="D95">
            <v>3418.0825271444546</v>
          </cell>
          <cell r="E95" t="str">
            <v xml:space="preserve"> </v>
          </cell>
        </row>
        <row r="96">
          <cell r="C96">
            <v>38533</v>
          </cell>
          <cell r="D96">
            <v>3286.0035227415465</v>
          </cell>
          <cell r="E96" t="str">
            <v xml:space="preserve"> </v>
          </cell>
        </row>
        <row r="97">
          <cell r="C97">
            <v>38564</v>
          </cell>
          <cell r="D97">
            <v>3392.2031430927345</v>
          </cell>
          <cell r="E97" t="str">
            <v xml:space="preserve"> </v>
          </cell>
        </row>
        <row r="98">
          <cell r="C98">
            <v>38595</v>
          </cell>
          <cell r="D98">
            <v>3478.8183261197246</v>
          </cell>
          <cell r="E98" t="str">
            <v xml:space="preserve"> </v>
          </cell>
        </row>
        <row r="99">
          <cell r="C99">
            <v>38625</v>
          </cell>
          <cell r="D99">
            <v>3831.5406422918686</v>
          </cell>
          <cell r="E99" t="str">
            <v xml:space="preserve"> </v>
          </cell>
        </row>
        <row r="100">
          <cell r="C100">
            <v>38656</v>
          </cell>
          <cell r="D100">
            <v>5129.9692286731351</v>
          </cell>
          <cell r="E100">
            <v>5625.6589064902246</v>
          </cell>
        </row>
        <row r="101">
          <cell r="C101">
            <v>38686</v>
          </cell>
          <cell r="D101">
            <v>5480.218626320242</v>
          </cell>
          <cell r="E101">
            <v>6035.4711340699096</v>
          </cell>
        </row>
        <row r="102">
          <cell r="C102">
            <v>38717</v>
          </cell>
          <cell r="D102">
            <v>5638.8599239890009</v>
          </cell>
          <cell r="E102">
            <v>6213.1057336790373</v>
          </cell>
        </row>
        <row r="103">
          <cell r="C103">
            <v>38748</v>
          </cell>
          <cell r="D103">
            <v>5127.1248386715915</v>
          </cell>
          <cell r="E103">
            <v>5655.1364079235409</v>
          </cell>
        </row>
        <row r="104">
          <cell r="C104">
            <v>38776</v>
          </cell>
          <cell r="D104">
            <v>4233.0570318838036</v>
          </cell>
          <cell r="E104" t="str">
            <v xml:space="preserve"> </v>
          </cell>
        </row>
        <row r="105">
          <cell r="C105">
            <v>38807</v>
          </cell>
          <cell r="D105">
            <v>3786.0980891916147</v>
          </cell>
          <cell r="E105" t="str">
            <v xml:space="preserve"> </v>
          </cell>
        </row>
        <row r="106">
          <cell r="C106">
            <v>38837</v>
          </cell>
          <cell r="D106">
            <v>3562.3393032018166</v>
          </cell>
          <cell r="E106" t="str">
            <v xml:space="preserve"> </v>
          </cell>
        </row>
        <row r="107">
          <cell r="C107">
            <v>38868</v>
          </cell>
          <cell r="D107">
            <v>3482.9554977432435</v>
          </cell>
          <cell r="E107" t="str">
            <v xml:space="preserve"> </v>
          </cell>
        </row>
        <row r="108">
          <cell r="C108">
            <v>38898</v>
          </cell>
          <cell r="D108">
            <v>3351.1208402722414</v>
          </cell>
          <cell r="E108" t="str">
            <v xml:space="preserve"> </v>
          </cell>
        </row>
        <row r="109">
          <cell r="C109">
            <v>38929</v>
          </cell>
          <cell r="D109">
            <v>3462.8437226314418</v>
          </cell>
          <cell r="E109" t="str">
            <v xml:space="preserve"> </v>
          </cell>
        </row>
        <row r="110">
          <cell r="C110">
            <v>38960</v>
          </cell>
          <cell r="D110">
            <v>3549.7334423854832</v>
          </cell>
          <cell r="E110" t="str">
            <v xml:space="preserve"> </v>
          </cell>
        </row>
        <row r="111">
          <cell r="C111">
            <v>38990</v>
          </cell>
          <cell r="D111">
            <v>3908.4066145187944</v>
          </cell>
          <cell r="E111" t="str">
            <v xml:space="preserve"> </v>
          </cell>
        </row>
        <row r="112">
          <cell r="C112">
            <v>39021</v>
          </cell>
          <cell r="D112">
            <v>5232.3776355013688</v>
          </cell>
          <cell r="E112">
            <v>5738.2817981536082</v>
          </cell>
        </row>
        <row r="113">
          <cell r="C113">
            <v>39051</v>
          </cell>
          <cell r="D113">
            <v>5587.2831142428522</v>
          </cell>
          <cell r="E113">
            <v>6153.8267782504736</v>
          </cell>
        </row>
        <row r="114">
          <cell r="C114">
            <v>39082</v>
          </cell>
          <cell r="D114">
            <v>5739.2144613992896</v>
          </cell>
          <cell r="E114">
            <v>6324.144278554103</v>
          </cell>
        </row>
        <row r="115">
          <cell r="C115">
            <v>39113</v>
          </cell>
          <cell r="D115">
            <v>5206.5552405738945</v>
          </cell>
          <cell r="E115">
            <v>5743.2453065001846</v>
          </cell>
        </row>
        <row r="116">
          <cell r="C116">
            <v>39141</v>
          </cell>
          <cell r="D116">
            <v>4296.7675852597458</v>
          </cell>
          <cell r="E116" t="str">
            <v xml:space="preserve"> </v>
          </cell>
        </row>
        <row r="117">
          <cell r="C117">
            <v>39172</v>
          </cell>
          <cell r="D117">
            <v>3842.5812220990611</v>
          </cell>
          <cell r="E117" t="str">
            <v xml:space="preserve"> </v>
          </cell>
        </row>
        <row r="118">
          <cell r="C118">
            <v>39202</v>
          </cell>
          <cell r="D118">
            <v>3622.8845837738477</v>
          </cell>
          <cell r="E118" t="str">
            <v xml:space="preserve"> </v>
          </cell>
        </row>
        <row r="119">
          <cell r="C119">
            <v>39233</v>
          </cell>
          <cell r="D119">
            <v>3554.9197351283028</v>
          </cell>
          <cell r="E119" t="str">
            <v xml:space="preserve"> </v>
          </cell>
        </row>
        <row r="120">
          <cell r="C120">
            <v>39263</v>
          </cell>
          <cell r="D120">
            <v>3423.2444762495934</v>
          </cell>
          <cell r="E120" t="str">
            <v xml:space="preserve"> </v>
          </cell>
        </row>
        <row r="121">
          <cell r="C121">
            <v>39294</v>
          </cell>
          <cell r="D121">
            <v>3537.0553843690323</v>
          </cell>
          <cell r="E121" t="str">
            <v xml:space="preserve"> </v>
          </cell>
        </row>
        <row r="122">
          <cell r="C122">
            <v>39325</v>
          </cell>
          <cell r="D122">
            <v>3626.2318190956485</v>
          </cell>
          <cell r="E122" t="str">
            <v xml:space="preserve"> </v>
          </cell>
        </row>
        <row r="123">
          <cell r="C123">
            <v>39355</v>
          </cell>
          <cell r="D123">
            <v>3990.6288497481373</v>
          </cell>
          <cell r="E123" t="str">
            <v xml:space="preserve"> </v>
          </cell>
        </row>
        <row r="124">
          <cell r="C124">
            <v>39386</v>
          </cell>
          <cell r="D124">
            <v>5340.2599706894161</v>
          </cell>
          <cell r="E124">
            <v>5856.8708713516771</v>
          </cell>
        </row>
        <row r="125">
          <cell r="C125">
            <v>39416</v>
          </cell>
          <cell r="D125">
            <v>5698.247813622429</v>
          </cell>
          <cell r="E125">
            <v>6276.261273202309</v>
          </cell>
        </row>
        <row r="126">
          <cell r="C126">
            <v>39447</v>
          </cell>
          <cell r="D126">
            <v>5842.338034045606</v>
          </cell>
          <cell r="E126">
            <v>6438.1190980037036</v>
          </cell>
        </row>
        <row r="127">
          <cell r="C127">
            <v>39478</v>
          </cell>
          <cell r="D127">
            <v>5290.7039607496899</v>
          </cell>
          <cell r="E127">
            <v>5836.5293959761038</v>
          </cell>
        </row>
        <row r="128">
          <cell r="C128">
            <v>39507</v>
          </cell>
          <cell r="D128">
            <v>4360.7914581199302</v>
          </cell>
          <cell r="E128" t="str">
            <v xml:space="preserve"> </v>
          </cell>
        </row>
        <row r="129">
          <cell r="C129">
            <v>39538</v>
          </cell>
          <cell r="D129">
            <v>3898.431716063465</v>
          </cell>
          <cell r="E129" t="str">
            <v xml:space="preserve"> </v>
          </cell>
        </row>
        <row r="130">
          <cell r="C130">
            <v>39568</v>
          </cell>
          <cell r="D130">
            <v>3686.7570383777784</v>
          </cell>
          <cell r="E130" t="str">
            <v xml:space="preserve"> </v>
          </cell>
        </row>
        <row r="131">
          <cell r="C131">
            <v>39599</v>
          </cell>
          <cell r="D131">
            <v>3627.4636326885993</v>
          </cell>
          <cell r="E131" t="str">
            <v xml:space="preserve"> </v>
          </cell>
        </row>
        <row r="132">
          <cell r="C132">
            <v>39629</v>
          </cell>
          <cell r="D132">
            <v>3496.4548647786287</v>
          </cell>
          <cell r="E132" t="str">
            <v xml:space="preserve"> </v>
          </cell>
        </row>
        <row r="133">
          <cell r="C133">
            <v>39660</v>
          </cell>
          <cell r="D133">
            <v>3614.3921940646915</v>
          </cell>
          <cell r="E133" t="str">
            <v xml:space="preserve"> </v>
          </cell>
        </row>
        <row r="134">
          <cell r="C134">
            <v>39691</v>
          </cell>
          <cell r="D134">
            <v>3704.1244936934845</v>
          </cell>
          <cell r="E134" t="str">
            <v xml:space="preserve"> </v>
          </cell>
        </row>
        <row r="135">
          <cell r="C135">
            <v>39721</v>
          </cell>
          <cell r="D135">
            <v>4075.3524900208254</v>
          </cell>
          <cell r="E135" t="str">
            <v xml:space="preserve"> </v>
          </cell>
        </row>
        <row r="136">
          <cell r="C136">
            <v>39752</v>
          </cell>
          <cell r="D136">
            <v>5451.7670237161565</v>
          </cell>
          <cell r="E136">
            <v>5979.4348891515929</v>
          </cell>
        </row>
        <row r="137">
          <cell r="C137">
            <v>39782</v>
          </cell>
          <cell r="D137">
            <v>5814.2482785450493</v>
          </cell>
          <cell r="E137">
            <v>6404.3521275527346</v>
          </cell>
        </row>
        <row r="138">
          <cell r="C138">
            <v>39813</v>
          </cell>
          <cell r="D138">
            <v>5951.0824753652723</v>
          </cell>
          <cell r="E138">
            <v>6558.3238999094847</v>
          </cell>
        </row>
        <row r="139">
          <cell r="C139">
            <v>39844</v>
          </cell>
          <cell r="D139">
            <v>5378.0798413750017</v>
          </cell>
          <cell r="E139">
            <v>5933.3520848243888</v>
          </cell>
        </row>
        <row r="140">
          <cell r="C140">
            <v>39872</v>
          </cell>
          <cell r="D140">
            <v>4430.0205088444573</v>
          </cell>
          <cell r="E140" t="str">
            <v xml:space="preserve"> </v>
          </cell>
        </row>
        <row r="141">
          <cell r="C141">
            <v>39903</v>
          </cell>
          <cell r="D141">
            <v>3959.8612072536935</v>
          </cell>
          <cell r="E141" t="str">
            <v xml:space="preserve"> </v>
          </cell>
        </row>
        <row r="142">
          <cell r="C142">
            <v>39933</v>
          </cell>
          <cell r="D142">
            <v>3754.2345876114259</v>
          </cell>
          <cell r="E142" t="str">
            <v xml:space="preserve"> </v>
          </cell>
        </row>
        <row r="143">
          <cell r="C143">
            <v>39964</v>
          </cell>
          <cell r="D143">
            <v>3705.9650543697262</v>
          </cell>
          <cell r="E143" t="str">
            <v xml:space="preserve"> </v>
          </cell>
        </row>
        <row r="144">
          <cell r="C144">
            <v>39994</v>
          </cell>
          <cell r="D144">
            <v>3575.6201311010773</v>
          </cell>
          <cell r="E144" t="str">
            <v xml:space="preserve"> </v>
          </cell>
        </row>
        <row r="145">
          <cell r="C145">
            <v>40025</v>
          </cell>
          <cell r="D145">
            <v>3697.0478313343419</v>
          </cell>
          <cell r="E145" t="str">
            <v xml:space="preserve"> </v>
          </cell>
        </row>
        <row r="146">
          <cell r="C146">
            <v>40056</v>
          </cell>
          <cell r="D146">
            <v>3789.2351612375405</v>
          </cell>
          <cell r="E146" t="str">
            <v xml:space="preserve"> </v>
          </cell>
        </row>
        <row r="147">
          <cell r="C147">
            <v>40086</v>
          </cell>
          <cell r="D147">
            <v>4167.1949510081076</v>
          </cell>
          <cell r="E147" t="str">
            <v xml:space="preserve"> </v>
          </cell>
        </row>
        <row r="148">
          <cell r="C148">
            <v>40117</v>
          </cell>
          <cell r="D148">
            <v>5571.3534824656217</v>
          </cell>
          <cell r="E148">
            <v>6110.7516384160099</v>
          </cell>
        </row>
        <row r="149">
          <cell r="C149">
            <v>40147</v>
          </cell>
          <cell r="D149">
            <v>5938.9894962117096</v>
          </cell>
          <cell r="E149">
            <v>6541.9144225585906</v>
          </cell>
        </row>
        <row r="150">
          <cell r="C150">
            <v>40178</v>
          </cell>
          <cell r="D150">
            <v>6067.5802934265703</v>
          </cell>
          <cell r="E150">
            <v>6686.9650650062076</v>
          </cell>
        </row>
        <row r="151">
          <cell r="C151">
            <v>40209</v>
          </cell>
          <cell r="D151">
            <v>5471.6154872565357</v>
          </cell>
          <cell r="E151">
            <v>6036.8952180048382</v>
          </cell>
        </row>
        <row r="152">
          <cell r="C152">
            <v>40237</v>
          </cell>
          <cell r="D152">
            <v>4504.1200029876863</v>
          </cell>
          <cell r="E152" t="str">
            <v xml:space="preserve"> </v>
          </cell>
        </row>
        <row r="153">
          <cell r="C153">
            <v>40268</v>
          </cell>
          <cell r="D153">
            <v>4024.9817504300845</v>
          </cell>
          <cell r="E153" t="str">
            <v xml:space="preserve"> </v>
          </cell>
        </row>
        <row r="154">
          <cell r="C154">
            <v>40298</v>
          </cell>
          <cell r="D154">
            <v>3825.3386317210116</v>
          </cell>
          <cell r="E154" t="str">
            <v xml:space="preserve"> </v>
          </cell>
        </row>
        <row r="155">
          <cell r="C155">
            <v>40329</v>
          </cell>
          <cell r="D155">
            <v>3788.3476892800854</v>
          </cell>
          <cell r="E155" t="str">
            <v xml:space="preserve"> </v>
          </cell>
        </row>
        <row r="156">
          <cell r="C156">
            <v>40359</v>
          </cell>
          <cell r="D156">
            <v>3657.9054062850937</v>
          </cell>
          <cell r="E156" t="str">
            <v xml:space="preserve"> </v>
          </cell>
        </row>
        <row r="157">
          <cell r="C157">
            <v>40390</v>
          </cell>
          <cell r="D157">
            <v>3781.7907144500782</v>
          </cell>
          <cell r="E157" t="str">
            <v xml:space="preserve"> </v>
          </cell>
        </row>
        <row r="158">
          <cell r="C158">
            <v>40421</v>
          </cell>
          <cell r="D158">
            <v>3875.8224032180087</v>
          </cell>
          <cell r="E158" t="str">
            <v xml:space="preserve"> </v>
          </cell>
        </row>
        <row r="159">
          <cell r="C159">
            <v>40451</v>
          </cell>
          <cell r="D159">
            <v>4259.8458982723732</v>
          </cell>
          <cell r="E159" t="str">
            <v xml:space="preserve"> </v>
          </cell>
        </row>
        <row r="160">
          <cell r="C160">
            <v>40482</v>
          </cell>
          <cell r="D160">
            <v>5690.9450854253373</v>
          </cell>
          <cell r="E160">
            <v>6242.0916166439065</v>
          </cell>
        </row>
        <row r="161">
          <cell r="C161">
            <v>40512</v>
          </cell>
          <cell r="D161">
            <v>6062.6099032083002</v>
          </cell>
          <cell r="E161">
            <v>6678.2371389810996</v>
          </cell>
        </row>
        <row r="162">
          <cell r="C162">
            <v>40543</v>
          </cell>
          <cell r="D162">
            <v>6182.1294145553584</v>
          </cell>
          <cell r="E162">
            <v>6813.4731868393865</v>
          </cell>
        </row>
        <row r="163">
          <cell r="C163">
            <v>40574</v>
          </cell>
          <cell r="D163">
            <v>5563.4171905057947</v>
          </cell>
          <cell r="E163">
            <v>6138.5542084783683</v>
          </cell>
        </row>
        <row r="164">
          <cell r="C164">
            <v>40602</v>
          </cell>
          <cell r="D164">
            <v>4576.0360140810226</v>
          </cell>
          <cell r="E164" t="str">
            <v xml:space="preserve"> </v>
          </cell>
        </row>
        <row r="165">
          <cell r="C165">
            <v>40633</v>
          </cell>
          <cell r="D165">
            <v>4087.9742001485056</v>
          </cell>
          <cell r="E165" t="str">
            <v xml:space="preserve"> </v>
          </cell>
        </row>
        <row r="166">
          <cell r="C166">
            <v>40663</v>
          </cell>
          <cell r="D166">
            <v>3895.2546419635678</v>
          </cell>
          <cell r="E166" t="str">
            <v xml:space="preserve"> </v>
          </cell>
        </row>
        <row r="167">
          <cell r="C167">
            <v>40694</v>
          </cell>
          <cell r="D167">
            <v>3868.5133610717312</v>
          </cell>
          <cell r="E167" t="str">
            <v xml:space="preserve"> </v>
          </cell>
        </row>
        <row r="168">
          <cell r="C168">
            <v>40724</v>
          </cell>
          <cell r="D168">
            <v>3738.3220600504578</v>
          </cell>
          <cell r="E168" t="str">
            <v xml:space="preserve"> </v>
          </cell>
        </row>
        <row r="169">
          <cell r="C169">
            <v>40755</v>
          </cell>
          <cell r="D169">
            <v>3866.0398288094402</v>
          </cell>
          <cell r="E169" t="str">
            <v xml:space="preserve"> </v>
          </cell>
        </row>
        <row r="170">
          <cell r="C170">
            <v>40786</v>
          </cell>
          <cell r="D170">
            <v>3961.2539737327561</v>
          </cell>
          <cell r="E170" t="str">
            <v xml:space="preserve"> </v>
          </cell>
        </row>
        <row r="171">
          <cell r="C171">
            <v>40816</v>
          </cell>
          <cell r="D171">
            <v>4351.6108547082431</v>
          </cell>
          <cell r="E171" t="str">
            <v xml:space="preserve"> </v>
          </cell>
        </row>
        <row r="172">
          <cell r="C172">
            <v>40847</v>
          </cell>
          <cell r="D172">
            <v>5810.4408875697663</v>
          </cell>
          <cell r="E172">
            <v>6373.3483554554568</v>
          </cell>
        </row>
        <row r="173">
          <cell r="C173">
            <v>40877</v>
          </cell>
          <cell r="D173">
            <v>6186.348039196886</v>
          </cell>
          <cell r="E173">
            <v>6814.7628952802897</v>
          </cell>
        </row>
        <row r="174">
          <cell r="C174">
            <v>40908</v>
          </cell>
          <cell r="D174">
            <v>6297.0329030841804</v>
          </cell>
          <cell r="E174">
            <v>6940.4073944290276</v>
          </cell>
        </row>
        <row r="175">
          <cell r="C175">
            <v>40939</v>
          </cell>
          <cell r="D175">
            <v>5654.8849984235048</v>
          </cell>
          <cell r="E175">
            <v>6239.8676266243201</v>
          </cell>
        </row>
        <row r="176">
          <cell r="C176">
            <v>40968</v>
          </cell>
          <cell r="D176">
            <v>4648.1431900310236</v>
          </cell>
          <cell r="E176" t="str">
            <v xml:space="preserve"> </v>
          </cell>
        </row>
        <row r="177">
          <cell r="C177">
            <v>40999</v>
          </cell>
          <cell r="D177">
            <v>4151.3971028291962</v>
          </cell>
          <cell r="E177" t="str">
            <v xml:space="preserve"> </v>
          </cell>
        </row>
        <row r="178">
          <cell r="C178">
            <v>41029</v>
          </cell>
          <cell r="D178">
            <v>3965.175139294849</v>
          </cell>
          <cell r="E178" t="str">
            <v xml:space="preserve"> </v>
          </cell>
        </row>
        <row r="179">
          <cell r="C179">
            <v>41060</v>
          </cell>
          <cell r="D179">
            <v>3950.0647650919191</v>
          </cell>
          <cell r="E179" t="str">
            <v xml:space="preserve"> </v>
          </cell>
        </row>
        <row r="180">
          <cell r="C180">
            <v>41090</v>
          </cell>
          <cell r="D180">
            <v>3820.1464041164363</v>
          </cell>
          <cell r="E180" t="str">
            <v xml:space="preserve"> </v>
          </cell>
        </row>
        <row r="181">
          <cell r="C181">
            <v>41121</v>
          </cell>
          <cell r="D181">
            <v>3950.9499702211692</v>
          </cell>
          <cell r="E181" t="str">
            <v xml:space="preserve"> </v>
          </cell>
        </row>
        <row r="182">
          <cell r="C182">
            <v>41152</v>
          </cell>
          <cell r="D182">
            <v>4048.2007700949489</v>
          </cell>
          <cell r="E182" t="str">
            <v xml:space="preserve"> </v>
          </cell>
        </row>
        <row r="183">
          <cell r="C183">
            <v>41182</v>
          </cell>
          <cell r="D183">
            <v>4444.8588832572277</v>
          </cell>
          <cell r="E183" t="str">
            <v xml:space="preserve"> </v>
          </cell>
        </row>
        <row r="184">
          <cell r="C184">
            <v>41213</v>
          </cell>
          <cell r="D184">
            <v>5931.1539639861994</v>
          </cell>
          <cell r="E184">
            <v>6505.9549240271617</v>
          </cell>
        </row>
        <row r="185">
          <cell r="C185">
            <v>41243</v>
          </cell>
          <cell r="D185">
            <v>6311.8976149234304</v>
          </cell>
          <cell r="E185">
            <v>6953.2873507665963</v>
          </cell>
        </row>
        <row r="186">
          <cell r="C186">
            <v>41274</v>
          </cell>
          <cell r="D186">
            <v>6413.0640141723179</v>
          </cell>
          <cell r="E186">
            <v>7068.6136943001902</v>
          </cell>
        </row>
        <row r="187">
          <cell r="C187">
            <v>41305</v>
          </cell>
          <cell r="D187">
            <v>5746.4995481690676</v>
          </cell>
          <cell r="E187">
            <v>6341.361149485123</v>
          </cell>
        </row>
        <row r="188">
          <cell r="C188">
            <v>41333</v>
          </cell>
          <cell r="D188">
            <v>4720.2936005211195</v>
          </cell>
          <cell r="E188" t="str">
            <v xml:space="preserve"> </v>
          </cell>
        </row>
        <row r="189">
          <cell r="C189">
            <v>41364</v>
          </cell>
          <cell r="D189">
            <v>4214.5191550873087</v>
          </cell>
          <cell r="E189" t="str">
            <v xml:space="preserve"> </v>
          </cell>
        </row>
        <row r="190">
          <cell r="C190">
            <v>41394</v>
          </cell>
          <cell r="D190">
            <v>4035.0605007900085</v>
          </cell>
          <cell r="E190" t="str">
            <v xml:space="preserve"> </v>
          </cell>
        </row>
        <row r="191">
          <cell r="C191">
            <v>41425</v>
          </cell>
          <cell r="D191">
            <v>4033.1461279019077</v>
          </cell>
          <cell r="E191" t="str">
            <v xml:space="preserve"> </v>
          </cell>
        </row>
        <row r="192">
          <cell r="C192">
            <v>41455</v>
          </cell>
          <cell r="D192">
            <v>3903.3590466219785</v>
          </cell>
          <cell r="E192" t="str">
            <v xml:space="preserve"> </v>
          </cell>
        </row>
        <row r="193">
          <cell r="C193">
            <v>41486</v>
          </cell>
          <cell r="D193">
            <v>4036.1414657945329</v>
          </cell>
          <cell r="E193" t="str">
            <v xml:space="preserve"> </v>
          </cell>
        </row>
        <row r="194">
          <cell r="C194">
            <v>41517</v>
          </cell>
          <cell r="D194">
            <v>4135.6438191460866</v>
          </cell>
          <cell r="E194" t="str">
            <v xml:space="preserve"> </v>
          </cell>
        </row>
        <row r="195">
          <cell r="C195">
            <v>41547</v>
          </cell>
          <cell r="D195">
            <v>4538.5446519965972</v>
          </cell>
          <cell r="E195" t="str">
            <v xml:space="preserve"> </v>
          </cell>
        </row>
        <row r="196">
          <cell r="C196">
            <v>41578</v>
          </cell>
          <cell r="D196">
            <v>6052.0825291556221</v>
          </cell>
          <cell r="E196">
            <v>6638.7985321452934</v>
          </cell>
        </row>
        <row r="197">
          <cell r="C197">
            <v>41608</v>
          </cell>
          <cell r="D197">
            <v>6436.1647343884388</v>
          </cell>
          <cell r="E197">
            <v>7090.3169952441276</v>
          </cell>
        </row>
        <row r="198">
          <cell r="C198">
            <v>41639</v>
          </cell>
          <cell r="D198">
            <v>6527.1070924987253</v>
          </cell>
          <cell r="E198">
            <v>7194.5859974737341</v>
          </cell>
        </row>
        <row r="199">
          <cell r="C199">
            <v>41670</v>
          </cell>
          <cell r="D199">
            <v>5837.5167922798892</v>
          </cell>
          <cell r="E199">
            <v>6442.2035083064238</v>
          </cell>
        </row>
        <row r="200">
          <cell r="C200">
            <v>41698</v>
          </cell>
          <cell r="D200">
            <v>4789.9629346124329</v>
          </cell>
          <cell r="E200" t="str">
            <v xml:space="preserve"> </v>
          </cell>
        </row>
        <row r="201">
          <cell r="C201">
            <v>41729</v>
          </cell>
          <cell r="D201">
            <v>4275.0342936137422</v>
          </cell>
          <cell r="E201" t="str">
            <v xml:space="preserve"> </v>
          </cell>
        </row>
        <row r="202">
          <cell r="C202">
            <v>41759</v>
          </cell>
          <cell r="D202">
            <v>4104.5739494288227</v>
          </cell>
          <cell r="E202" t="str">
            <v xml:space="preserve"> </v>
          </cell>
        </row>
        <row r="203">
          <cell r="C203">
            <v>41790</v>
          </cell>
          <cell r="D203">
            <v>4111.9257342574565</v>
          </cell>
          <cell r="E203" t="str">
            <v xml:space="preserve"> </v>
          </cell>
        </row>
        <row r="204">
          <cell r="C204">
            <v>41820</v>
          </cell>
          <cell r="D204">
            <v>3982.8958354692131</v>
          </cell>
          <cell r="E204" t="str">
            <v xml:space="preserve"> </v>
          </cell>
        </row>
        <row r="205">
          <cell r="C205">
            <v>41851</v>
          </cell>
          <cell r="D205">
            <v>4121.5015152922106</v>
          </cell>
          <cell r="E205" t="str">
            <v xml:space="preserve"> </v>
          </cell>
        </row>
        <row r="206">
          <cell r="C206">
            <v>41882</v>
          </cell>
          <cell r="D206">
            <v>4220.839241966115</v>
          </cell>
          <cell r="E206" t="str">
            <v xml:space="preserve"> </v>
          </cell>
        </row>
        <row r="207">
          <cell r="C207">
            <v>41912</v>
          </cell>
          <cell r="D207">
            <v>4630.6021423566599</v>
          </cell>
          <cell r="E207" t="str">
            <v xml:space="preserve"> </v>
          </cell>
        </row>
        <row r="208">
          <cell r="C208">
            <v>41943</v>
          </cell>
          <cell r="D208">
            <v>6173.5573732943903</v>
          </cell>
          <cell r="E208">
            <v>6772.2566249587644</v>
          </cell>
        </row>
        <row r="209">
          <cell r="C209">
            <v>41973</v>
          </cell>
          <cell r="D209">
            <v>6561.912133016438</v>
          </cell>
          <cell r="E209">
            <v>7229.1612907614199</v>
          </cell>
        </row>
        <row r="210">
          <cell r="C210">
            <v>42004</v>
          </cell>
          <cell r="D210">
            <v>6643.3840085142247</v>
          </cell>
          <cell r="E210">
            <v>7323.0900355315462</v>
          </cell>
        </row>
        <row r="211">
          <cell r="C211">
            <v>42035</v>
          </cell>
          <cell r="D211">
            <v>5928.2404911407175</v>
          </cell>
          <cell r="E211">
            <v>6542.7368195848503</v>
          </cell>
        </row>
        <row r="212">
          <cell r="C212">
            <v>42063</v>
          </cell>
          <cell r="D212">
            <v>4861.5731191002633</v>
          </cell>
          <cell r="E212" t="str">
            <v xml:space="preserve"> </v>
          </cell>
        </row>
        <row r="213">
          <cell r="C213">
            <v>42094</v>
          </cell>
          <cell r="D213">
            <v>4338.1393400358602</v>
          </cell>
          <cell r="E213" t="str">
            <v xml:space="preserve"> </v>
          </cell>
        </row>
        <row r="214">
          <cell r="C214">
            <v>42124</v>
          </cell>
          <cell r="D214">
            <v>4173.8908079572993</v>
          </cell>
          <cell r="E214" t="str">
            <v xml:space="preserve"> </v>
          </cell>
        </row>
        <row r="215">
          <cell r="C215">
            <v>42155</v>
          </cell>
          <cell r="D215">
            <v>4195.4256059716754</v>
          </cell>
          <cell r="E215" t="str">
            <v xml:space="preserve"> </v>
          </cell>
        </row>
        <row r="216">
          <cell r="C216">
            <v>42185</v>
          </cell>
          <cell r="D216">
            <v>4066.71917856049</v>
          </cell>
          <cell r="E216" t="str">
            <v xml:space="preserve"> </v>
          </cell>
        </row>
        <row r="217">
          <cell r="C217">
            <v>42216</v>
          </cell>
          <cell r="D217">
            <v>4207.1092749190611</v>
          </cell>
          <cell r="E217" t="str">
            <v xml:space="preserve"> </v>
          </cell>
        </row>
        <row r="218">
          <cell r="C218">
            <v>42247</v>
          </cell>
          <cell r="D218">
            <v>4309.5625938057719</v>
          </cell>
          <cell r="E218" t="str">
            <v xml:space="preserve"> </v>
          </cell>
        </row>
        <row r="219">
          <cell r="C219">
            <v>42277</v>
          </cell>
          <cell r="D219">
            <v>4725.4303026914731</v>
          </cell>
          <cell r="E219" t="str">
            <v xml:space="preserve"> </v>
          </cell>
        </row>
        <row r="220">
          <cell r="C220">
            <v>42308</v>
          </cell>
          <cell r="D220">
            <v>6295.0961798407006</v>
          </cell>
          <cell r="E220">
            <v>6905.7738405078771</v>
          </cell>
        </row>
        <row r="221">
          <cell r="C221">
            <v>42338</v>
          </cell>
          <cell r="D221">
            <v>6688.6097195558896</v>
          </cell>
          <cell r="E221">
            <v>7368.9242514646166</v>
          </cell>
        </row>
        <row r="222">
          <cell r="C222">
            <v>42369</v>
          </cell>
          <cell r="D222">
            <v>6759.0124582594972</v>
          </cell>
          <cell r="E222">
            <v>7450.8675830606726</v>
          </cell>
        </row>
        <row r="223">
          <cell r="C223">
            <v>42400</v>
          </cell>
          <cell r="D223">
            <v>6017.9264725061921</v>
          </cell>
          <cell r="E223">
            <v>6642.1198455128006</v>
          </cell>
        </row>
        <row r="224">
          <cell r="C224">
            <v>42429</v>
          </cell>
          <cell r="D224">
            <v>4931.7570128020761</v>
          </cell>
          <cell r="E224" t="str">
            <v xml:space="preserve"> </v>
          </cell>
        </row>
        <row r="225">
          <cell r="C225">
            <v>42460</v>
          </cell>
          <cell r="D225">
            <v>4398.9457633022212</v>
          </cell>
          <cell r="E225" t="str">
            <v xml:space="preserve"> </v>
          </cell>
        </row>
        <row r="226">
          <cell r="C226">
            <v>42490</v>
          </cell>
          <cell r="D226">
            <v>4242.5270565135907</v>
          </cell>
          <cell r="E226" t="str">
            <v xml:space="preserve"> </v>
          </cell>
        </row>
        <row r="227">
          <cell r="C227">
            <v>42521</v>
          </cell>
          <cell r="D227">
            <v>4278.5215826433123</v>
          </cell>
          <cell r="E227" t="str">
            <v xml:space="preserve"> </v>
          </cell>
        </row>
        <row r="228">
          <cell r="C228">
            <v>42551</v>
          </cell>
          <cell r="D228">
            <v>4150.091478153201</v>
          </cell>
          <cell r="E228" t="str">
            <v xml:space="preserve"> </v>
          </cell>
        </row>
        <row r="229">
          <cell r="C229">
            <v>42582</v>
          </cell>
          <cell r="D229">
            <v>4292.5257838483449</v>
          </cell>
          <cell r="E229" t="str">
            <v xml:space="preserve"> </v>
          </cell>
        </row>
        <row r="230">
          <cell r="C230">
            <v>42613</v>
          </cell>
          <cell r="D230">
            <v>4397.4726058878805</v>
          </cell>
          <cell r="E230" t="str">
            <v xml:space="preserve"> </v>
          </cell>
        </row>
        <row r="231">
          <cell r="C231">
            <v>42643</v>
          </cell>
          <cell r="D231">
            <v>4819.539329128037</v>
          </cell>
          <cell r="E231" t="str">
            <v xml:space="preserve"> </v>
          </cell>
        </row>
        <row r="232">
          <cell r="C232">
            <v>42674</v>
          </cell>
          <cell r="D232">
            <v>6416.1712082759441</v>
          </cell>
          <cell r="E232">
            <v>7038.7872759056208</v>
          </cell>
        </row>
        <row r="233">
          <cell r="C233">
            <v>42704</v>
          </cell>
          <cell r="D233">
            <v>6813.2424325991369</v>
          </cell>
          <cell r="E233">
            <v>7506.3754975285165</v>
          </cell>
        </row>
        <row r="234">
          <cell r="C234">
            <v>42735</v>
          </cell>
          <cell r="D234">
            <v>6872.2981131295228</v>
          </cell>
          <cell r="E234">
            <v>7576.0363381913339</v>
          </cell>
        </row>
        <row r="235">
          <cell r="C235">
            <v>42766</v>
          </cell>
          <cell r="D235">
            <v>6106.6936805024088</v>
          </cell>
          <cell r="E235">
            <v>6740.5093618185101</v>
          </cell>
        </row>
        <row r="236">
          <cell r="C236">
            <v>42794</v>
          </cell>
          <cell r="D236">
            <v>4999.7583970083506</v>
          </cell>
          <cell r="E236" t="str">
            <v xml:space="preserve"> </v>
          </cell>
        </row>
        <row r="237">
          <cell r="C237">
            <v>42825</v>
          </cell>
          <cell r="D237">
            <v>4457.7999916015615</v>
          </cell>
          <cell r="E237" t="str">
            <v xml:space="preserve"> </v>
          </cell>
        </row>
        <row r="238">
          <cell r="C238">
            <v>42855</v>
          </cell>
          <cell r="D238">
            <v>4310.8794917271707</v>
          </cell>
          <cell r="E238" t="str">
            <v xml:space="preserve"> </v>
          </cell>
        </row>
        <row r="239">
          <cell r="C239">
            <v>42886</v>
          </cell>
          <cell r="D239">
            <v>4357.876021018501</v>
          </cell>
          <cell r="E239" t="str">
            <v xml:space="preserve"> </v>
          </cell>
        </row>
        <row r="240">
          <cell r="C240">
            <v>42916</v>
          </cell>
          <cell r="D240">
            <v>4230.4139010057279</v>
          </cell>
          <cell r="E240" t="str">
            <v xml:space="preserve"> </v>
          </cell>
        </row>
        <row r="241">
          <cell r="C241">
            <v>42947</v>
          </cell>
          <cell r="D241">
            <v>4378.4263729678078</v>
          </cell>
          <cell r="E241" t="str">
            <v xml:space="preserve"> </v>
          </cell>
        </row>
        <row r="242">
          <cell r="C242">
            <v>42978</v>
          </cell>
          <cell r="D242">
            <v>4483.9519770207098</v>
          </cell>
          <cell r="E242" t="str">
            <v xml:space="preserve"> </v>
          </cell>
        </row>
        <row r="243">
          <cell r="C243">
            <v>43008</v>
          </cell>
          <cell r="D243">
            <v>4912.8439981985821</v>
          </cell>
          <cell r="E243" t="str">
            <v xml:space="preserve"> 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MJS-4"/>
      <sheetName val="MJS-5"/>
      <sheetName val="MJS-6"/>
      <sheetName val="MJS-7"/>
      <sheetName val="MJS-8"/>
      <sheetName val="Rlfwd"/>
      <sheetName val="Explain"/>
      <sheetName val="Revenue"/>
      <sheetName val="Revenue Exhibit"/>
      <sheetName val="Rev Req Comp July"/>
      <sheetName val="Verify"/>
      <sheetName val="JKP-10"/>
      <sheetName val="RAF"/>
    </sheetNames>
    <sheetDataSet>
      <sheetData sheetId="0"/>
      <sheetData sheetId="1">
        <row r="3">
          <cell r="O3" t="str">
            <v>Exhibit No. ___ (MJS-4)</v>
          </cell>
        </row>
      </sheetData>
      <sheetData sheetId="2">
        <row r="3">
          <cell r="E3" t="str">
            <v>Exhibit No. ___ (MJS-5)</v>
          </cell>
        </row>
      </sheetData>
      <sheetData sheetId="3">
        <row r="2">
          <cell r="F2" t="str">
            <v>WUTC Docket No. UG-11____</v>
          </cell>
        </row>
        <row r="3">
          <cell r="F3" t="str">
            <v>Exhibit No. ___ (MJS-6)</v>
          </cell>
        </row>
      </sheetData>
      <sheetData sheetId="4">
        <row r="15">
          <cell r="O15">
            <v>2E-3</v>
          </cell>
        </row>
        <row r="16">
          <cell r="N16">
            <v>3.8519999999999999E-2</v>
          </cell>
        </row>
        <row r="21">
          <cell r="N21">
            <v>0.35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0003b_contractstatus"/>
      <sheetName val="Sheet1"/>
      <sheetName val="Sheet2"/>
      <sheetName val="Sheet3"/>
    </sheetNames>
    <sheetDataSet>
      <sheetData sheetId="0" refreshError="1"/>
      <sheetData sheetId="1" refreshError="1">
        <row r="1147">
          <cell r="A1147" t="str">
            <v>00075427</v>
          </cell>
          <cell r="B1147" t="str">
            <v>1982-013-01 PL CWT - PSMFC</v>
          </cell>
        </row>
        <row r="1148">
          <cell r="A1148" t="str">
            <v>00075426</v>
          </cell>
          <cell r="B1148" t="str">
            <v>1982-013-02 PL CWT - ODFW</v>
          </cell>
        </row>
        <row r="1149">
          <cell r="A1149" t="str">
            <v>00075424</v>
          </cell>
          <cell r="B1149" t="str">
            <v>1982-013-03 PL CWT- USFWS</v>
          </cell>
        </row>
        <row r="1150">
          <cell r="A1150" t="str">
            <v>00038915</v>
          </cell>
          <cell r="B1150" t="str">
            <v>1982-013-04 PL WASHINGTON CWT</v>
          </cell>
        </row>
        <row r="1151">
          <cell r="A1151" t="str">
            <v>00075418</v>
          </cell>
          <cell r="B1151" t="str">
            <v>1982-013-04 PL WASHINGTON CWT</v>
          </cell>
        </row>
        <row r="1152">
          <cell r="A1152" t="str">
            <v>00038916</v>
          </cell>
          <cell r="B1152" t="str">
            <v>198201301 PL PSMFC CODED WIRE</v>
          </cell>
        </row>
        <row r="1153">
          <cell r="A1153" t="str">
            <v>00038077</v>
          </cell>
          <cell r="B1153" t="str">
            <v>1983-319-00 IL NEW FISH TAG SY</v>
          </cell>
        </row>
        <row r="1154">
          <cell r="A1154" t="str">
            <v>00031984</v>
          </cell>
          <cell r="B1154" t="str">
            <v>1983-319-00 PL NEW FISH TAG</v>
          </cell>
        </row>
        <row r="1155">
          <cell r="A1155" t="str">
            <v>00038330</v>
          </cell>
          <cell r="B1155" t="str">
            <v>1983-350-00 IL NEZ PERCE TRIBA</v>
          </cell>
        </row>
        <row r="1156">
          <cell r="A1156" t="str">
            <v>00002219</v>
          </cell>
          <cell r="B1156" t="str">
            <v>1983-350-00 PL NEZ PERCE HATCH</v>
          </cell>
        </row>
        <row r="1157">
          <cell r="A1157" t="str">
            <v>00035660</v>
          </cell>
          <cell r="B1157" t="str">
            <v>1983-350-00 PL NPTH</v>
          </cell>
        </row>
        <row r="1158">
          <cell r="A1158" t="str">
            <v>00037726</v>
          </cell>
          <cell r="B1158" t="str">
            <v>1983-350-03 PL NPTH M&amp;E</v>
          </cell>
        </row>
        <row r="1159">
          <cell r="A1159" t="str">
            <v>00038073</v>
          </cell>
          <cell r="B1159" t="str">
            <v>1983-435-00 IL BONIFER/MINTHOR</v>
          </cell>
        </row>
        <row r="1160">
          <cell r="A1160" t="str">
            <v>00036697</v>
          </cell>
          <cell r="B1160" t="str">
            <v>1983-435-00 PL UMATILLA SATELL</v>
          </cell>
        </row>
        <row r="1161">
          <cell r="A1161" t="str">
            <v>00038051</v>
          </cell>
          <cell r="B1161" t="str">
            <v>1983-436-00 IL UMATILLA PASSAG</v>
          </cell>
        </row>
        <row r="1162">
          <cell r="A1162" t="str">
            <v>00036020</v>
          </cell>
          <cell r="B1162" t="str">
            <v>1983-436-00 PL UMATILLA PASSAG</v>
          </cell>
        </row>
        <row r="1163">
          <cell r="A1163" t="str">
            <v>00038401</v>
          </cell>
          <cell r="B1163" t="str">
            <v>1984-021-00 IL MAINSTEM MIDDLE</v>
          </cell>
        </row>
        <row r="1164">
          <cell r="A1164" t="str">
            <v>00082710</v>
          </cell>
          <cell r="B1164" t="str">
            <v>1984-021-00 PL PROTECT AND ENH</v>
          </cell>
        </row>
        <row r="1165">
          <cell r="A1165" t="str">
            <v>00075971</v>
          </cell>
          <cell r="B1165" t="str">
            <v>1984-025-00 PL JOSEPH CREEK GR</v>
          </cell>
        </row>
        <row r="1166">
          <cell r="A1166" t="str">
            <v>00081283</v>
          </cell>
          <cell r="B1166" t="str">
            <v>1985-038-00 PL COLVILLE HATCHE</v>
          </cell>
        </row>
        <row r="1167">
          <cell r="A1167" t="str">
            <v>00079102</v>
          </cell>
          <cell r="B1167" t="str">
            <v>1985-062-00 PL PASSAGE IMPROVE</v>
          </cell>
        </row>
        <row r="1168">
          <cell r="A1168" t="str">
            <v>00038317</v>
          </cell>
          <cell r="B1168" t="str">
            <v>1986-050-00 IL EVAL STURGEON</v>
          </cell>
        </row>
        <row r="1169">
          <cell r="A1169" t="str">
            <v>00031998</v>
          </cell>
          <cell r="B1169" t="str">
            <v>1986-050-00 PL LOWER COLUMBIA</v>
          </cell>
        </row>
        <row r="1170">
          <cell r="A1170" t="str">
            <v>00032003</v>
          </cell>
          <cell r="B1170" t="str">
            <v>1986-050-01 PL LOWER COLUMBIA</v>
          </cell>
        </row>
        <row r="1171">
          <cell r="A1171" t="str">
            <v>00033573</v>
          </cell>
          <cell r="B1171" t="str">
            <v>1987-047-00 PL NEZ PERCE STATL</v>
          </cell>
        </row>
        <row r="1172">
          <cell r="A1172" t="str">
            <v>00037773</v>
          </cell>
          <cell r="B1172" t="str">
            <v>1987-099-00 IL IDFG DWORSHAK</v>
          </cell>
        </row>
        <row r="1173">
          <cell r="A1173" t="str">
            <v>00033577</v>
          </cell>
          <cell r="B1173" t="str">
            <v>1987-099-00 PL IDFG ACOUSTICS-</v>
          </cell>
        </row>
        <row r="1174">
          <cell r="A1174" t="str">
            <v>00037783</v>
          </cell>
          <cell r="B1174" t="str">
            <v>1987-100-01 IL UMATILLA HABITA</v>
          </cell>
        </row>
        <row r="1175">
          <cell r="A1175" t="str">
            <v>00033547</v>
          </cell>
          <cell r="B1175" t="str">
            <v>1987-100-01 PL UMATILLA TODD</v>
          </cell>
        </row>
        <row r="1176">
          <cell r="A1176" t="str">
            <v>00038671</v>
          </cell>
          <cell r="B1176" t="str">
            <v>1987-100-02 IL UMATILLA HABITA</v>
          </cell>
        </row>
        <row r="1177">
          <cell r="A1177" t="str">
            <v>00082687</v>
          </cell>
          <cell r="B1177" t="str">
            <v>1987-100-02 PL UMATILLA BASIN</v>
          </cell>
        </row>
        <row r="1178">
          <cell r="A1178" t="str">
            <v>00038078</v>
          </cell>
          <cell r="B1178" t="str">
            <v>1987-127-00 IL SMOLT MONITORIN</v>
          </cell>
        </row>
        <row r="1179">
          <cell r="A1179" t="str">
            <v>00039152</v>
          </cell>
          <cell r="B1179" t="str">
            <v>1987-127-00 PL  SMOLT MONITORI</v>
          </cell>
        </row>
        <row r="1180">
          <cell r="A1180" t="str">
            <v>00038403</v>
          </cell>
          <cell r="B1180" t="str">
            <v>1987-401-00 IL ASSESS SMOLT CO</v>
          </cell>
        </row>
        <row r="1181">
          <cell r="A1181" t="str">
            <v>00078779</v>
          </cell>
          <cell r="B1181" t="str">
            <v>1987-401-00 PL ASSESS SMOLT CO</v>
          </cell>
        </row>
        <row r="1182">
          <cell r="A1182" t="str">
            <v>00038052</v>
          </cell>
          <cell r="B1182" t="str">
            <v>1988-022-00 IL UMATILLA RIVERB</v>
          </cell>
        </row>
        <row r="1183">
          <cell r="A1183" t="str">
            <v>00036698</v>
          </cell>
          <cell r="B1183" t="str">
            <v>1988-022-00 PL UMATILLA FISH P</v>
          </cell>
        </row>
        <row r="1184">
          <cell r="A1184" t="str">
            <v>00038054</v>
          </cell>
          <cell r="B1184" t="str">
            <v>1988-053-01 IL NE OR HATCHERY</v>
          </cell>
        </row>
        <row r="1185">
          <cell r="A1185" t="str">
            <v>00036007</v>
          </cell>
          <cell r="B1185" t="str">
            <v>1988-053-01 PL GRANDE RONDE CO</v>
          </cell>
        </row>
        <row r="1186">
          <cell r="A1186" t="str">
            <v>00036019</v>
          </cell>
          <cell r="B1186" t="str">
            <v>1988-053-01 PL GRANDE RONDE SP</v>
          </cell>
        </row>
        <row r="1187">
          <cell r="A1187" t="str">
            <v>00076908</v>
          </cell>
          <cell r="B1187" t="str">
            <v>1988-053-01 PL GRANDE RONDE/IM</v>
          </cell>
        </row>
        <row r="1188">
          <cell r="A1188" t="str">
            <v>00002648</v>
          </cell>
          <cell r="B1188" t="str">
            <v>1988-053-01 PL NE HATCH MST PL</v>
          </cell>
        </row>
        <row r="1189">
          <cell r="A1189" t="str">
            <v>00038476</v>
          </cell>
          <cell r="B1189" t="str">
            <v>1988-053-02 PL UMATILLA SUPPL</v>
          </cell>
        </row>
        <row r="1190">
          <cell r="A1190" t="str">
            <v>00037757</v>
          </cell>
          <cell r="B1190" t="str">
            <v>1988-053-03 IL HOOD RIVER PROD</v>
          </cell>
        </row>
        <row r="1191">
          <cell r="A1191" t="str">
            <v>00036360</v>
          </cell>
          <cell r="B1191" t="str">
            <v>1988-053-03 PL HOOD RIVER PROD</v>
          </cell>
        </row>
        <row r="1192">
          <cell r="A1192" t="str">
            <v>00033581</v>
          </cell>
          <cell r="B1192" t="str">
            <v>1988-053-04 PL HOOD RIVER PROD</v>
          </cell>
        </row>
        <row r="1193">
          <cell r="A1193" t="str">
            <v>00038067</v>
          </cell>
          <cell r="B1193" t="str">
            <v>1988-053-05 IL NE ORE OUTPLNTG</v>
          </cell>
        </row>
        <row r="1194">
          <cell r="A1194" t="str">
            <v>00075284</v>
          </cell>
          <cell r="B1194" t="str">
            <v>1988-053-05 PL NEOH MASTER PLA</v>
          </cell>
        </row>
        <row r="1195">
          <cell r="A1195" t="str">
            <v>00075469</v>
          </cell>
          <cell r="B1195" t="str">
            <v>1988-053-06 PL HOOD RIVER PROD</v>
          </cell>
        </row>
        <row r="1196">
          <cell r="A1196" t="str">
            <v>00075471</v>
          </cell>
          <cell r="B1196" t="str">
            <v>1988-053-07 PL PARKDALE FISH</v>
          </cell>
        </row>
        <row r="1197">
          <cell r="A1197" t="str">
            <v>00082549</v>
          </cell>
          <cell r="B1197" t="str">
            <v>1988-053-08 PL HOOD RIVER PWR</v>
          </cell>
        </row>
        <row r="1198">
          <cell r="A1198" t="str">
            <v>00103538</v>
          </cell>
          <cell r="B1198" t="str">
            <v>1988-053-12 PL HOOD RIVER STEE</v>
          </cell>
        </row>
        <row r="1199">
          <cell r="A1199" t="str">
            <v>00103541</v>
          </cell>
          <cell r="B1199" t="str">
            <v>1988-053-13 PL HOOD RIVER THRE</v>
          </cell>
        </row>
        <row r="1200">
          <cell r="A1200" t="str">
            <v>00103560</v>
          </cell>
          <cell r="B1200" t="str">
            <v>1988-053-14 PL HOOD RIVER PROG</v>
          </cell>
        </row>
        <row r="1201">
          <cell r="A1201" t="str">
            <v>00037803</v>
          </cell>
          <cell r="B1201" t="str">
            <v>1988-064-00 IL EXPRMNTL STURGE</v>
          </cell>
        </row>
        <row r="1202">
          <cell r="A1202" t="str">
            <v>00033567</v>
          </cell>
          <cell r="B1202" t="str">
            <v>1988-064-00 PL IDFG VAUGHN</v>
          </cell>
        </row>
        <row r="1203">
          <cell r="A1203" t="str">
            <v>00033561</v>
          </cell>
          <cell r="B1203" t="str">
            <v>1988-065-00 PL SUE KOOTENAI</v>
          </cell>
        </row>
        <row r="1204">
          <cell r="A1204" t="str">
            <v>00078928</v>
          </cell>
          <cell r="B1204" t="str">
            <v>1988-108-04 PL PACIFIC NW HYDR</v>
          </cell>
        </row>
        <row r="1205">
          <cell r="A1205" t="str">
            <v>00035794</v>
          </cell>
          <cell r="B1205" t="str">
            <v>1988-108-04 PL STREAMNET (CIS/</v>
          </cell>
        </row>
        <row r="1206">
          <cell r="A1206" t="str">
            <v>00038860</v>
          </cell>
          <cell r="B1206" t="str">
            <v>1988-115-00 PL YAKIMA HATCHERY</v>
          </cell>
        </row>
        <row r="1207">
          <cell r="A1207" t="str">
            <v>00095020</v>
          </cell>
          <cell r="B1207" t="str">
            <v>1988-115-00 PL YAKIMA HATCHERY</v>
          </cell>
        </row>
        <row r="1208">
          <cell r="A1208" t="str">
            <v>00002751</v>
          </cell>
          <cell r="B1208" t="str">
            <v>1988-115-12 PL E CHIN ACCLIMAT</v>
          </cell>
        </row>
        <row r="1209">
          <cell r="A1209" t="str">
            <v>00099245</v>
          </cell>
          <cell r="B1209" t="str">
            <v>1988-115-25 PL  YKFP DESIGN AN</v>
          </cell>
        </row>
        <row r="1210">
          <cell r="A1210" t="str">
            <v>00037846</v>
          </cell>
          <cell r="B1210" t="str">
            <v>1988-120-25 IL YKFP - MANAGEME</v>
          </cell>
        </row>
        <row r="1211">
          <cell r="A1211" t="str">
            <v>00079017</v>
          </cell>
          <cell r="B1211" t="str">
            <v>1988-120-25 PL YKFP MANAGEMENT</v>
          </cell>
        </row>
        <row r="1212">
          <cell r="A1212" t="str">
            <v>00090341</v>
          </cell>
          <cell r="B1212" t="str">
            <v>1988-120-26 PL - YIN HATCHERY</v>
          </cell>
        </row>
        <row r="1213">
          <cell r="A1213" t="str">
            <v>00078786</v>
          </cell>
          <cell r="B1213" t="str">
            <v>1988-156-00 PL DUCK VALLEY RES</v>
          </cell>
        </row>
        <row r="1214">
          <cell r="A1214" t="str">
            <v>00107350</v>
          </cell>
          <cell r="B1214" t="str">
            <v>1988-156-01 PL DUCK VALLEY RES</v>
          </cell>
        </row>
        <row r="1215">
          <cell r="A1215" t="str">
            <v>00040048</v>
          </cell>
          <cell r="B1215" t="str">
            <v>1989-013-00 PL PSMFC CWT</v>
          </cell>
        </row>
        <row r="1216">
          <cell r="A1216" t="str">
            <v>00038063</v>
          </cell>
          <cell r="B1216" t="str">
            <v>1989-024-01 IL EVAL UMATILLA</v>
          </cell>
        </row>
        <row r="1217">
          <cell r="A1217" t="str">
            <v>00038060</v>
          </cell>
          <cell r="B1217" t="str">
            <v>1989-027-00 IL POWER/REPAY O&amp;M</v>
          </cell>
        </row>
        <row r="1218">
          <cell r="A1218" t="str">
            <v>00036084</v>
          </cell>
          <cell r="B1218" t="str">
            <v>1989-027-00 PL UMATILLA POWER</v>
          </cell>
        </row>
        <row r="1219">
          <cell r="A1219" t="str">
            <v>00038068</v>
          </cell>
          <cell r="B1219" t="str">
            <v>1989-035-00 IL UMATILLA HATCHE</v>
          </cell>
        </row>
        <row r="1220">
          <cell r="A1220" t="str">
            <v>00037105</v>
          </cell>
          <cell r="B1220" t="str">
            <v>1989-035-00 PL UMATILLA HATCH</v>
          </cell>
        </row>
        <row r="1221">
          <cell r="A1221" t="str">
            <v>00038396</v>
          </cell>
          <cell r="B1221" t="str">
            <v>1989-062-01 IL ANNUAL WORK PLA</v>
          </cell>
        </row>
        <row r="1222">
          <cell r="A1222" t="str">
            <v>00108696</v>
          </cell>
          <cell r="B1222" t="str">
            <v>1989-062-01 PL ANNUAL WORK PLA</v>
          </cell>
        </row>
        <row r="1223">
          <cell r="A1223" t="str">
            <v>00032640</v>
          </cell>
          <cell r="B1223" t="str">
            <v>1989-062-01 PL CBFWA ANNUAL WO</v>
          </cell>
        </row>
        <row r="1224">
          <cell r="A1224" t="str">
            <v>00038674</v>
          </cell>
          <cell r="B1224" t="str">
            <v>1989-065-00 IL ANN CD WIRE</v>
          </cell>
        </row>
        <row r="1225">
          <cell r="A1225" t="str">
            <v>00040052</v>
          </cell>
          <cell r="B1225" t="str">
            <v>1989-065-00 PL USFWS CWT MISS.</v>
          </cell>
        </row>
        <row r="1226">
          <cell r="A1226" t="str">
            <v>00040044</v>
          </cell>
          <cell r="B1226" t="str">
            <v>1989-066-00 PL WASHINGTON CWT</v>
          </cell>
        </row>
        <row r="1227">
          <cell r="A1227" t="str">
            <v>00040053</v>
          </cell>
          <cell r="B1227" t="str">
            <v>1989-069-00 PL ODFW CWT MISS.</v>
          </cell>
        </row>
        <row r="1228">
          <cell r="A1228" t="str">
            <v>00032529</v>
          </cell>
          <cell r="B1228" t="str">
            <v>1989-072-01 PL DOE-ORNL ISRP S</v>
          </cell>
        </row>
        <row r="1229">
          <cell r="A1229" t="str">
            <v>00038684</v>
          </cell>
          <cell r="B1229" t="str">
            <v>1989-096-00 IL GENTIC MON/EVAL</v>
          </cell>
        </row>
        <row r="1230">
          <cell r="A1230" t="str">
            <v>00089005</v>
          </cell>
          <cell r="B1230" t="str">
            <v>1989-096-00 PL GENETIC M &amp; E</v>
          </cell>
        </row>
        <row r="1231">
          <cell r="A1231" t="str">
            <v>00036687</v>
          </cell>
          <cell r="B1231" t="str">
            <v>1989-098-00 CN IDAHO SUPPLEMEN</v>
          </cell>
        </row>
        <row r="1232">
          <cell r="A1232" t="str">
            <v>00038686</v>
          </cell>
          <cell r="B1232" t="str">
            <v>1989-098-00 IL EVAL SUMMLMTG</v>
          </cell>
        </row>
        <row r="1233">
          <cell r="A1233" t="str">
            <v>00106021</v>
          </cell>
          <cell r="B1233" t="str">
            <v>1989-098-00 PL EVALUATION OF S</v>
          </cell>
        </row>
        <row r="1234">
          <cell r="A1234" t="str">
            <v>00092280</v>
          </cell>
          <cell r="B1234" t="str">
            <v>1989-098-00 SALMON SUPPLEMENTA</v>
          </cell>
        </row>
        <row r="1235">
          <cell r="A1235" t="str">
            <v>00036932</v>
          </cell>
          <cell r="B1235" t="str">
            <v>1989-098-01 PL IDAHO SUPPLEMEN</v>
          </cell>
        </row>
        <row r="1236">
          <cell r="A1236" t="str">
            <v>00083723</v>
          </cell>
          <cell r="B1236" t="str">
            <v>1989-098-01 PL SALMON SUPPLEME</v>
          </cell>
        </row>
        <row r="1237">
          <cell r="A1237" t="str">
            <v>00038688</v>
          </cell>
          <cell r="B1237" t="str">
            <v>1989-098-02 IL SALMON SUPPLE</v>
          </cell>
        </row>
        <row r="1238">
          <cell r="A1238" t="str">
            <v>00035790</v>
          </cell>
          <cell r="B1238" t="str">
            <v>1989-098-02 PL SALMON SUPPLEME</v>
          </cell>
        </row>
        <row r="1239">
          <cell r="A1239" t="str">
            <v>00037723</v>
          </cell>
          <cell r="B1239" t="str">
            <v>1989-098-03 PL SUPP STUDIES ID</v>
          </cell>
        </row>
        <row r="1240">
          <cell r="A1240" t="str">
            <v>00038404</v>
          </cell>
          <cell r="B1240" t="str">
            <v>1989-107-00 IL STATISTICAL SUP</v>
          </cell>
        </row>
        <row r="1241">
          <cell r="A1241" t="str">
            <v>00037210</v>
          </cell>
          <cell r="B1241" t="str">
            <v>1989-107-00 PL STATISTICAL SUP</v>
          </cell>
        </row>
        <row r="1242">
          <cell r="A1242" t="str">
            <v>00108441</v>
          </cell>
          <cell r="B1242" t="str">
            <v>1989-108-00 PL COLUMBIA RIVER</v>
          </cell>
        </row>
        <row r="1243">
          <cell r="A1243" t="str">
            <v>00084903</v>
          </cell>
          <cell r="B1243" t="str">
            <v>1989-108-00 PL MODELING &amp; EVAL</v>
          </cell>
        </row>
        <row r="1244">
          <cell r="A1244" t="str">
            <v>00037104</v>
          </cell>
          <cell r="B1244" t="str">
            <v>198902400 PL UMATILLA PASSAGE</v>
          </cell>
        </row>
        <row r="1245">
          <cell r="A1245" t="str">
            <v>00037102</v>
          </cell>
          <cell r="B1245" t="str">
            <v>1990-005-00 PL UMATILLA HATCHE</v>
          </cell>
        </row>
        <row r="1246">
          <cell r="A1246" t="str">
            <v>00037103</v>
          </cell>
          <cell r="B1246" t="str">
            <v>1990-005-01 PL UMATILLA NAT M&amp;</v>
          </cell>
        </row>
        <row r="1247">
          <cell r="A1247" t="str">
            <v>00033575</v>
          </cell>
          <cell r="B1247" t="str">
            <v>1990-018-00 PL RBT/HAB. COLEVI</v>
          </cell>
        </row>
        <row r="1248">
          <cell r="A1248" t="str">
            <v>00038669</v>
          </cell>
          <cell r="B1248" t="str">
            <v>1990-025-00 IL RIVER WETLAND R</v>
          </cell>
        </row>
        <row r="1249">
          <cell r="A1249" t="str">
            <v>00037753</v>
          </cell>
          <cell r="B1249" t="str">
            <v>1990-044-00 IL STRM SURVEY HTC</v>
          </cell>
        </row>
        <row r="1250">
          <cell r="A1250" t="str">
            <v>00033496</v>
          </cell>
          <cell r="B1250" t="str">
            <v>1990-044-00 PL CDA FISHERIES</v>
          </cell>
        </row>
        <row r="1251">
          <cell r="A1251" t="str">
            <v>00037754</v>
          </cell>
          <cell r="B1251" t="str">
            <v>1990-044-01 IL LAKE CREEK LAND</v>
          </cell>
        </row>
        <row r="1252">
          <cell r="A1252" t="str">
            <v>00035662</v>
          </cell>
          <cell r="B1252" t="str">
            <v>1990-044-01 PD LAKE CR ACQUI</v>
          </cell>
        </row>
        <row r="1253">
          <cell r="A1253" t="str">
            <v>00090374</v>
          </cell>
          <cell r="B1253" t="str">
            <v>1990-044-01 PD LAKE CR LAND AC</v>
          </cell>
        </row>
        <row r="1254">
          <cell r="A1254" t="str">
            <v>00037756</v>
          </cell>
          <cell r="B1254" t="str">
            <v>1990-044-02 IL COEUR D'ALENE T</v>
          </cell>
        </row>
        <row r="1255">
          <cell r="A1255" t="str">
            <v>00035663</v>
          </cell>
          <cell r="B1255" t="str">
            <v>1990-044-02 PD CDA TROUT PROD</v>
          </cell>
        </row>
        <row r="1256">
          <cell r="A1256" t="str">
            <v>00082614</v>
          </cell>
          <cell r="B1256" t="str">
            <v>1990-052-00 PL PERFORMANCE/STO</v>
          </cell>
        </row>
        <row r="1257">
          <cell r="A1257" t="str">
            <v>00106259</v>
          </cell>
          <cell r="B1257" t="str">
            <v>1990-055-00 PL SUPPLEMENTATION</v>
          </cell>
        </row>
        <row r="1258">
          <cell r="A1258" t="str">
            <v>00078189</v>
          </cell>
          <cell r="B1258" t="str">
            <v>1990-077-00 PL NORTHERN PIKEMI</v>
          </cell>
        </row>
        <row r="1259">
          <cell r="A1259" t="str">
            <v>00078191</v>
          </cell>
          <cell r="B1259" t="str">
            <v>1990-078-00 PL EVALUATE PREDAT</v>
          </cell>
        </row>
        <row r="1260">
          <cell r="A1260" t="str">
            <v>00038075</v>
          </cell>
          <cell r="B1260" t="str">
            <v>1990-080-00 IL COLUMBIA BASIN</v>
          </cell>
        </row>
        <row r="1261">
          <cell r="A1261" t="str">
            <v>00075976</v>
          </cell>
          <cell r="B1261" t="str">
            <v>1990-080-00 IL COLUMBIA BASIN</v>
          </cell>
        </row>
        <row r="1262">
          <cell r="A1262" t="str">
            <v>00038248</v>
          </cell>
          <cell r="B1262" t="str">
            <v>1990-080-00 OM COLUMBIA BASIN</v>
          </cell>
        </row>
        <row r="1263">
          <cell r="A1263" t="str">
            <v>00031999</v>
          </cell>
          <cell r="B1263" t="str">
            <v>1990-080-01 PL PIT TAG PURCHAS</v>
          </cell>
        </row>
        <row r="1264">
          <cell r="A1264" t="str">
            <v>00037648</v>
          </cell>
          <cell r="B1264" t="str">
            <v>1990-092-00 PL WANAKET WL MITI</v>
          </cell>
        </row>
        <row r="1265">
          <cell r="A1265" t="str">
            <v>00038050</v>
          </cell>
          <cell r="B1265" t="str">
            <v>1990-093-00 IL GENETIC ANALYSE</v>
          </cell>
        </row>
        <row r="1266">
          <cell r="A1266" t="str">
            <v>00037043</v>
          </cell>
          <cell r="B1266" t="str">
            <v>1990-093-00 PL GENETIC ANALYSI</v>
          </cell>
        </row>
        <row r="1267">
          <cell r="A1267" t="str">
            <v>00038440</v>
          </cell>
          <cell r="B1267" t="str">
            <v>1991-019-01 IL HUNGRY HORSE MI</v>
          </cell>
        </row>
        <row r="1268">
          <cell r="A1268" t="str">
            <v>00035918</v>
          </cell>
          <cell r="B1268" t="str">
            <v>1991-019-01 PL HHR LAKE MONITO</v>
          </cell>
        </row>
        <row r="1269">
          <cell r="A1269" t="str">
            <v>00038443</v>
          </cell>
          <cell r="B1269" t="str">
            <v>1991-019-03 IL HUNGRY HORSE MI</v>
          </cell>
        </row>
        <row r="1270">
          <cell r="A1270" t="str">
            <v>00091132</v>
          </cell>
          <cell r="B1270" t="str">
            <v>1991-019-03 PL HUNGRY HORSE HA</v>
          </cell>
        </row>
        <row r="1271">
          <cell r="A1271" t="str">
            <v>00111061</v>
          </cell>
          <cell r="B1271" t="str">
            <v>1991-019-03 PL HUNGRY HORSE MI</v>
          </cell>
        </row>
        <row r="1272">
          <cell r="A1272" t="str">
            <v>00002311</v>
          </cell>
          <cell r="B1272" t="str">
            <v>1991-019-04 HHR MITIGATION</v>
          </cell>
        </row>
        <row r="1273">
          <cell r="A1273" t="str">
            <v>00038444</v>
          </cell>
          <cell r="B1273" t="str">
            <v>1991-019-04 IL HUNGRY HORSE MI</v>
          </cell>
        </row>
        <row r="1274">
          <cell r="A1274" t="str">
            <v>00032339</v>
          </cell>
          <cell r="B1274" t="str">
            <v>1991-019-04 PL HHR MITIGATION</v>
          </cell>
        </row>
        <row r="1275">
          <cell r="A1275" t="str">
            <v>00038432</v>
          </cell>
          <cell r="B1275" t="str">
            <v>1991-028-00 IL PIT TAG WILD</v>
          </cell>
        </row>
        <row r="1276">
          <cell r="A1276" t="str">
            <v>00084902</v>
          </cell>
          <cell r="B1276" t="str">
            <v>1991-028-00 PL  PIT TAGGING WI</v>
          </cell>
        </row>
        <row r="1277">
          <cell r="A1277" t="str">
            <v>00037842</v>
          </cell>
          <cell r="B1277" t="str">
            <v>1991-029-00 IL POST RELEASE</v>
          </cell>
        </row>
        <row r="1278">
          <cell r="A1278" t="str">
            <v>00082624</v>
          </cell>
          <cell r="B1278" t="str">
            <v>1991-029-00 PL POST-RELEASE AT</v>
          </cell>
        </row>
        <row r="1279">
          <cell r="A1279" t="str">
            <v>00033543</v>
          </cell>
          <cell r="B1279" t="str">
            <v>1991-046-00 PL SPOKANE TRIBAL</v>
          </cell>
        </row>
        <row r="1280">
          <cell r="A1280" t="str">
            <v>00074741</v>
          </cell>
          <cell r="B1280" t="str">
            <v>1991-047-00 PL SHERMAN CR HATC</v>
          </cell>
        </row>
        <row r="1281">
          <cell r="A1281" t="str">
            <v>00032419</v>
          </cell>
          <cell r="B1281" t="str">
            <v>1991-047-00 PL SHERMAN CREEK H</v>
          </cell>
        </row>
        <row r="1282">
          <cell r="A1282" t="str">
            <v>00038431</v>
          </cell>
          <cell r="B1282" t="str">
            <v>1991-051-00 IL M&amp;E STATISTICAL</v>
          </cell>
        </row>
        <row r="1283">
          <cell r="A1283" t="str">
            <v>00038871</v>
          </cell>
          <cell r="B1283" t="str">
            <v>1991-051-00 PL M&amp;E STATISTICAL</v>
          </cell>
        </row>
        <row r="1284">
          <cell r="A1284" t="str">
            <v>00037767</v>
          </cell>
          <cell r="B1284" t="str">
            <v>1991-055-00 PL NATURAL REARING</v>
          </cell>
        </row>
        <row r="1285">
          <cell r="A1285" t="str">
            <v>00038318</v>
          </cell>
          <cell r="B1285" t="str">
            <v>1991-057-00 IL YAKIMA PHASE 2</v>
          </cell>
        </row>
        <row r="1286">
          <cell r="A1286" t="str">
            <v>00079100</v>
          </cell>
          <cell r="B1286" t="str">
            <v>1991-057-00 PL YAKIMA PHASE 2</v>
          </cell>
        </row>
        <row r="1287">
          <cell r="A1287" t="str">
            <v>00036328</v>
          </cell>
          <cell r="B1287" t="str">
            <v>1991-060-00 PL KALISPELL PEND</v>
          </cell>
        </row>
        <row r="1288">
          <cell r="A1288" t="str">
            <v>00033553</v>
          </cell>
          <cell r="B1288" t="str">
            <v>1991-061-00 PL SWANSON LAKES</v>
          </cell>
        </row>
        <row r="1289">
          <cell r="A1289" t="str">
            <v>00084694</v>
          </cell>
          <cell r="B1289" t="str">
            <v>1991-062-00 PL SPOKANE TRIBE</v>
          </cell>
        </row>
        <row r="1290">
          <cell r="A1290" t="str">
            <v>00036953</v>
          </cell>
          <cell r="B1290" t="str">
            <v>1991-071-00  PL SOCKEYE SALMON</v>
          </cell>
        </row>
        <row r="1291">
          <cell r="A1291" t="str">
            <v>00083823</v>
          </cell>
          <cell r="B1291" t="str">
            <v>1991-072-00 PL REDFISH LAKE SO</v>
          </cell>
        </row>
        <row r="1292">
          <cell r="A1292" t="str">
            <v>00038691</v>
          </cell>
          <cell r="B1292" t="str">
            <v>1991-073-00 IL IDAHO NAT PRODU</v>
          </cell>
        </row>
        <row r="1293">
          <cell r="A1293" t="str">
            <v>00089003</v>
          </cell>
          <cell r="B1293" t="str">
            <v>1991-073-00 PL ID NATURAL PROD</v>
          </cell>
        </row>
        <row r="1294">
          <cell r="A1294" t="str">
            <v>00038319</v>
          </cell>
          <cell r="B1294" t="str">
            <v>1991-075-00 IL YAKIMA PHASE LI</v>
          </cell>
        </row>
        <row r="1295">
          <cell r="A1295" t="str">
            <v>00038600</v>
          </cell>
          <cell r="B1295" t="str">
            <v>1991-075-00 PL YAKIMA PH2 SCRE</v>
          </cell>
        </row>
        <row r="1296">
          <cell r="A1296" t="str">
            <v>00079105</v>
          </cell>
          <cell r="B1296" t="str">
            <v>1991-075-00 PL YAKIMA PHASE 2</v>
          </cell>
        </row>
        <row r="1297">
          <cell r="A1297" t="str">
            <v>00082913</v>
          </cell>
          <cell r="B1297" t="str">
            <v>1991-075-03 PL YAKIMA SC CONST</v>
          </cell>
        </row>
        <row r="1298">
          <cell r="A1298" t="str">
            <v>00109733</v>
          </cell>
          <cell r="B1298" t="str">
            <v>1991-075-04 PL SOUTH NACHES FI</v>
          </cell>
        </row>
        <row r="1299">
          <cell r="A1299" t="str">
            <v>00038678</v>
          </cell>
          <cell r="B1299" t="str">
            <v>1991-078-00 IL BURLINGTON BOTT</v>
          </cell>
        </row>
        <row r="1300">
          <cell r="A1300" t="str">
            <v>00082554</v>
          </cell>
          <cell r="B1300" t="str">
            <v>1991-078-00 PL BURLINGTON BOTT</v>
          </cell>
        </row>
        <row r="1301">
          <cell r="A1301" t="str">
            <v>00032335</v>
          </cell>
          <cell r="B1301" t="str">
            <v>199101903 PL HHR MITIGATION-HA</v>
          </cell>
        </row>
        <row r="1302">
          <cell r="A1302" t="str">
            <v>00038913</v>
          </cell>
          <cell r="B1302" t="str">
            <v>199107500 YAKIMA PHASE II FISH</v>
          </cell>
        </row>
        <row r="1303">
          <cell r="A1303" t="str">
            <v>00038320</v>
          </cell>
          <cell r="B1303" t="str">
            <v>1992-009-00 IL YAKIMA SCREENS</v>
          </cell>
        </row>
        <row r="1304">
          <cell r="A1304" t="str">
            <v>00038912</v>
          </cell>
          <cell r="B1304" t="str">
            <v>1992-009-00 PL O&amp;M YAKIMA PHAS</v>
          </cell>
        </row>
        <row r="1305">
          <cell r="A1305" t="str">
            <v>00079106</v>
          </cell>
          <cell r="B1305" t="str">
            <v>1992-009-00 PL YAKIMA PHA2 SCR</v>
          </cell>
        </row>
        <row r="1306">
          <cell r="A1306" t="str">
            <v>00038390</v>
          </cell>
          <cell r="B1306" t="str">
            <v>1992-010-00 IL HABITAT IMPRVMT</v>
          </cell>
        </row>
        <row r="1307">
          <cell r="A1307" t="str">
            <v>00084140</v>
          </cell>
          <cell r="B1307" t="str">
            <v>1992-010-00 PL FT HALL BOTTOMS</v>
          </cell>
        </row>
        <row r="1308">
          <cell r="A1308" t="str">
            <v>00091143</v>
          </cell>
          <cell r="B1308" t="str">
            <v>1992-010-00 PL FT HALL BOTTOMS</v>
          </cell>
        </row>
        <row r="1309">
          <cell r="A1309" t="str">
            <v>00089004</v>
          </cell>
          <cell r="B1309" t="str">
            <v>1992-022-00 PL PHYSIO ASSESSME</v>
          </cell>
        </row>
        <row r="1310">
          <cell r="A1310" t="str">
            <v>00113902</v>
          </cell>
          <cell r="B1310" t="str">
            <v>1992-024-00 PL ENHANCED COLUMB</v>
          </cell>
        </row>
        <row r="1311">
          <cell r="A1311" t="str">
            <v>00037755</v>
          </cell>
          <cell r="B1311" t="str">
            <v>1992-024-09 IL LAW ENFORCEMENT</v>
          </cell>
        </row>
        <row r="1312">
          <cell r="A1312" t="str">
            <v>00038836</v>
          </cell>
          <cell r="B1312" t="str">
            <v>1992-026-01 PL GRAND RONDE MO</v>
          </cell>
        </row>
        <row r="1313">
          <cell r="A1313" t="str">
            <v>00087608</v>
          </cell>
          <cell r="B1313" t="str">
            <v>1992-026-01 PL GRANDE RONDE MO</v>
          </cell>
        </row>
        <row r="1314">
          <cell r="A1314" t="str">
            <v>00076500</v>
          </cell>
          <cell r="B1314" t="str">
            <v>1992-026-03 PL MODEL WATERSHED</v>
          </cell>
        </row>
        <row r="1315">
          <cell r="A1315" t="str">
            <v>00036527</v>
          </cell>
          <cell r="B1315" t="str">
            <v>1992-026-04 PL GRANDE RONDE</v>
          </cell>
        </row>
        <row r="1316">
          <cell r="A1316" t="str">
            <v>00037944</v>
          </cell>
          <cell r="B1316" t="str">
            <v>1992-040-00 IL REDFISH LAKE SO</v>
          </cell>
        </row>
        <row r="1317">
          <cell r="A1317" t="str">
            <v>00037038</v>
          </cell>
          <cell r="B1317" t="str">
            <v>1992-040-00 PL SOCKEYE CAPTIVE</v>
          </cell>
        </row>
        <row r="1318">
          <cell r="A1318" t="str">
            <v>00074740</v>
          </cell>
          <cell r="B1318" t="str">
            <v>1992-048-00 PL HELLSGATE WINTE</v>
          </cell>
        </row>
        <row r="1319">
          <cell r="A1319" t="str">
            <v>00037779</v>
          </cell>
          <cell r="B1319" t="str">
            <v>1992-059-00 IL AMAZON BASIN/EU</v>
          </cell>
        </row>
        <row r="1320">
          <cell r="A1320" t="str">
            <v>00033572</v>
          </cell>
          <cell r="B1320" t="str">
            <v>1992-059-00 PL AMAZON/WILL. TN</v>
          </cell>
        </row>
        <row r="1321">
          <cell r="A1321" t="str">
            <v>00037720</v>
          </cell>
          <cell r="B1321" t="str">
            <v>1992-061-00 IL PEND ORIELLE WE</v>
          </cell>
        </row>
        <row r="1322">
          <cell r="A1322" t="str">
            <v>00002349</v>
          </cell>
          <cell r="B1322" t="str">
            <v>1992-061-00 PL WETLAND IDF&amp;G 1</v>
          </cell>
        </row>
        <row r="1323">
          <cell r="A1323" t="str">
            <v>00035667</v>
          </cell>
          <cell r="B1323" t="str">
            <v>1992-061-02 PL ALBENI FALLS WL</v>
          </cell>
        </row>
        <row r="1324">
          <cell r="A1324" t="str">
            <v>00107774</v>
          </cell>
          <cell r="B1324" t="str">
            <v>1992-061-03 PL PEND OREILLE WI</v>
          </cell>
        </row>
        <row r="1325">
          <cell r="A1325" t="str">
            <v>00104511</v>
          </cell>
          <cell r="B1325" t="str">
            <v>1992-061-05 PL ALBENI  FALLS</v>
          </cell>
        </row>
        <row r="1326">
          <cell r="A1326" t="str">
            <v>00104915</v>
          </cell>
          <cell r="B1326" t="str">
            <v>1992-061-06 PL ALBENI FALLS WL</v>
          </cell>
        </row>
        <row r="1327">
          <cell r="A1327" t="str">
            <v>00090710</v>
          </cell>
          <cell r="B1327" t="str">
            <v>1992-062-00 PL LOWER YAKIMA VA</v>
          </cell>
        </row>
        <row r="1328">
          <cell r="A1328" t="str">
            <v>00089198</v>
          </cell>
          <cell r="B1328" t="str">
            <v>1992-068-00 PL WILLAMETTE BASI</v>
          </cell>
        </row>
        <row r="1329">
          <cell r="A1329" t="str">
            <v>00097254</v>
          </cell>
          <cell r="B1329" t="str">
            <v>1992-073-00 CL AUTOMATED FISH</v>
          </cell>
        </row>
        <row r="1330">
          <cell r="A1330" t="str">
            <v>00038430</v>
          </cell>
          <cell r="B1330" t="str">
            <v>1993-029-00 IL SURVIVAL EST</v>
          </cell>
        </row>
        <row r="1331">
          <cell r="A1331" t="str">
            <v>00082720</v>
          </cell>
          <cell r="B1331" t="str">
            <v>1993-029-00 PL SURVIVAL EST-PA</v>
          </cell>
        </row>
        <row r="1332">
          <cell r="A1332" t="str">
            <v>00077356</v>
          </cell>
          <cell r="B1332" t="str">
            <v>1993-035-01 PL RED RIVER RESTO</v>
          </cell>
        </row>
        <row r="1333">
          <cell r="A1333" t="str">
            <v>00091406</v>
          </cell>
          <cell r="B1333" t="str">
            <v>1993-036-00 PL HAYSFORK GLORY</v>
          </cell>
        </row>
        <row r="1334">
          <cell r="A1334" t="str">
            <v>00033578</v>
          </cell>
          <cell r="B1334" t="str">
            <v>1993-037-01 PL TECH. ASSISTANC</v>
          </cell>
        </row>
        <row r="1335">
          <cell r="A1335" t="str">
            <v>00105277</v>
          </cell>
          <cell r="B1335" t="str">
            <v>1993-038-00 PL N FK. JOHN DAY</v>
          </cell>
        </row>
        <row r="1336">
          <cell r="A1336" t="str">
            <v>00038677</v>
          </cell>
          <cell r="B1336" t="str">
            <v>1993-040-00 IL FIFTEENMILE CRK</v>
          </cell>
        </row>
        <row r="1337">
          <cell r="A1337" t="str">
            <v>00083854</v>
          </cell>
          <cell r="B1337" t="str">
            <v>1993-040-00 PL FIFTEENMILE CRK</v>
          </cell>
        </row>
        <row r="1338">
          <cell r="A1338" t="str">
            <v>00099455</v>
          </cell>
          <cell r="B1338" t="str">
            <v>1993-040-01 PL 15 MILE CRK STE</v>
          </cell>
        </row>
        <row r="1339">
          <cell r="A1339" t="str">
            <v>00037945</v>
          </cell>
          <cell r="B1339" t="str">
            <v>1993-056-00 IL DEMONSTRATION</v>
          </cell>
        </row>
        <row r="1340">
          <cell r="A1340" t="str">
            <v>00082133</v>
          </cell>
          <cell r="B1340" t="str">
            <v>1993-056-00 PL DEMONSTR OF CAP</v>
          </cell>
        </row>
        <row r="1341">
          <cell r="A1341" t="str">
            <v>00082623</v>
          </cell>
          <cell r="B1341" t="str">
            <v>1993-056-00 PL DEMONSTR OF CAP</v>
          </cell>
        </row>
        <row r="1342">
          <cell r="A1342" t="str">
            <v>00032126</v>
          </cell>
          <cell r="B1342" t="str">
            <v>1993-060-00 PL SELECT AREA FIS</v>
          </cell>
        </row>
        <row r="1343">
          <cell r="A1343" t="str">
            <v>00032127</v>
          </cell>
          <cell r="B1343" t="str">
            <v>1993-060-01 PL SELECT AREA FIS</v>
          </cell>
        </row>
        <row r="1344">
          <cell r="A1344" t="str">
            <v>00032125</v>
          </cell>
          <cell r="B1344" t="str">
            <v>1993-060-02 PL SELECT AREA FIS</v>
          </cell>
        </row>
        <row r="1345">
          <cell r="A1345" t="str">
            <v>00083495</v>
          </cell>
          <cell r="B1345" t="str">
            <v>1993-062-00 PL UPPER SALMON</v>
          </cell>
        </row>
        <row r="1346">
          <cell r="A1346" t="str">
            <v>00036429</v>
          </cell>
          <cell r="B1346" t="str">
            <v>1993-062-00 PL UPPER SALMON R</v>
          </cell>
        </row>
        <row r="1347">
          <cell r="A1347" t="str">
            <v>00037106</v>
          </cell>
          <cell r="B1347" t="str">
            <v>1993-066-00 PL OREGON FISH SCR</v>
          </cell>
        </row>
        <row r="1348">
          <cell r="A1348" t="str">
            <v>00037859</v>
          </cell>
          <cell r="B1348" t="str">
            <v>1994-015-00 IL IDAHO FISH SCRE</v>
          </cell>
        </row>
        <row r="1349">
          <cell r="A1349" t="str">
            <v>00083477</v>
          </cell>
          <cell r="B1349" t="str">
            <v>1994-015-00 PL UPPER SALMON R</v>
          </cell>
        </row>
        <row r="1350">
          <cell r="A1350" t="str">
            <v>00036433</v>
          </cell>
          <cell r="B1350" t="str">
            <v>1994-017-00 PL UPPER SALMON</v>
          </cell>
        </row>
        <row r="1351">
          <cell r="A1351" t="str">
            <v>00036532</v>
          </cell>
          <cell r="B1351" t="str">
            <v>1994-018-00 PL PATAHA WATER</v>
          </cell>
        </row>
        <row r="1352">
          <cell r="A1352" t="str">
            <v>00082156</v>
          </cell>
          <cell r="B1352" t="str">
            <v>1994-018-05 PL IMPLEMENT ASOTI</v>
          </cell>
        </row>
        <row r="1353">
          <cell r="A1353" t="str">
            <v>00038598</v>
          </cell>
          <cell r="B1353" t="str">
            <v>1994-018-06 PL TUCANNON MODEL</v>
          </cell>
        </row>
        <row r="1354">
          <cell r="A1354" t="str">
            <v>00037839</v>
          </cell>
          <cell r="B1354" t="str">
            <v>1994-026-00 IL PACIFIC LAMPREY</v>
          </cell>
        </row>
        <row r="1355">
          <cell r="A1355" t="str">
            <v>00075882</v>
          </cell>
          <cell r="B1355" t="str">
            <v>1994-026-00 PL LAMPREY RESEARC</v>
          </cell>
        </row>
        <row r="1356">
          <cell r="A1356" t="str">
            <v>00037709</v>
          </cell>
          <cell r="B1356" t="str">
            <v>1994-033-00 IL FISH PASSAGE CE</v>
          </cell>
        </row>
        <row r="1357">
          <cell r="A1357" t="str">
            <v>00037194</v>
          </cell>
          <cell r="B1357" t="str">
            <v>1994-033-00 PL FISH PASSAGE CE</v>
          </cell>
        </row>
        <row r="1358">
          <cell r="A1358" t="str">
            <v>00037843</v>
          </cell>
          <cell r="B1358" t="str">
            <v>1994-034-00 IL UPPER CLEARWATE</v>
          </cell>
        </row>
        <row r="1359">
          <cell r="A1359" t="str">
            <v>00036166</v>
          </cell>
          <cell r="B1359" t="str">
            <v>1994-034-00 PL ASSESSING SUMME</v>
          </cell>
        </row>
        <row r="1360">
          <cell r="A1360" t="str">
            <v>00036792</v>
          </cell>
          <cell r="B1360" t="str">
            <v>1994-039-00 PL WALLOWA COUNTY</v>
          </cell>
        </row>
        <row r="1361">
          <cell r="A1361" t="str">
            <v>00087671</v>
          </cell>
          <cell r="B1361" t="str">
            <v>1994-042-00 PL TROUT CREEK OP</v>
          </cell>
        </row>
        <row r="1362">
          <cell r="A1362" t="str">
            <v>00037797</v>
          </cell>
          <cell r="B1362" t="str">
            <v>1994-043-00 IL LAKE ROOSEVELT</v>
          </cell>
        </row>
        <row r="1363">
          <cell r="A1363" t="str">
            <v>00033566</v>
          </cell>
          <cell r="B1363" t="str">
            <v>1994-043-00 PL SPOKANE DATA CO</v>
          </cell>
        </row>
        <row r="1364">
          <cell r="A1364" t="str">
            <v>00103065</v>
          </cell>
          <cell r="B1364" t="str">
            <v>1994-044-00 PL SAGEBRUSH FLAT</v>
          </cell>
        </row>
        <row r="1365">
          <cell r="A1365" t="str">
            <v>00033552</v>
          </cell>
          <cell r="B1365" t="str">
            <v>1994-047-00 PL PEND OREILLE</v>
          </cell>
        </row>
        <row r="1366">
          <cell r="A1366" t="str">
            <v>00037798</v>
          </cell>
          <cell r="B1366" t="str">
            <v>1994-049-00 IL KOOTENAI RIVER</v>
          </cell>
        </row>
        <row r="1367">
          <cell r="A1367" t="str">
            <v>00033557</v>
          </cell>
          <cell r="B1367" t="str">
            <v>1994-049-00 PL CHARLIE KOOTENA</v>
          </cell>
        </row>
        <row r="1368">
          <cell r="A1368" t="str">
            <v>00089479</v>
          </cell>
          <cell r="B1368" t="str">
            <v>1994-050-00 PL SALMON RIVER O</v>
          </cell>
        </row>
        <row r="1369">
          <cell r="A1369" t="str">
            <v>00038441</v>
          </cell>
          <cell r="B1369" t="str">
            <v>1994-053-00 IL BULL TROUT ASSE</v>
          </cell>
        </row>
        <row r="1370">
          <cell r="A1370" t="str">
            <v>00032336</v>
          </cell>
          <cell r="B1370" t="str">
            <v>1994-053-00 PL WILLAMETTE BULL</v>
          </cell>
        </row>
        <row r="1371">
          <cell r="A1371" t="str">
            <v>00038442</v>
          </cell>
          <cell r="B1371" t="str">
            <v>1994-054-00 IL BULL TROUT LIFE</v>
          </cell>
        </row>
        <row r="1372">
          <cell r="A1372" t="str">
            <v>00032340</v>
          </cell>
          <cell r="B1372" t="str">
            <v>1994-054-00 PL NEOR BULL TROUT</v>
          </cell>
        </row>
        <row r="1373">
          <cell r="A1373" t="str">
            <v>00082763</v>
          </cell>
          <cell r="B1373" t="str">
            <v>1994-059-00 PL YAKIMA BASIN EN</v>
          </cell>
        </row>
        <row r="1374">
          <cell r="A1374" t="str">
            <v>00037806</v>
          </cell>
          <cell r="B1374" t="str">
            <v>1994-069-00 IL SPAWNING HABITA</v>
          </cell>
        </row>
        <row r="1375">
          <cell r="A1375" t="str">
            <v>00032350</v>
          </cell>
          <cell r="B1375" t="str">
            <v>1994-069-00 PL SPAWNING HABITA</v>
          </cell>
        </row>
        <row r="1376">
          <cell r="A1376" t="str">
            <v>00084762</v>
          </cell>
          <cell r="B1376" t="str">
            <v>1995 027-00 PL LAKE ROOS. STU</v>
          </cell>
        </row>
        <row r="1377">
          <cell r="A1377" t="str">
            <v>00038445</v>
          </cell>
          <cell r="B1377" t="str">
            <v>1995-001-00 IL KALISPEL TRIBE</v>
          </cell>
        </row>
        <row r="1378">
          <cell r="A1378" t="str">
            <v>00081409</v>
          </cell>
          <cell r="B1378" t="str">
            <v>1995-001-00 PL HABITAT IMPROVE</v>
          </cell>
        </row>
        <row r="1379">
          <cell r="A1379" t="str">
            <v>00032346</v>
          </cell>
          <cell r="B1379" t="str">
            <v>1995-001-02 PL BASS O/M - KAL</v>
          </cell>
        </row>
        <row r="1380">
          <cell r="A1380" t="str">
            <v>00105185</v>
          </cell>
          <cell r="B1380" t="str">
            <v>1995-001-02 PL KALISPEL HATCHE</v>
          </cell>
        </row>
        <row r="1381">
          <cell r="A1381" t="str">
            <v>00107252</v>
          </cell>
          <cell r="B1381" t="str">
            <v>1995-001-02 PL KALISPEL POND M</v>
          </cell>
        </row>
        <row r="1382">
          <cell r="A1382" t="str">
            <v>00108328</v>
          </cell>
          <cell r="B1382" t="str">
            <v>1995-001-02PL KALISPEL BASS HA</v>
          </cell>
        </row>
        <row r="1383">
          <cell r="A1383" t="str">
            <v>00091135</v>
          </cell>
          <cell r="B1383" t="str">
            <v>1995-001-03 PL KALISPEL RESIDE</v>
          </cell>
        </row>
        <row r="1384">
          <cell r="A1384" t="str">
            <v>00038446</v>
          </cell>
          <cell r="B1384" t="str">
            <v>1995-004-00 IL LIBBY RESERVOIR</v>
          </cell>
        </row>
        <row r="1385">
          <cell r="A1385" t="str">
            <v>00091136</v>
          </cell>
          <cell r="B1385" t="str">
            <v>1995-004-00 PL LIBBY MITIGATIO</v>
          </cell>
        </row>
        <row r="1386">
          <cell r="A1386" t="str">
            <v>00038447</v>
          </cell>
          <cell r="B1386" t="str">
            <v>1995-006-00 IL COMPREHENSIVE</v>
          </cell>
        </row>
        <row r="1387">
          <cell r="A1387" t="str">
            <v>00091147</v>
          </cell>
          <cell r="B1387" t="str">
            <v>1995-006-00 PL COMPREHENSIVE</v>
          </cell>
        </row>
        <row r="1388">
          <cell r="A1388" t="str">
            <v>00037769</v>
          </cell>
          <cell r="B1388" t="str">
            <v>1995-007-00 IL HOOD RIVER PROD</v>
          </cell>
        </row>
        <row r="1389">
          <cell r="A1389" t="str">
            <v>00033554</v>
          </cell>
          <cell r="B1389" t="str">
            <v>1995-009-00 PL LAKE ROOSEVELT</v>
          </cell>
        </row>
        <row r="1390">
          <cell r="A1390" t="str">
            <v>00078604</v>
          </cell>
          <cell r="B1390" t="str">
            <v>1995-011-00 PL CF. JO. KOK. EN</v>
          </cell>
        </row>
        <row r="1391">
          <cell r="A1391" t="str">
            <v>00078654</v>
          </cell>
          <cell r="B1391" t="str">
            <v>1995-011-01 PL HYDROACOUSTIC A</v>
          </cell>
        </row>
        <row r="1392">
          <cell r="A1392" t="str">
            <v>00081721</v>
          </cell>
          <cell r="B1392" t="str">
            <v>1995-011-02 PL 3-D ACOUSTIC TE</v>
          </cell>
        </row>
        <row r="1393">
          <cell r="A1393" t="str">
            <v>00089872</v>
          </cell>
          <cell r="B1393" t="str">
            <v>1995-013-00 PL NEZ PERCE TROUT</v>
          </cell>
        </row>
        <row r="1394">
          <cell r="A1394" t="str">
            <v>00091206</v>
          </cell>
          <cell r="B1394" t="str">
            <v>1995-025-00 PL FLATHEAD IFIM</v>
          </cell>
        </row>
        <row r="1395">
          <cell r="A1395" t="str">
            <v>00038448</v>
          </cell>
          <cell r="B1395" t="str">
            <v>1995-028-00 IL ASSESS OF FIS</v>
          </cell>
        </row>
        <row r="1396">
          <cell r="A1396" t="str">
            <v>00032440</v>
          </cell>
          <cell r="B1396" t="str">
            <v>1995-028-00 PL MOSES LAKE FISH</v>
          </cell>
        </row>
        <row r="1397">
          <cell r="A1397" t="str">
            <v>00091127</v>
          </cell>
          <cell r="B1397" t="str">
            <v>1995-028-00 PL MOSES LK FISH</v>
          </cell>
        </row>
        <row r="1398">
          <cell r="A1398" t="str">
            <v>00095133</v>
          </cell>
          <cell r="B1398" t="str">
            <v>1995-033-00 PL O&amp;M YAKIMA PH I</v>
          </cell>
        </row>
        <row r="1399">
          <cell r="A1399" t="str">
            <v>00079104</v>
          </cell>
          <cell r="B1399" t="str">
            <v>1995-033-00 PL YAKIMA PH2 FISH</v>
          </cell>
        </row>
        <row r="1400">
          <cell r="A1400" t="str">
            <v>00002964</v>
          </cell>
          <cell r="B1400" t="str">
            <v>1995-056-00 PL LADD MARSH</v>
          </cell>
        </row>
        <row r="1401">
          <cell r="A1401" t="str">
            <v>00038462</v>
          </cell>
          <cell r="B1401" t="str">
            <v>1995-057-00 PL PALISADES WL</v>
          </cell>
        </row>
        <row r="1402">
          <cell r="A1402" t="str">
            <v>00078602</v>
          </cell>
          <cell r="B1402" t="str">
            <v>1995-057-00 PL S.IDAHO WILDLIF</v>
          </cell>
        </row>
        <row r="1403">
          <cell r="A1403" t="str">
            <v>00036435</v>
          </cell>
          <cell r="B1403" t="str">
            <v>1995-057-00 PL SOUTHERN ID WL</v>
          </cell>
        </row>
        <row r="1404">
          <cell r="A1404" t="str">
            <v>00090821</v>
          </cell>
          <cell r="B1404" t="str">
            <v>1995-060-01 PL UMATILLA R RIPA</v>
          </cell>
        </row>
        <row r="1405">
          <cell r="A1405" t="str">
            <v>00104873</v>
          </cell>
          <cell r="B1405" t="str">
            <v>1995-063-01 PL YKFP/M&amp;E CHANDL</v>
          </cell>
        </row>
        <row r="1406">
          <cell r="A1406" t="str">
            <v>00037557</v>
          </cell>
          <cell r="B1406" t="str">
            <v>1995-063-25 PL YAKIMA/KLICKITA</v>
          </cell>
        </row>
        <row r="1407">
          <cell r="A1407" t="str">
            <v>00088494</v>
          </cell>
          <cell r="B1407" t="str">
            <v>1995-063-35 PL YKFP/KLICKITAT</v>
          </cell>
        </row>
        <row r="1408">
          <cell r="A1408" t="str">
            <v>00105876</v>
          </cell>
          <cell r="B1408" t="str">
            <v>1995-064-24 PL WDFW/YKFP SUPPL</v>
          </cell>
        </row>
        <row r="1409">
          <cell r="A1409" t="str">
            <v>00078908</v>
          </cell>
          <cell r="B1409" t="str">
            <v>1995-064-24 YKFP/WDFW SUPPLEME</v>
          </cell>
        </row>
        <row r="1410">
          <cell r="A1410" t="str">
            <v>00037844</v>
          </cell>
          <cell r="B1410" t="str">
            <v>1995-064-25 IL POLICY/TECHNICA</v>
          </cell>
        </row>
        <row r="1411">
          <cell r="A1411" t="str">
            <v>00037563</v>
          </cell>
          <cell r="B1411" t="str">
            <v>1995-064-25 PL YKFP/WDFW POLIC</v>
          </cell>
        </row>
        <row r="1412">
          <cell r="A1412" t="str">
            <v>00090687</v>
          </cell>
          <cell r="B1412" t="str">
            <v>1995-067-00 PL COLVILLE TRIBE</v>
          </cell>
        </row>
        <row r="1413">
          <cell r="A1413" t="str">
            <v>00084384</v>
          </cell>
          <cell r="B1413" t="str">
            <v>1995-068-00 PL KLICKITAT PASS</v>
          </cell>
        </row>
        <row r="1414">
          <cell r="A1414" t="str">
            <v>00032367</v>
          </cell>
          <cell r="B1414" t="str">
            <v>199500400 PL LIBBY MITIGATION</v>
          </cell>
        </row>
        <row r="1415">
          <cell r="A1415" t="str">
            <v>00032526</v>
          </cell>
          <cell r="B1415" t="str">
            <v>1996-005-00 PL CBFWF ISAB</v>
          </cell>
        </row>
        <row r="1416">
          <cell r="A1416" t="str">
            <v>00036632</v>
          </cell>
          <cell r="B1416" t="str">
            <v>1996-007-00 PL UPPER SALMON</v>
          </cell>
        </row>
        <row r="1417">
          <cell r="A1417" t="str">
            <v>00091150</v>
          </cell>
          <cell r="B1417" t="str">
            <v>1996-007-00 PL UPPER SALMON RI</v>
          </cell>
        </row>
        <row r="1418">
          <cell r="A1418" t="str">
            <v>00075286</v>
          </cell>
          <cell r="B1418" t="str">
            <v>1996-011-00 PL HOFER DAM LADDE</v>
          </cell>
        </row>
        <row r="1419">
          <cell r="A1419" t="str">
            <v>00081884</v>
          </cell>
          <cell r="B1419" t="str">
            <v>1996-011-00 PL JUV SCREENS TRA</v>
          </cell>
        </row>
        <row r="1420">
          <cell r="A1420" t="str">
            <v>00075063</v>
          </cell>
          <cell r="B1420" t="str">
            <v>1996-011-00 PL MILL CREEK FISH</v>
          </cell>
        </row>
        <row r="1421">
          <cell r="A1421" t="str">
            <v>00076220</v>
          </cell>
          <cell r="B1421" t="str">
            <v>1996-011-00 PL WALLA WALLA PAS</v>
          </cell>
        </row>
        <row r="1422">
          <cell r="A1422" t="str">
            <v>00081747</v>
          </cell>
          <cell r="B1422" t="str">
            <v>1996-011-00 PL WALLA WALLA PAS</v>
          </cell>
        </row>
        <row r="1423">
          <cell r="A1423" t="str">
            <v>00036925</v>
          </cell>
          <cell r="B1423" t="str">
            <v>1996-011-00 PL WALLA WALLA SCR</v>
          </cell>
        </row>
        <row r="1424">
          <cell r="A1424" t="str">
            <v>00076049</v>
          </cell>
          <cell r="B1424" t="str">
            <v>1996-011-00 PL WALLA WALLA SCR</v>
          </cell>
        </row>
        <row r="1425">
          <cell r="A1425" t="str">
            <v>00090699</v>
          </cell>
          <cell r="B1425" t="str">
            <v>1996-011-01 PL LITTLE WW SCREE</v>
          </cell>
        </row>
        <row r="1426">
          <cell r="A1426" t="str">
            <v>00037107</v>
          </cell>
          <cell r="B1426" t="str">
            <v>1996-011-02 PL GARDEN CITY/LOW</v>
          </cell>
        </row>
        <row r="1427">
          <cell r="A1427" t="str">
            <v>00112280</v>
          </cell>
          <cell r="B1427" t="str">
            <v>1996-017-00 PL BioAnalyst Supp</v>
          </cell>
        </row>
        <row r="1428">
          <cell r="A1428" t="str">
            <v>00032381</v>
          </cell>
          <cell r="B1428" t="str">
            <v>1996-019-00 SECOND TIER DATA</v>
          </cell>
        </row>
        <row r="1429">
          <cell r="A1429" t="str">
            <v>00038315</v>
          </cell>
          <cell r="B1429" t="str">
            <v>1996-020-00 IL PIT TAGGING SPR</v>
          </cell>
        </row>
        <row r="1430">
          <cell r="A1430" t="str">
            <v>00037711</v>
          </cell>
          <cell r="B1430" t="str">
            <v>1996-020-00 PL  PIT TAGGING SP</v>
          </cell>
        </row>
        <row r="1431">
          <cell r="A1431" t="str">
            <v>00039101</v>
          </cell>
          <cell r="B1431" t="str">
            <v>1996-020-00 PL  PIT TAGGING SP</v>
          </cell>
        </row>
        <row r="1432">
          <cell r="A1432" t="str">
            <v>00078192</v>
          </cell>
          <cell r="B1432" t="str">
            <v>1996-021-00 PL GAS BUBBLE DISE</v>
          </cell>
        </row>
        <row r="1433">
          <cell r="A1433" t="str">
            <v>00100432</v>
          </cell>
          <cell r="B1433" t="str">
            <v>1996-032-01 PL K-BASIN FALL CH</v>
          </cell>
        </row>
        <row r="1434">
          <cell r="A1434" t="str">
            <v>00100433</v>
          </cell>
          <cell r="B1434" t="str">
            <v>1996-032-02 PL K-BASIN MASTER</v>
          </cell>
        </row>
        <row r="1435">
          <cell r="A1435" t="str">
            <v>00078261</v>
          </cell>
          <cell r="B1435" t="str">
            <v>1996-033-27 YAKIMA COHO/FALL C</v>
          </cell>
        </row>
        <row r="1436">
          <cell r="A1436" t="str">
            <v>00078917</v>
          </cell>
          <cell r="B1436" t="str">
            <v>1996-033-30  YKFP-LOWER YAKIMA</v>
          </cell>
        </row>
        <row r="1437">
          <cell r="A1437" t="str">
            <v>00090338</v>
          </cell>
          <cell r="B1437" t="str">
            <v>1996-033-30 PL - YKFP O&amp;M YAKI</v>
          </cell>
        </row>
        <row r="1438">
          <cell r="A1438" t="str">
            <v>00074699</v>
          </cell>
          <cell r="B1438" t="str">
            <v>1996-034-01 PL METHOW VLY IR</v>
          </cell>
        </row>
        <row r="1439">
          <cell r="A1439" t="str">
            <v>00075137</v>
          </cell>
          <cell r="B1439" t="str">
            <v>1996-034-01 PL METHOW VLY IR</v>
          </cell>
        </row>
        <row r="1440">
          <cell r="A1440" t="str">
            <v>00090769</v>
          </cell>
          <cell r="B1440" t="str">
            <v>1996-035-00 PL YAKIMA WS RESTO</v>
          </cell>
        </row>
        <row r="1441">
          <cell r="A1441" t="str">
            <v>00095128</v>
          </cell>
          <cell r="B1441" t="str">
            <v>1996-035-01 PL SATUS CREEK WAT</v>
          </cell>
        </row>
        <row r="1442">
          <cell r="A1442" t="str">
            <v>00036693</v>
          </cell>
          <cell r="B1442" t="str">
            <v>1996-040-00 PL MID COLUMBIA CO</v>
          </cell>
        </row>
        <row r="1443">
          <cell r="A1443" t="str">
            <v>00098651</v>
          </cell>
          <cell r="B1443" t="str">
            <v>1996-040-05 PL BIRDHOUSES FOR</v>
          </cell>
        </row>
        <row r="1444">
          <cell r="A1444" t="str">
            <v>00038360</v>
          </cell>
          <cell r="B1444" t="str">
            <v>1996-042-00 IL OKANOGAN FOCUS</v>
          </cell>
        </row>
        <row r="1445">
          <cell r="A1445" t="str">
            <v>00089606</v>
          </cell>
          <cell r="B1445" t="str">
            <v>1996-042-00 PL OKANOGAN RIVER</v>
          </cell>
        </row>
        <row r="1446">
          <cell r="A1446" t="str">
            <v>00002496</v>
          </cell>
          <cell r="B1446" t="str">
            <v>1996-042-00 PL RESTORE ANAD FI</v>
          </cell>
        </row>
        <row r="1447">
          <cell r="A1447" t="str">
            <v>00079097</v>
          </cell>
          <cell r="B1447" t="str">
            <v>1996-042-00 PL RESTORE/ENHANC</v>
          </cell>
        </row>
        <row r="1448">
          <cell r="A1448" t="str">
            <v>00038326</v>
          </cell>
          <cell r="B1448" t="str">
            <v>1996-043-00 IL JOHNSON CREEK</v>
          </cell>
        </row>
        <row r="1449">
          <cell r="A1449" t="str">
            <v>00037776</v>
          </cell>
          <cell r="B1449" t="str">
            <v>1996-043-00 PL JCAPE</v>
          </cell>
        </row>
        <row r="1450">
          <cell r="A1450" t="str">
            <v>00089006</v>
          </cell>
          <cell r="B1450" t="str">
            <v>1996-043-02 PL JCAPE - PREL DE</v>
          </cell>
        </row>
        <row r="1451">
          <cell r="A1451" t="str">
            <v>00111884</v>
          </cell>
          <cell r="B1451" t="str">
            <v>1996-043-03 PL JOHNSON CREEK W</v>
          </cell>
        </row>
        <row r="1452">
          <cell r="A1452" t="str">
            <v>00033550</v>
          </cell>
          <cell r="B1452" t="str">
            <v>1996-046-01 PL  UMATILLA JED</v>
          </cell>
        </row>
        <row r="1453">
          <cell r="A1453" t="str">
            <v>00082618</v>
          </cell>
          <cell r="B1453" t="str">
            <v>1996-053-00 PL NORTH FORK JOHN</v>
          </cell>
        </row>
        <row r="1454">
          <cell r="A1454" t="str">
            <v>00037941</v>
          </cell>
          <cell r="B1454" t="str">
            <v>1996-067-00 IL MANCHESTER SPRI</v>
          </cell>
        </row>
        <row r="1455">
          <cell r="A1455" t="str">
            <v>00037340</v>
          </cell>
          <cell r="B1455" t="str">
            <v>1996-067-00 PL MANCHESTER SPRI</v>
          </cell>
        </row>
        <row r="1456">
          <cell r="A1456" t="str">
            <v>00036533</v>
          </cell>
          <cell r="B1456" t="str">
            <v>1996-070-00 PL MCKENZIE FOCUS</v>
          </cell>
        </row>
        <row r="1457">
          <cell r="A1457" t="str">
            <v>00075450</v>
          </cell>
          <cell r="B1457" t="str">
            <v>1996-077-02 PL LOLO CREEK</v>
          </cell>
        </row>
        <row r="1458">
          <cell r="A1458" t="str">
            <v>00075439</v>
          </cell>
          <cell r="B1458" t="str">
            <v>1996-077-03 PL SQUAW AND PAPO</v>
          </cell>
        </row>
        <row r="1459">
          <cell r="A1459" t="str">
            <v>00075466</v>
          </cell>
          <cell r="B1459" t="str">
            <v>1996-077-05 PL MCCOMAS MEADOWS</v>
          </cell>
        </row>
        <row r="1460">
          <cell r="A1460" t="str">
            <v>00038089</v>
          </cell>
          <cell r="B1460" t="str">
            <v>1996-080-00 NE OREGON WILDLIFE</v>
          </cell>
        </row>
        <row r="1461">
          <cell r="A1461" t="str">
            <v>00089843</v>
          </cell>
          <cell r="B1461" t="str">
            <v>1996-083-00  PL MCCOY MEADOWS</v>
          </cell>
        </row>
        <row r="1462">
          <cell r="A1462" t="str">
            <v>00090628</v>
          </cell>
          <cell r="B1462" t="str">
            <v>1996-083-00 PL CTUIR-GRANDE RO</v>
          </cell>
        </row>
        <row r="1463">
          <cell r="A1463" t="str">
            <v>00033541</v>
          </cell>
          <cell r="B1463" t="str">
            <v>1996-083-01 MCCOY MEADOWS WATE</v>
          </cell>
        </row>
        <row r="1464">
          <cell r="A1464" t="str">
            <v>00090248</v>
          </cell>
          <cell r="B1464" t="str">
            <v>1996-086-00 PL CLEARWATER FOCU</v>
          </cell>
        </row>
        <row r="1465">
          <cell r="A1465" t="str">
            <v>00032525</v>
          </cell>
          <cell r="B1465" t="str">
            <v>1996-087-01 PL CSKT FLATHEAD W</v>
          </cell>
        </row>
        <row r="1466">
          <cell r="A1466" t="str">
            <v>00091137</v>
          </cell>
          <cell r="B1466" t="str">
            <v>1996-087-01 PL FOCUS WATERSHED</v>
          </cell>
        </row>
        <row r="1467">
          <cell r="A1467" t="str">
            <v>00091142</v>
          </cell>
          <cell r="B1467" t="str">
            <v>1996-087-02 PL FOCUS WATERSHED</v>
          </cell>
        </row>
        <row r="1468">
          <cell r="A1468" t="str">
            <v>00035910</v>
          </cell>
          <cell r="B1468" t="str">
            <v>1996-087-02 PL MONTANA FOCUS W</v>
          </cell>
        </row>
        <row r="1469">
          <cell r="A1469" t="str">
            <v>00090688</v>
          </cell>
          <cell r="B1469" t="str">
            <v>1996-094-00 PL WDFW HABITAT UN</v>
          </cell>
        </row>
        <row r="1470">
          <cell r="A1470" t="str">
            <v>00075538</v>
          </cell>
          <cell r="B1470" t="str">
            <v>1996-094-01 PL SCOTCH CREEK WL</v>
          </cell>
        </row>
        <row r="1471">
          <cell r="A1471" t="str">
            <v>00094622</v>
          </cell>
          <cell r="B1471" t="str">
            <v>1996-102-60 PL F&amp;W LAND ACQUIS</v>
          </cell>
        </row>
        <row r="1472">
          <cell r="A1472" t="str">
            <v>00037777</v>
          </cell>
          <cell r="B1472" t="str">
            <v>1996-46-00 IL WALLA WALLA RIVE</v>
          </cell>
        </row>
        <row r="1473">
          <cell r="A1473" t="str">
            <v>00037108</v>
          </cell>
          <cell r="B1473" t="str">
            <v>199601105 PL MILTON DITCH CONS</v>
          </cell>
        </row>
        <row r="1474">
          <cell r="A1474" t="str">
            <v>00037109</v>
          </cell>
          <cell r="B1474" t="str">
            <v>199601201 PL NURSERY BRIDGE</v>
          </cell>
        </row>
        <row r="1475">
          <cell r="A1475" t="str">
            <v>00032000</v>
          </cell>
          <cell r="B1475" t="str">
            <v>1997-001-00 PL IDAHO CHINOOK S</v>
          </cell>
        </row>
        <row r="1476">
          <cell r="A1476" t="str">
            <v>00038439</v>
          </cell>
          <cell r="B1476" t="str">
            <v>1997-004-00 IL RESIDENT FISH</v>
          </cell>
        </row>
        <row r="1477">
          <cell r="A1477" t="str">
            <v>00081406</v>
          </cell>
          <cell r="B1477" t="str">
            <v>1997-004-00 PL UPPER COL RESID</v>
          </cell>
        </row>
        <row r="1478">
          <cell r="A1478" t="str">
            <v>00032359</v>
          </cell>
          <cell r="B1478" t="str">
            <v>1997-004-00 PL UPPER COL STOCK</v>
          </cell>
        </row>
        <row r="1479">
          <cell r="A1479" t="str">
            <v>00038869</v>
          </cell>
          <cell r="B1479" t="str">
            <v>1997-009-00 PL NEZ PERCE LOWER</v>
          </cell>
        </row>
        <row r="1480">
          <cell r="A1480" t="str">
            <v>00078791</v>
          </cell>
          <cell r="B1480" t="str">
            <v>1997-011-00 PL SHOSHONE-PAIUTE</v>
          </cell>
        </row>
        <row r="1481">
          <cell r="A1481" t="str">
            <v>00105877</v>
          </cell>
          <cell r="B1481" t="str">
            <v>1997-013-00 PL CLE ELUM (YAKIM</v>
          </cell>
        </row>
        <row r="1482">
          <cell r="A1482" t="str">
            <v>00078915</v>
          </cell>
          <cell r="B1482" t="str">
            <v>1997-013-00 UPPER YAKIMA (CLE</v>
          </cell>
        </row>
        <row r="1483">
          <cell r="A1483" t="str">
            <v>00078933</v>
          </cell>
          <cell r="B1483" t="str">
            <v>1997-013-00 UPPER YAKIMA (CLE</v>
          </cell>
        </row>
        <row r="1484">
          <cell r="A1484" t="str">
            <v>00037561</v>
          </cell>
          <cell r="B1484" t="str">
            <v>1997-013-25 PL YKFP OPERATIONS</v>
          </cell>
        </row>
        <row r="1485">
          <cell r="A1485" t="str">
            <v>00041464</v>
          </cell>
          <cell r="B1485" t="str">
            <v>1997-014-00 PL FALL CHINOOK ST</v>
          </cell>
        </row>
        <row r="1486">
          <cell r="A1486" t="str">
            <v>00038333</v>
          </cell>
          <cell r="B1486" t="str">
            <v>1997-015-00 IL NEZ PERCE MSTR</v>
          </cell>
        </row>
        <row r="1487">
          <cell r="A1487" t="str">
            <v>00037537</v>
          </cell>
          <cell r="B1487" t="str">
            <v>1997-015-01 PL IMNAHA RIVER SM</v>
          </cell>
        </row>
        <row r="1488">
          <cell r="A1488" t="str">
            <v>00037796</v>
          </cell>
          <cell r="B1488" t="str">
            <v>1997-019-00 IL STINKING WATER</v>
          </cell>
        </row>
        <row r="1489">
          <cell r="A1489" t="str">
            <v>00033562</v>
          </cell>
          <cell r="B1489" t="str">
            <v>1997-019-00 PL STINK.WATER B.P</v>
          </cell>
        </row>
        <row r="1490">
          <cell r="A1490" t="str">
            <v>00038438</v>
          </cell>
          <cell r="B1490" t="str">
            <v>1997-019-01 IL N FORK MALHEUR</v>
          </cell>
        </row>
        <row r="1491">
          <cell r="A1491" t="str">
            <v>00033564</v>
          </cell>
          <cell r="B1491" t="str">
            <v>1997-019-01 PL NFK MALH. BP</v>
          </cell>
        </row>
        <row r="1492">
          <cell r="A1492" t="str">
            <v>00036665</v>
          </cell>
          <cell r="B1492" t="str">
            <v>1997-023-00 PL INDEPENDENT SCI</v>
          </cell>
        </row>
        <row r="1493">
          <cell r="A1493" t="str">
            <v>00038695</v>
          </cell>
          <cell r="B1493" t="str">
            <v>1997-024-00 IL AVIAN PREDATION</v>
          </cell>
        </row>
        <row r="1494">
          <cell r="A1494" t="str">
            <v>00002575</v>
          </cell>
          <cell r="B1494" t="str">
            <v>1997-024-00 PL AVIAN PREDATION</v>
          </cell>
        </row>
        <row r="1495">
          <cell r="A1495" t="str">
            <v>00074637</v>
          </cell>
          <cell r="B1495" t="str">
            <v>1997-024-00 PL AVIAN PREDATION</v>
          </cell>
        </row>
        <row r="1496">
          <cell r="A1496" t="str">
            <v>00074672</v>
          </cell>
          <cell r="B1496" t="str">
            <v>1997-024-00 PL AVIAN PREDATION</v>
          </cell>
        </row>
        <row r="1497">
          <cell r="A1497" t="str">
            <v>00083157</v>
          </cell>
          <cell r="B1497" t="str">
            <v>1997-024-00 PL AVIAN PREDATION</v>
          </cell>
        </row>
        <row r="1498">
          <cell r="A1498" t="str">
            <v>00102413</v>
          </cell>
          <cell r="B1498" t="str">
            <v>1997-024-00 PL AVIAN PREDATION</v>
          </cell>
        </row>
        <row r="1499">
          <cell r="A1499" t="str">
            <v>00098652</v>
          </cell>
          <cell r="B1499" t="str">
            <v>1997-024-01 PL VIRGINIA CREEK</v>
          </cell>
        </row>
        <row r="1500">
          <cell r="A1500" t="str">
            <v>00098654</v>
          </cell>
          <cell r="B1500" t="str">
            <v>1997-024-01 PL VIRGINIA CREEK</v>
          </cell>
        </row>
        <row r="1501">
          <cell r="A1501" t="str">
            <v>00098655</v>
          </cell>
          <cell r="B1501" t="str">
            <v>1997-024-01 PL VIRGINIA CREEK</v>
          </cell>
        </row>
        <row r="1502">
          <cell r="A1502" t="str">
            <v>00038606</v>
          </cell>
          <cell r="B1502" t="str">
            <v>1997-025-00 PL WALLOWA COUNTY</v>
          </cell>
        </row>
        <row r="1503">
          <cell r="A1503" t="str">
            <v>00038693</v>
          </cell>
          <cell r="B1503" t="str">
            <v>1997-030-00 IL LISTED STOCK AD</v>
          </cell>
        </row>
        <row r="1504">
          <cell r="A1504" t="str">
            <v>00035771</v>
          </cell>
          <cell r="B1504" t="str">
            <v>1997-030-00 PL LISTED CHINOOK</v>
          </cell>
        </row>
        <row r="1505">
          <cell r="A1505" t="str">
            <v>00035798</v>
          </cell>
          <cell r="B1505" t="str">
            <v>1997-034-00 PL MONITORING FINE</v>
          </cell>
        </row>
        <row r="1506">
          <cell r="A1506" t="str">
            <v>00038323</v>
          </cell>
          <cell r="B1506" t="str">
            <v>1997-038-00 IL LISTED STOCK CH</v>
          </cell>
        </row>
        <row r="1507">
          <cell r="A1507" t="str">
            <v>00088997</v>
          </cell>
          <cell r="B1507" t="str">
            <v>1997-038-00 PL GAMETE PRESER</v>
          </cell>
        </row>
        <row r="1508">
          <cell r="A1508" t="str">
            <v>00037722</v>
          </cell>
          <cell r="B1508" t="str">
            <v>1997-038-00 PL SALMONID GAMETE</v>
          </cell>
        </row>
        <row r="1509">
          <cell r="A1509" t="str">
            <v>00089933</v>
          </cell>
          <cell r="B1509" t="str">
            <v>1997-044-00 PL HYDRO REGULATOR</v>
          </cell>
        </row>
        <row r="1510">
          <cell r="A1510" t="str">
            <v>00089947</v>
          </cell>
          <cell r="B1510" t="str">
            <v>1997-047-00 PL YAKIMA RBASIN S</v>
          </cell>
        </row>
        <row r="1511">
          <cell r="A1511" t="str">
            <v>00081684</v>
          </cell>
          <cell r="B1511" t="str">
            <v>1997-049-00 PL TEANAWAY R INST</v>
          </cell>
        </row>
        <row r="1512">
          <cell r="A1512" t="str">
            <v>00090596</v>
          </cell>
          <cell r="B1512" t="str">
            <v>1997-049-00 PL TEANAWAY RIVER</v>
          </cell>
        </row>
        <row r="1513">
          <cell r="A1513" t="str">
            <v>00090602</v>
          </cell>
          <cell r="B1513" t="str">
            <v>1997-049-01 PL TEANAWAY R INST</v>
          </cell>
        </row>
        <row r="1514">
          <cell r="A1514" t="str">
            <v>00090609</v>
          </cell>
          <cell r="B1514" t="str">
            <v>1997-049-02 PL TEANAWAY R INST</v>
          </cell>
        </row>
        <row r="1515">
          <cell r="A1515" t="str">
            <v>00090616</v>
          </cell>
          <cell r="B1515" t="str">
            <v>1997-049-02 PL TEANAWAY R INST</v>
          </cell>
        </row>
        <row r="1516">
          <cell r="A1516" t="str">
            <v>00104577</v>
          </cell>
          <cell r="B1516" t="str">
            <v>1997-051-00 PL YAKIMA SIDE CHA</v>
          </cell>
        </row>
        <row r="1517">
          <cell r="A1517" t="str">
            <v>00078907</v>
          </cell>
          <cell r="B1517" t="str">
            <v>1997-051-00 YAKIMA RIVER SIDE</v>
          </cell>
        </row>
        <row r="1518">
          <cell r="A1518" t="str">
            <v>00090800</v>
          </cell>
          <cell r="B1518" t="str">
            <v>1997-052-00 PL YAKIMA R REARIN</v>
          </cell>
        </row>
        <row r="1519">
          <cell r="A1519" t="str">
            <v>00088377</v>
          </cell>
          <cell r="B1519" t="str">
            <v>1997-053-00 PL TOPPENISH-SIMCO</v>
          </cell>
        </row>
        <row r="1520">
          <cell r="A1520" t="str">
            <v>00083825</v>
          </cell>
          <cell r="B1520" t="str">
            <v>1997-056-00 PL LO KLICKITAT RE</v>
          </cell>
        </row>
        <row r="1521">
          <cell r="A1521" t="str">
            <v>00033499</v>
          </cell>
          <cell r="B1521" t="str">
            <v>1997-059-00 PL WILDLIFE COALIT</v>
          </cell>
        </row>
        <row r="1522">
          <cell r="A1522" t="str">
            <v>00091588</v>
          </cell>
          <cell r="B1522" t="str">
            <v>1997-059-02 PL WSIR-ORWL PLAN</v>
          </cell>
        </row>
        <row r="1523">
          <cell r="A1523" t="str">
            <v>00095637</v>
          </cell>
          <cell r="B1523" t="str">
            <v>1997-059-03 PL OREGON WILDLIFE</v>
          </cell>
        </row>
        <row r="1524">
          <cell r="A1524" t="str">
            <v>00076114</v>
          </cell>
          <cell r="B1524" t="str">
            <v>1997-060-00 PL CLEARWATER FOC</v>
          </cell>
        </row>
        <row r="1525">
          <cell r="A1525" t="str">
            <v>00075454</v>
          </cell>
          <cell r="B1525" t="str">
            <v>1997-060-00 PL CLEARWATER FOCU</v>
          </cell>
        </row>
        <row r="1526">
          <cell r="A1526" t="str">
            <v>00112170</v>
          </cell>
          <cell r="B1526" t="str">
            <v>1997-097-00   PL LITTLE DARK C</v>
          </cell>
        </row>
        <row r="1527">
          <cell r="A1527" t="str">
            <v>00091580</v>
          </cell>
          <cell r="B1527" t="str">
            <v>1997-100-00 PL CTUIR HABITAT A</v>
          </cell>
        </row>
        <row r="1528">
          <cell r="A1528" t="str">
            <v>00078456</v>
          </cell>
          <cell r="B1528" t="str">
            <v>199701300 - YKFP CLE ELUM HATC</v>
          </cell>
        </row>
        <row r="1529">
          <cell r="A1529" t="str">
            <v>00098653</v>
          </cell>
          <cell r="B1529" t="str">
            <v>1997702401 PL VIRGINIA CREEEK</v>
          </cell>
        </row>
        <row r="1530">
          <cell r="A1530" t="str">
            <v>00035678</v>
          </cell>
          <cell r="B1530" t="str">
            <v>1998-001-00 PL  ANALYTICAL SUP</v>
          </cell>
        </row>
        <row r="1531">
          <cell r="A1531" t="str">
            <v>00036335</v>
          </cell>
          <cell r="B1531" t="str">
            <v>1998-001-003 PL SPAWNING DISTR</v>
          </cell>
        </row>
        <row r="1532">
          <cell r="A1532" t="str">
            <v>00036437</v>
          </cell>
          <cell r="B1532" t="str">
            <v>1998-001-004 PL M&amp;E-YEARLING</v>
          </cell>
        </row>
        <row r="1533">
          <cell r="A1533" t="str">
            <v>00038436</v>
          </cell>
          <cell r="B1533" t="str">
            <v>1998-002-00 IL SNAKE RIVER NAT</v>
          </cell>
        </row>
        <row r="1534">
          <cell r="A1534" t="str">
            <v>00032371</v>
          </cell>
          <cell r="B1534" t="str">
            <v>1998-002-00 PL SNAKE R SALMON</v>
          </cell>
        </row>
        <row r="1535">
          <cell r="A1535" t="str">
            <v>00091139</v>
          </cell>
          <cell r="B1535" t="str">
            <v>1998-002-00 PL SNAKE R SALMONI</v>
          </cell>
        </row>
        <row r="1536">
          <cell r="A1536" t="str">
            <v>00083824</v>
          </cell>
          <cell r="B1536" t="str">
            <v>1998-003-00 PL SPOKANE WL O&amp;M</v>
          </cell>
        </row>
        <row r="1537">
          <cell r="A1537" t="str">
            <v>00032655</v>
          </cell>
          <cell r="B1537" t="str">
            <v>1998-004-01 PL ELECTRONIC FISH</v>
          </cell>
        </row>
        <row r="1538">
          <cell r="A1538" t="str">
            <v>00102607</v>
          </cell>
          <cell r="B1538" t="str">
            <v>1998-004-04 PL DEVELOPMENT OF</v>
          </cell>
        </row>
        <row r="1539">
          <cell r="A1539" t="str">
            <v>00076219</v>
          </cell>
          <cell r="B1539" t="str">
            <v>1998-007-01 PL GRESP ACCLIMATI</v>
          </cell>
        </row>
        <row r="1540">
          <cell r="A1540" t="str">
            <v>00090441</v>
          </cell>
          <cell r="B1540" t="str">
            <v>1998-007-01 PL GRESSPP SATELLI</v>
          </cell>
        </row>
        <row r="1541">
          <cell r="A1541" t="str">
            <v>00036946</v>
          </cell>
          <cell r="B1541" t="str">
            <v>1998-007-02 PL GRANDE RONDE CH</v>
          </cell>
        </row>
        <row r="1542">
          <cell r="A1542" t="str">
            <v>00038071</v>
          </cell>
          <cell r="B1542" t="str">
            <v>1998-007-03 IL GRANDE RONDE SU</v>
          </cell>
        </row>
        <row r="1543">
          <cell r="A1543" t="str">
            <v>00037111</v>
          </cell>
          <cell r="B1543" t="str">
            <v>1998-007-03 PL GRANDE RONDE OM</v>
          </cell>
        </row>
        <row r="1544">
          <cell r="A1544" t="str">
            <v>00037972</v>
          </cell>
          <cell r="B1544" t="str">
            <v>1998-007-04 PL GR SUPPLEMENTA</v>
          </cell>
        </row>
        <row r="1545">
          <cell r="A1545" t="str">
            <v>00078072</v>
          </cell>
          <cell r="B1545" t="str">
            <v>1998-008-00 PL REGIONAL FORUM</v>
          </cell>
        </row>
        <row r="1546">
          <cell r="A1546" t="str">
            <v>00037943</v>
          </cell>
          <cell r="B1546" t="str">
            <v>1998-010-01 IL GRANDE RONDE CA</v>
          </cell>
        </row>
        <row r="1547">
          <cell r="A1547" t="str">
            <v>00032004</v>
          </cell>
          <cell r="B1547" t="str">
            <v>1998-010-01 PL GRANDE RONDE SP</v>
          </cell>
        </row>
        <row r="1548">
          <cell r="A1548" t="str">
            <v>00037731</v>
          </cell>
          <cell r="B1548" t="str">
            <v>1998-010-05 PL FALL CHINOOK AC</v>
          </cell>
        </row>
        <row r="1549">
          <cell r="A1549" t="str">
            <v>00038328</v>
          </cell>
          <cell r="B1549" t="str">
            <v>1998-010-06 IL CAPTIVE BTROODS</v>
          </cell>
        </row>
        <row r="1550">
          <cell r="A1550" t="str">
            <v>00037708</v>
          </cell>
          <cell r="B1550" t="str">
            <v>1998-010-06 PL CAPTIVE BROODST</v>
          </cell>
        </row>
        <row r="1551">
          <cell r="A1551" t="str">
            <v>00040227</v>
          </cell>
          <cell r="B1551" t="str">
            <v>1998-011-00 PL MT NAT HERITAGE</v>
          </cell>
        </row>
        <row r="1552">
          <cell r="A1552" t="str">
            <v>00075598</v>
          </cell>
          <cell r="B1552" t="str">
            <v>1998-012-00 PL GEOGRAPHIC INFO</v>
          </cell>
        </row>
        <row r="1553">
          <cell r="A1553" t="str">
            <v>00091723</v>
          </cell>
          <cell r="B1553" t="str">
            <v>1998-013-00 PL WRITER-EDITOR</v>
          </cell>
        </row>
        <row r="1554">
          <cell r="A1554" t="str">
            <v>00082533</v>
          </cell>
          <cell r="B1554" t="str">
            <v>1998-013-01 SOCKEYE/CHINOOK</v>
          </cell>
        </row>
        <row r="1555">
          <cell r="A1555" t="str">
            <v>00094832</v>
          </cell>
          <cell r="B1555" t="str">
            <v>1998-014-00 PL CANADA-USA SHEL</v>
          </cell>
        </row>
        <row r="1556">
          <cell r="A1556" t="str">
            <v>00082531</v>
          </cell>
          <cell r="B1556" t="str">
            <v>1998-014-00 PL OCEAN SURVIVAL</v>
          </cell>
        </row>
        <row r="1557">
          <cell r="A1557" t="str">
            <v>00075539</v>
          </cell>
          <cell r="B1557" t="str">
            <v>1998-015-00 PL USFWS WASHINGTO</v>
          </cell>
        </row>
        <row r="1558">
          <cell r="A1558" t="str">
            <v>00078905</v>
          </cell>
          <cell r="B1558" t="str">
            <v>1998-015-06 PL LAKE BILLY SHAW</v>
          </cell>
        </row>
        <row r="1559">
          <cell r="A1559" t="str">
            <v>00088546</v>
          </cell>
          <cell r="B1559" t="str">
            <v>1998-016-00 PL ODFW JOHN DAY</v>
          </cell>
        </row>
        <row r="1560">
          <cell r="A1560" t="str">
            <v>00090641</v>
          </cell>
          <cell r="B1560" t="str">
            <v>1998-017-00 PL GRAVEL PUSH UP</v>
          </cell>
        </row>
        <row r="1561">
          <cell r="A1561" t="str">
            <v>00038253</v>
          </cell>
          <cell r="B1561" t="str">
            <v>1998-018-00 IL INSTALL IRRIGAT</v>
          </cell>
        </row>
        <row r="1562">
          <cell r="A1562" t="str">
            <v>00035922</v>
          </cell>
          <cell r="B1562" t="str">
            <v>1998-018-00 PL JOHN DAY WATER</v>
          </cell>
        </row>
        <row r="1563">
          <cell r="A1563" t="str">
            <v>00083395</v>
          </cell>
          <cell r="B1563" t="str">
            <v>1998-018-00 PL JOHN DAY WATER</v>
          </cell>
        </row>
        <row r="1564">
          <cell r="A1564" t="str">
            <v>00032002</v>
          </cell>
          <cell r="B1564" t="str">
            <v>1998-019-00 PL WIND RIVER WATE</v>
          </cell>
        </row>
        <row r="1565">
          <cell r="A1565" t="str">
            <v>00083320</v>
          </cell>
          <cell r="B1565" t="str">
            <v>1998-019-00 PL WIND RIVER WTR</v>
          </cell>
        </row>
        <row r="1566">
          <cell r="A1566" t="str">
            <v>00082149</v>
          </cell>
          <cell r="B1566" t="str">
            <v>1998-019-01 PL WIND RIVER WTR</v>
          </cell>
        </row>
        <row r="1567">
          <cell r="A1567" t="str">
            <v>00033570</v>
          </cell>
          <cell r="B1567" t="str">
            <v>1998-020-00 PL GLENN WDF</v>
          </cell>
        </row>
        <row r="1568">
          <cell r="A1568" t="str">
            <v>00035657</v>
          </cell>
          <cell r="B1568" t="str">
            <v>1998-021-00 PL HOOD RIVER FISH</v>
          </cell>
        </row>
        <row r="1569">
          <cell r="A1569" t="str">
            <v>00087673</v>
          </cell>
          <cell r="B1569" t="str">
            <v>1998-021-00 PL HOOD RIVER FISH</v>
          </cell>
        </row>
        <row r="1570">
          <cell r="A1570" t="str">
            <v>00032578</v>
          </cell>
          <cell r="B1570" t="str">
            <v>1998-022-00 PL ACQUISITION OF</v>
          </cell>
        </row>
        <row r="1571">
          <cell r="A1571" t="str">
            <v>00091343</v>
          </cell>
          <cell r="B1571" t="str">
            <v>1998-025-00 PL EARLY WINTER CK</v>
          </cell>
        </row>
        <row r="1572">
          <cell r="A1572" t="str">
            <v>00081414</v>
          </cell>
          <cell r="B1572" t="str">
            <v>1998-026-00 PL DOCUMENT NATIVE</v>
          </cell>
        </row>
        <row r="1573">
          <cell r="A1573" t="str">
            <v>00091138</v>
          </cell>
          <cell r="B1573" t="str">
            <v>1998-026-00 PL NATIVE TROUT DO</v>
          </cell>
        </row>
        <row r="1574">
          <cell r="A1574" t="str">
            <v>00075979</v>
          </cell>
          <cell r="B1574" t="str">
            <v>1998-028-00 PL IMPLEMENT TROUT</v>
          </cell>
        </row>
        <row r="1575">
          <cell r="A1575" t="str">
            <v>00076484</v>
          </cell>
          <cell r="B1575" t="str">
            <v>1998-028-01 PL TROUT CREEK WAT</v>
          </cell>
        </row>
        <row r="1576">
          <cell r="A1576" t="str">
            <v>00091349</v>
          </cell>
          <cell r="B1576" t="str">
            <v>1998-029-00 PL GOAT CRK IN-ST</v>
          </cell>
        </row>
        <row r="1577">
          <cell r="A1577" t="str">
            <v>00090339</v>
          </cell>
          <cell r="B1577" t="str">
            <v>1998-031-00 PL WY-KAN-USH-MI</v>
          </cell>
        </row>
        <row r="1578">
          <cell r="A1578" t="str">
            <v>00090375</v>
          </cell>
          <cell r="B1578" t="str">
            <v>1998-031-00 PL WY-KAN-USH-MI</v>
          </cell>
        </row>
        <row r="1579">
          <cell r="A1579" t="str">
            <v>00090711</v>
          </cell>
          <cell r="B1579" t="str">
            <v>1998-033-00 PL UPPER TOPPENISH</v>
          </cell>
        </row>
        <row r="1580">
          <cell r="A1580" t="str">
            <v>00081751</v>
          </cell>
          <cell r="B1580" t="str">
            <v>1998-034-00 ME SAFE ACCES YAKI</v>
          </cell>
        </row>
        <row r="1581">
          <cell r="A1581" t="str">
            <v>00032421</v>
          </cell>
          <cell r="B1581" t="str">
            <v>1998-034-00 PL EST SAFE ACCESS</v>
          </cell>
        </row>
        <row r="1582">
          <cell r="A1582" t="str">
            <v>00089189</v>
          </cell>
          <cell r="B1582" t="str">
            <v>1998-034-00 PL REESTAB SAFE AC</v>
          </cell>
        </row>
        <row r="1583">
          <cell r="A1583" t="str">
            <v>00082428</v>
          </cell>
          <cell r="B1583" t="str">
            <v>1998-035-01 PL WATRSHD RSPNSE</v>
          </cell>
        </row>
        <row r="1584">
          <cell r="A1584" t="str">
            <v>00040233</v>
          </cell>
          <cell r="B1584" t="str">
            <v>1998-051-00 PL WA NAT HERITAGE</v>
          </cell>
        </row>
        <row r="1585">
          <cell r="A1585" t="str">
            <v>00088882</v>
          </cell>
          <cell r="B1585" t="str">
            <v>1998-056-00 PL NMFS NET EXCHAN</v>
          </cell>
        </row>
        <row r="1586">
          <cell r="A1586" t="str">
            <v>00038604</v>
          </cell>
          <cell r="B1586" t="str">
            <v>1999-002-00 ASOTIN MODEL WATER</v>
          </cell>
        </row>
        <row r="1587">
          <cell r="A1587" t="str">
            <v>00106022</v>
          </cell>
          <cell r="B1587" t="str">
            <v>1999-002-00 PL ASOTIN WATERSHE</v>
          </cell>
        </row>
        <row r="1588">
          <cell r="A1588" t="str">
            <v>00108838</v>
          </cell>
          <cell r="B1588" t="str">
            <v>1999-002-00 PL ASOTIN WATERSHE</v>
          </cell>
        </row>
        <row r="1589">
          <cell r="A1589" t="str">
            <v>00031987</v>
          </cell>
          <cell r="B1589" t="str">
            <v>1999-003-01 PL SALMON SPAWNING</v>
          </cell>
        </row>
        <row r="1590">
          <cell r="A1590" t="str">
            <v>00031990</v>
          </cell>
          <cell r="B1590" t="str">
            <v>1999-003-02 PL SALMON SPAWNING</v>
          </cell>
        </row>
        <row r="1591">
          <cell r="A1591" t="str">
            <v>00031992</v>
          </cell>
          <cell r="B1591" t="str">
            <v>1999-003-03 PL SALMON SPAWNING</v>
          </cell>
        </row>
        <row r="1592">
          <cell r="A1592" t="str">
            <v>00031982</v>
          </cell>
          <cell r="B1592" t="str">
            <v>1999-003-04 PL F CHIN &amp; CHUM S</v>
          </cell>
        </row>
        <row r="1593">
          <cell r="A1593" t="str">
            <v>00031993</v>
          </cell>
          <cell r="B1593" t="str">
            <v>1999-003-05 PL FALL CHIN &amp; CHU</v>
          </cell>
        </row>
        <row r="1594">
          <cell r="A1594" t="str">
            <v>00090799</v>
          </cell>
          <cell r="B1594" t="str">
            <v>1999-006-00 PL BAKEOVEN RIPARI</v>
          </cell>
        </row>
        <row r="1595">
          <cell r="A1595" t="str">
            <v>00082706</v>
          </cell>
          <cell r="B1595" t="str">
            <v>1999-008-00 PL  Water Acquisit</v>
          </cell>
        </row>
        <row r="1596">
          <cell r="A1596" t="str">
            <v>00090762</v>
          </cell>
          <cell r="B1596" t="str">
            <v>1999-010-00 PL PINE HOLLOW</v>
          </cell>
        </row>
        <row r="1597">
          <cell r="A1597" t="str">
            <v>00033538</v>
          </cell>
          <cell r="B1597" t="str">
            <v>1999-013-00 PL AHTANUM CR WATE</v>
          </cell>
        </row>
        <row r="1598">
          <cell r="A1598" t="str">
            <v>00088422</v>
          </cell>
          <cell r="B1598" t="str">
            <v>1999-014-00 PL LITTLE CANYON</v>
          </cell>
        </row>
        <row r="1599">
          <cell r="A1599" t="str">
            <v>00083488</v>
          </cell>
          <cell r="B1599" t="str">
            <v>1999-015-00 PL NICHOLS CANYON</v>
          </cell>
        </row>
        <row r="1600">
          <cell r="A1600" t="str">
            <v>00075462</v>
          </cell>
          <cell r="B1600" t="str">
            <v>1999-016-00 PL BIG CANYON CREE</v>
          </cell>
        </row>
        <row r="1601">
          <cell r="A1601" t="str">
            <v>00075461</v>
          </cell>
          <cell r="B1601" t="str">
            <v>1999-017-00 PL LAPWAI CREEK</v>
          </cell>
        </row>
        <row r="1602">
          <cell r="A1602" t="str">
            <v>00038461</v>
          </cell>
          <cell r="B1602" t="str">
            <v>1999-018-00 PL QUALIFY/QUANTIF</v>
          </cell>
        </row>
        <row r="1603">
          <cell r="A1603" t="str">
            <v>00089478</v>
          </cell>
          <cell r="B1603" t="str">
            <v>1999-019-00 PL SALMON RIVER CH</v>
          </cell>
        </row>
        <row r="1604">
          <cell r="A1604" t="str">
            <v>00089487</v>
          </cell>
          <cell r="B1604" t="str">
            <v>1999-020-00 PL ANALYSE PERSIST</v>
          </cell>
        </row>
        <row r="1605">
          <cell r="A1605" t="str">
            <v>00036951</v>
          </cell>
          <cell r="B1605" t="str">
            <v>1999-021-00 PL PATAHA WATER</v>
          </cell>
        </row>
        <row r="1606">
          <cell r="A1606" t="str">
            <v>00038437</v>
          </cell>
          <cell r="B1606" t="str">
            <v>1999-022-00 IL ASSESSING GENET</v>
          </cell>
        </row>
        <row r="1607">
          <cell r="A1607" t="str">
            <v>00032353</v>
          </cell>
          <cell r="B1607" t="str">
            <v>1999-022-00 PL ASSESS COL R ST</v>
          </cell>
        </row>
        <row r="1608">
          <cell r="A1608" t="str">
            <v>00039741</v>
          </cell>
          <cell r="B1608" t="str">
            <v>1999-023-00 PL CHUMSTICK CK NO</v>
          </cell>
        </row>
        <row r="1609">
          <cell r="A1609" t="str">
            <v>00091140</v>
          </cell>
          <cell r="B1609" t="str">
            <v>1999-024-00 PL BULL TROUT ASSE</v>
          </cell>
        </row>
        <row r="1610">
          <cell r="A1610" t="str">
            <v>00096601</v>
          </cell>
          <cell r="B1610" t="str">
            <v>1999-024-00 PL BULL TROUT ASSE</v>
          </cell>
        </row>
        <row r="1611">
          <cell r="A1611" t="str">
            <v>00082604</v>
          </cell>
          <cell r="B1611" t="str">
            <v>1999-025-00 PL SANDY R DELTA</v>
          </cell>
        </row>
        <row r="1612">
          <cell r="A1612" t="str">
            <v>00038679</v>
          </cell>
          <cell r="B1612" t="str">
            <v>1999-026-00 IL SANDY RIVER DEL</v>
          </cell>
        </row>
        <row r="1613">
          <cell r="A1613" t="str">
            <v>00082605</v>
          </cell>
          <cell r="B1613" t="str">
            <v>1999-026-00 PL SANDY RIV DELTA</v>
          </cell>
        </row>
        <row r="1614">
          <cell r="A1614" t="str">
            <v>00076782</v>
          </cell>
          <cell r="B1614" t="str">
            <v>1999-034-00 PL FEDERAL CAUCUS</v>
          </cell>
        </row>
        <row r="1615">
          <cell r="A1615" t="str">
            <v>00076108</v>
          </cell>
          <cell r="B1615" t="str">
            <v>1999-034-00 PL FEDERAL CAUCUS/</v>
          </cell>
        </row>
        <row r="1616">
          <cell r="A1616" t="str">
            <v>00036694</v>
          </cell>
          <cell r="B1616" t="str">
            <v>1999-035-00 PL HATCHERY &amp; HARV</v>
          </cell>
        </row>
        <row r="1617">
          <cell r="A1617" t="str">
            <v>00091348</v>
          </cell>
          <cell r="B1617" t="str">
            <v>1999-041-00 PL NUTRIENTS SPAWN</v>
          </cell>
        </row>
        <row r="1618">
          <cell r="A1618" t="str">
            <v>00094984</v>
          </cell>
          <cell r="B1618" t="str">
            <v>1999-047-00 PL WET MEADOW INVE</v>
          </cell>
        </row>
        <row r="1619">
          <cell r="A1619" t="str">
            <v>00106487</v>
          </cell>
          <cell r="B1619" t="str">
            <v>1999-054-00 PL ASOTIN CREEK IN</v>
          </cell>
        </row>
        <row r="1620">
          <cell r="A1620" t="str">
            <v>00081282</v>
          </cell>
          <cell r="B1620" t="str">
            <v>1999-056-00 PL LADD MARSH</v>
          </cell>
        </row>
        <row r="1621">
          <cell r="A1621" t="str">
            <v>00106486</v>
          </cell>
          <cell r="B1621" t="str">
            <v>1999-060-00 PL ASOTIN WATERSHE</v>
          </cell>
        </row>
        <row r="1622">
          <cell r="A1622" t="str">
            <v>00039683</v>
          </cell>
          <cell r="B1622" t="str">
            <v>1999-061-00 GRANDE RONDE-UNION</v>
          </cell>
        </row>
        <row r="1623">
          <cell r="A1623" t="str">
            <v>00111107</v>
          </cell>
          <cell r="B1623" t="str">
            <v>1999-070-00 PL WALLOWA COUNTY</v>
          </cell>
        </row>
        <row r="1624">
          <cell r="A1624" t="str">
            <v>00032341</v>
          </cell>
          <cell r="B1624" t="str">
            <v>199902400 BULL TROUT ASSESSMEN</v>
          </cell>
        </row>
        <row r="1625">
          <cell r="A1625" t="str">
            <v>00036700</v>
          </cell>
          <cell r="B1625" t="str">
            <v>2000-001-00 PL OMAK CREEK</v>
          </cell>
        </row>
        <row r="1626">
          <cell r="A1626" t="str">
            <v>00090891</v>
          </cell>
          <cell r="B1626" t="str">
            <v>2000-002-00 PL REMOVE BARRIERS</v>
          </cell>
        </row>
        <row r="1627">
          <cell r="A1627" t="str">
            <v>00091346</v>
          </cell>
          <cell r="B1627" t="str">
            <v>2000-002-00 PL REMOVE BARRIERS</v>
          </cell>
        </row>
        <row r="1628">
          <cell r="A1628" t="str">
            <v>00038435</v>
          </cell>
          <cell r="B1628" t="str">
            <v>2000-004-00 IL PROTECT WIGWAM</v>
          </cell>
        </row>
        <row r="1629">
          <cell r="A1629" t="str">
            <v>00087405</v>
          </cell>
          <cell r="B1629" t="str">
            <v>2000-004-00 PL WIGWAM BULL TR</v>
          </cell>
        </row>
        <row r="1630">
          <cell r="A1630" t="str">
            <v>00036949</v>
          </cell>
          <cell r="B1630" t="str">
            <v>2000-006-00 PL TRNG SUPPORT</v>
          </cell>
        </row>
        <row r="1631">
          <cell r="A1631" t="str">
            <v>00091134</v>
          </cell>
          <cell r="B1631" t="str">
            <v>2000-007-00 PL ERYTHROMYCIN IN</v>
          </cell>
        </row>
        <row r="1632">
          <cell r="A1632" t="str">
            <v>00032384</v>
          </cell>
          <cell r="B1632" t="str">
            <v>2000-007-00 PL INFRASTRUCTURE</v>
          </cell>
        </row>
        <row r="1633">
          <cell r="A1633" t="str">
            <v>00033565</v>
          </cell>
          <cell r="B1633" t="str">
            <v>2000-009-00 PL LOGAN VALLEY WL</v>
          </cell>
        </row>
        <row r="1634">
          <cell r="A1634" t="str">
            <v>00101201</v>
          </cell>
          <cell r="B1634" t="str">
            <v>2000-010-00 PL KLICKITAT RIVER</v>
          </cell>
        </row>
        <row r="1635">
          <cell r="A1635" t="str">
            <v>00101205</v>
          </cell>
          <cell r="B1635" t="str">
            <v>2000-011-00 PL ROCK CREEK WATE</v>
          </cell>
        </row>
        <row r="1636">
          <cell r="A1636" t="str">
            <v>00037841</v>
          </cell>
          <cell r="B1636" t="str">
            <v>2000-012-00 IL EVAL FACTORS LI</v>
          </cell>
        </row>
        <row r="1637">
          <cell r="A1637" t="str">
            <v>00036336</v>
          </cell>
          <cell r="B1637" t="str">
            <v>2000-012-00 PL EVALUATE FACTOR</v>
          </cell>
        </row>
        <row r="1638">
          <cell r="A1638" t="str">
            <v>00037939</v>
          </cell>
          <cell r="B1638" t="str">
            <v>2000-013-00 IL EVAL REINTRODUC</v>
          </cell>
        </row>
        <row r="1639">
          <cell r="A1639" t="str">
            <v>00082989</v>
          </cell>
          <cell r="B1639" t="str">
            <v>2000-013-00 PL  EVAL REINTRO O</v>
          </cell>
        </row>
        <row r="1640">
          <cell r="A1640" t="str">
            <v>00036338</v>
          </cell>
          <cell r="B1640" t="str">
            <v>2000-014-00 PL HABITAT&amp;POP DYN</v>
          </cell>
        </row>
        <row r="1641">
          <cell r="A1641" t="str">
            <v>00038252</v>
          </cell>
          <cell r="B1641" t="str">
            <v>2000-015-00 IL ACQUIRE OXBOW</v>
          </cell>
        </row>
        <row r="1642">
          <cell r="A1642" t="str">
            <v>00038767</v>
          </cell>
          <cell r="B1642" t="str">
            <v>2000-015-00 PL ACQUIRE OXBOW</v>
          </cell>
        </row>
        <row r="1643">
          <cell r="A1643" t="str">
            <v>00033545</v>
          </cell>
          <cell r="B1643" t="str">
            <v>2000-016-00 PL TUAL. ACQ.</v>
          </cell>
        </row>
        <row r="1644">
          <cell r="A1644" t="str">
            <v>00037721</v>
          </cell>
          <cell r="B1644" t="str">
            <v>2000-017-00 IL RECONDITION WIL</v>
          </cell>
        </row>
        <row r="1645">
          <cell r="A1645" t="str">
            <v>00035659</v>
          </cell>
          <cell r="B1645" t="str">
            <v>2000-017-00 PL CRITFC WILD KEL</v>
          </cell>
        </row>
        <row r="1646">
          <cell r="A1646" t="str">
            <v>00082615</v>
          </cell>
          <cell r="B1646" t="str">
            <v>2000-018-00 PL LAKE ROOSEVELT</v>
          </cell>
        </row>
        <row r="1647">
          <cell r="A1647" t="str">
            <v>00003025</v>
          </cell>
          <cell r="B1647" t="str">
            <v>2000-019-00 PL TUCANNON R SPR</v>
          </cell>
        </row>
        <row r="1648">
          <cell r="A1648" t="str">
            <v>00031996</v>
          </cell>
          <cell r="B1648" t="str">
            <v>2000-019-00 PL TUCANNON RIVER</v>
          </cell>
        </row>
        <row r="1649">
          <cell r="A1649" t="str">
            <v>00033582</v>
          </cell>
          <cell r="B1649" t="str">
            <v>2000-023-00 PL ODFW HORN BUTTE</v>
          </cell>
        </row>
        <row r="1650">
          <cell r="A1650" t="str">
            <v>00038080</v>
          </cell>
          <cell r="B1650" t="str">
            <v>2000-025-00 IL EAGLE LAKES RAN</v>
          </cell>
        </row>
        <row r="1651">
          <cell r="A1651" t="str">
            <v>00082199</v>
          </cell>
          <cell r="B1651" t="str">
            <v>2000-026-00 PL RAINWATER WL</v>
          </cell>
        </row>
        <row r="1652">
          <cell r="A1652" t="str">
            <v>00033542</v>
          </cell>
          <cell r="B1652" t="str">
            <v>2000-027-00 PL DENNY-JONES</v>
          </cell>
        </row>
        <row r="1653">
          <cell r="A1653" t="str">
            <v>00101768</v>
          </cell>
          <cell r="B1653" t="str">
            <v>2000-027-00 PL MALHEUR WL MITI</v>
          </cell>
        </row>
        <row r="1654">
          <cell r="A1654" t="str">
            <v>00037807</v>
          </cell>
          <cell r="B1654" t="str">
            <v>2000-028-00 IL EVAL PACIFIC LA</v>
          </cell>
        </row>
        <row r="1655">
          <cell r="A1655" t="str">
            <v>00037411</v>
          </cell>
          <cell r="B1655" t="str">
            <v>2000-028-00 PL STATUS OF PACIF</v>
          </cell>
        </row>
        <row r="1656">
          <cell r="A1656" t="str">
            <v>00032128</v>
          </cell>
          <cell r="B1656" t="str">
            <v>2000-029-00 PL ID LAMPREYS &amp; T</v>
          </cell>
        </row>
        <row r="1657">
          <cell r="A1657" t="str">
            <v>00090759</v>
          </cell>
          <cell r="B1657" t="str">
            <v>2000-031-00 PL ENHANCE N FORK</v>
          </cell>
        </row>
        <row r="1658">
          <cell r="A1658" t="str">
            <v>00038065</v>
          </cell>
          <cell r="B1658" t="str">
            <v>2000-033-00 IL WALLA WALLA RIV</v>
          </cell>
        </row>
        <row r="1659">
          <cell r="A1659" t="str">
            <v>00109427</v>
          </cell>
          <cell r="B1659" t="str">
            <v>2000-033-00 PL WALLA WALLA FIS</v>
          </cell>
        </row>
        <row r="1660">
          <cell r="A1660" t="str">
            <v>00075448</v>
          </cell>
          <cell r="B1660" t="str">
            <v>2000-034-00 PL NORTH LOCHSA FA</v>
          </cell>
        </row>
        <row r="1661">
          <cell r="A1661" t="str">
            <v>00075463</v>
          </cell>
          <cell r="B1661" t="str">
            <v>2000-035-00 PL NEWSOME CREEK</v>
          </cell>
        </row>
        <row r="1662">
          <cell r="A1662" t="str">
            <v>00075451</v>
          </cell>
          <cell r="B1662" t="str">
            <v>2000-036-00 PL  MILL CREEK</v>
          </cell>
        </row>
        <row r="1663">
          <cell r="A1663" t="str">
            <v>00037112</v>
          </cell>
          <cell r="B1663" t="str">
            <v>2000-038-00 PL WALLA WALLA(NEO</v>
          </cell>
        </row>
        <row r="1664">
          <cell r="A1664" t="str">
            <v>00118651</v>
          </cell>
          <cell r="B1664" t="str">
            <v>2000-039-00 PL WALLA WALLA BAS</v>
          </cell>
        </row>
        <row r="1665">
          <cell r="A1665" t="str">
            <v>00037110</v>
          </cell>
          <cell r="B1665" t="str">
            <v>2000-039-00 PL WALLA WALLA M&amp;E</v>
          </cell>
        </row>
        <row r="1666">
          <cell r="A1666" t="str">
            <v>00091303</v>
          </cell>
          <cell r="B1666" t="str">
            <v>2000-041-00 PL TECHNICAL SUPPO</v>
          </cell>
        </row>
        <row r="1667">
          <cell r="A1667" t="str">
            <v>00106598</v>
          </cell>
          <cell r="B1667" t="str">
            <v>2000-046-00 PL ASOTIN CR ISCO</v>
          </cell>
        </row>
        <row r="1668">
          <cell r="A1668" t="str">
            <v>00106485</v>
          </cell>
          <cell r="B1668" t="str">
            <v>2000-047-00 PL GIS MAPPING OF</v>
          </cell>
        </row>
        <row r="1669">
          <cell r="A1669" t="str">
            <v>00090803</v>
          </cell>
          <cell r="B1669" t="str">
            <v>2000-048-00 PL YAKIMA BENTHIC</v>
          </cell>
        </row>
        <row r="1670">
          <cell r="A1670" t="str">
            <v>00083037</v>
          </cell>
          <cell r="B1670" t="str">
            <v>2000-049-00 PL DIET DISTRIBUT</v>
          </cell>
        </row>
        <row r="1671">
          <cell r="A1671" t="str">
            <v>00090156</v>
          </cell>
          <cell r="B1671" t="str">
            <v>2000-050-00 PL RIPARIAN RECOVE</v>
          </cell>
        </row>
        <row r="1672">
          <cell r="A1672" t="str">
            <v>00090158</v>
          </cell>
          <cell r="B1672" t="str">
            <v>2000-051-00 PL RESEARCH/EVAL R</v>
          </cell>
        </row>
        <row r="1673">
          <cell r="A1673" t="str">
            <v>00090160</v>
          </cell>
          <cell r="B1673" t="str">
            <v>2000-051-01 PL RESEARCH STREAM</v>
          </cell>
        </row>
        <row r="1674">
          <cell r="A1674" t="str">
            <v>00090229</v>
          </cell>
          <cell r="B1674" t="str">
            <v>2000-052-00 PL UPSTREAM MIGRAT</v>
          </cell>
        </row>
        <row r="1675">
          <cell r="A1675" t="str">
            <v>00106484</v>
          </cell>
          <cell r="B1675" t="str">
            <v>2000-053-00 PL  ASOTIN CREEK R</v>
          </cell>
        </row>
        <row r="1676">
          <cell r="A1676" t="str">
            <v>00106261</v>
          </cell>
          <cell r="B1676" t="str">
            <v>2000-054-00 PL ASOTIN CREEK RI</v>
          </cell>
        </row>
        <row r="1677">
          <cell r="A1677" t="str">
            <v>00106914</v>
          </cell>
          <cell r="B1677" t="str">
            <v>2000-054-00 PL ASOTIN CREEK RI</v>
          </cell>
        </row>
        <row r="1678">
          <cell r="A1678" t="str">
            <v>00036710</v>
          </cell>
          <cell r="B1678" t="str">
            <v>2000-055-00 PL NEZ PERCE LAW</v>
          </cell>
        </row>
        <row r="1679">
          <cell r="A1679" t="str">
            <v>00037719</v>
          </cell>
          <cell r="B1679" t="str">
            <v>2000-056-00 IL LAW ENFORCEMENT</v>
          </cell>
        </row>
        <row r="1680">
          <cell r="A1680" t="str">
            <v>00035665</v>
          </cell>
          <cell r="B1680" t="str">
            <v>2000-056-00 PL CRITFC LAW ENFO</v>
          </cell>
        </row>
        <row r="1681">
          <cell r="A1681" t="str">
            <v>00088622</v>
          </cell>
          <cell r="B1681" t="str">
            <v>2000-056-00 PL CRITFC LAW ENFO</v>
          </cell>
        </row>
        <row r="1682">
          <cell r="A1682" t="str">
            <v>00090697</v>
          </cell>
          <cell r="B1682" t="str">
            <v>2000-057-00 PL EFFECTS OF TURB</v>
          </cell>
        </row>
        <row r="1683">
          <cell r="A1683" t="str">
            <v>00105929</v>
          </cell>
          <cell r="B1683" t="str">
            <v>2000-058-00 PL EFFECTS OF GAS</v>
          </cell>
        </row>
        <row r="1684">
          <cell r="A1684" t="str">
            <v>00089846</v>
          </cell>
          <cell r="B1684" t="str">
            <v>2000-061-00 PL UPPER WILDCAT</v>
          </cell>
        </row>
        <row r="1685">
          <cell r="A1685" t="str">
            <v>00089639</v>
          </cell>
          <cell r="B1685" t="str">
            <v>2000-066-00 PL MCCOY CREEK-ALT</v>
          </cell>
        </row>
        <row r="1686">
          <cell r="A1686" t="str">
            <v>00106481</v>
          </cell>
          <cell r="B1686" t="str">
            <v>2000-067-00 PL ASOTIN CR CHANN</v>
          </cell>
        </row>
        <row r="1687">
          <cell r="A1687" t="str">
            <v>00106262</v>
          </cell>
          <cell r="B1687" t="str">
            <v>2000-067-00 PL ASOTIN CREEK RI</v>
          </cell>
        </row>
        <row r="1688">
          <cell r="A1688" t="str">
            <v>00037040</v>
          </cell>
          <cell r="B1688" t="str">
            <v>2000-071-00 PL ANALYZE SALMON</v>
          </cell>
        </row>
        <row r="1689">
          <cell r="A1689" t="str">
            <v>00092279</v>
          </cell>
          <cell r="B1689" t="str">
            <v>2000-072-00 HERITABILITY OF DI</v>
          </cell>
        </row>
        <row r="1690">
          <cell r="A1690" t="str">
            <v>00090689</v>
          </cell>
          <cell r="B1690" t="str">
            <v>2000-073-00 PL SUBBASIN ASSESS</v>
          </cell>
        </row>
        <row r="1691">
          <cell r="A1691" t="str">
            <v>00095252</v>
          </cell>
          <cell r="B1691" t="str">
            <v>2000-074-02 PL WDFW BASELINE</v>
          </cell>
        </row>
        <row r="1692">
          <cell r="A1692" t="str">
            <v>00090705</v>
          </cell>
          <cell r="B1692" t="str">
            <v>2000-076-00 PL TECHNICAL SUPPO</v>
          </cell>
        </row>
        <row r="1693">
          <cell r="A1693" t="str">
            <v>00075978</v>
          </cell>
          <cell r="B1693" t="str">
            <v>2000-079-00 IL OWYHEE DVIR RES</v>
          </cell>
        </row>
        <row r="1694">
          <cell r="A1694" t="str">
            <v>00074767</v>
          </cell>
          <cell r="B1694" t="str">
            <v>2000-079-00 PL ASSESS RESIDENT</v>
          </cell>
        </row>
        <row r="1695">
          <cell r="A1695" t="str">
            <v>00076915</v>
          </cell>
          <cell r="B1695" t="str">
            <v>2000-080-00 PL OCEAN TRACKING</v>
          </cell>
        </row>
        <row r="1696">
          <cell r="A1696" t="str">
            <v>00031995</v>
          </cell>
          <cell r="B1696" t="str">
            <v>2001-001-00 PL DEVELOPMENT OF</v>
          </cell>
        </row>
        <row r="1697">
          <cell r="A1697" t="str">
            <v>00036954</v>
          </cell>
          <cell r="B1697" t="str">
            <v>2001-002-00 PL ASOTIN WATERSHE</v>
          </cell>
        </row>
        <row r="1698">
          <cell r="A1698" t="str">
            <v>00094477</v>
          </cell>
          <cell r="B1698" t="str">
            <v>2001-003-00 PL ADULT PIT DETEC</v>
          </cell>
        </row>
        <row r="1699">
          <cell r="A1699" t="str">
            <v>00038764</v>
          </cell>
          <cell r="B1699" t="str">
            <v>2001-003-00 PL RAINWATER WILDL</v>
          </cell>
        </row>
        <row r="1700">
          <cell r="A1700" t="str">
            <v>00038920</v>
          </cell>
          <cell r="B1700" t="str">
            <v>2001-004-00 PL HOLLLIDAY CONSE</v>
          </cell>
        </row>
        <row r="1701">
          <cell r="A1701" t="str">
            <v>00040234</v>
          </cell>
          <cell r="B1701" t="str">
            <v>2001-005-00 PL GIS SUBBASIN</v>
          </cell>
        </row>
        <row r="1702">
          <cell r="A1702" t="str">
            <v>00105324</v>
          </cell>
          <cell r="B1702" t="str">
            <v>2001-006-00 PL MISC F&amp;W SPONSO</v>
          </cell>
        </row>
        <row r="1703">
          <cell r="A1703" t="str">
            <v>00107274</v>
          </cell>
          <cell r="B1703" t="str">
            <v>2001-006-00 PL MISC F&amp;W SPONSO</v>
          </cell>
        </row>
        <row r="1704">
          <cell r="A1704" t="str">
            <v>00089981</v>
          </cell>
          <cell r="B1704" t="str">
            <v>2001-006-00 SALMON 'WATCH PROG</v>
          </cell>
        </row>
        <row r="1705">
          <cell r="A1705" t="str">
            <v>00108691</v>
          </cell>
          <cell r="B1705" t="str">
            <v>2001-006-02 PL MISC F&amp;W SPONSO</v>
          </cell>
        </row>
        <row r="1706">
          <cell r="A1706" t="str">
            <v>00076224</v>
          </cell>
          <cell r="B1706" t="str">
            <v>2001-007-00 PL EVALUATE LIVE C</v>
          </cell>
        </row>
        <row r="1707">
          <cell r="A1707" t="str">
            <v>00081702</v>
          </cell>
          <cell r="B1707" t="str">
            <v>2001-007-00 PL EVALUATE LIVE C</v>
          </cell>
        </row>
        <row r="1708">
          <cell r="A1708" t="str">
            <v>00076842</v>
          </cell>
          <cell r="B1708" t="str">
            <v>2001-008-00 PL GENETIC SEX OF</v>
          </cell>
        </row>
        <row r="1709">
          <cell r="A1709" t="str">
            <v>00081967</v>
          </cell>
          <cell r="B1709" t="str">
            <v>2001-010-00 PL INNOVATIVE- JUV</v>
          </cell>
        </row>
        <row r="1710">
          <cell r="A1710" t="str">
            <v>00082155</v>
          </cell>
          <cell r="B1710" t="str">
            <v>2001-011-00 PL HABITAT DIVERSI</v>
          </cell>
        </row>
        <row r="1711">
          <cell r="A1711" t="str">
            <v>00083767</v>
          </cell>
          <cell r="B1711" t="str">
            <v>2001-012-00 PL  EVAL RESTORATI</v>
          </cell>
        </row>
        <row r="1712">
          <cell r="A1712" t="str">
            <v>00083040</v>
          </cell>
          <cell r="B1712" t="str">
            <v>2001-013-00 PL EVAL. NUTRIENTS</v>
          </cell>
        </row>
        <row r="1713">
          <cell r="A1713" t="str">
            <v>00082818</v>
          </cell>
          <cell r="B1713" t="str">
            <v>2001-014-00 PL WTR. &amp; AQU. HAB</v>
          </cell>
        </row>
        <row r="1714">
          <cell r="A1714" t="str">
            <v>00091987</v>
          </cell>
          <cell r="B1714" t="str">
            <v>2001-015-00 PL ECHO MEADOW ART</v>
          </cell>
        </row>
        <row r="1715">
          <cell r="A1715" t="str">
            <v>00078122</v>
          </cell>
          <cell r="B1715" t="str">
            <v>2001-017-00 PL IDAHO CONSERVAT</v>
          </cell>
        </row>
        <row r="1716">
          <cell r="A1716" t="str">
            <v>00081281</v>
          </cell>
          <cell r="B1716" t="str">
            <v>2001-018-00 PL PHILLIPS-GORDO</v>
          </cell>
        </row>
        <row r="1717">
          <cell r="A1717" t="str">
            <v>00081391</v>
          </cell>
          <cell r="B1717" t="str">
            <v>2001-019-00 PL LITTLE CATHERIN</v>
          </cell>
        </row>
        <row r="1718">
          <cell r="A1718" t="str">
            <v>00082559</v>
          </cell>
          <cell r="B1718" t="str">
            <v>2001-020-00 PL 15 MILE CRK RIP</v>
          </cell>
        </row>
        <row r="1719">
          <cell r="A1719" t="str">
            <v>00083857</v>
          </cell>
          <cell r="B1719" t="str">
            <v>2001-020-00 PL 15 MILE CRK RIP</v>
          </cell>
        </row>
        <row r="1720">
          <cell r="A1720" t="str">
            <v>00082560</v>
          </cell>
          <cell r="B1720" t="str">
            <v>2001-021-00 PL 15 MILE CRK RIP</v>
          </cell>
        </row>
        <row r="1721">
          <cell r="A1721" t="str">
            <v>00082562</v>
          </cell>
          <cell r="B1721" t="str">
            <v>2001-022-00 PL 15 MILE CRK OR</v>
          </cell>
        </row>
        <row r="1722">
          <cell r="A1722" t="str">
            <v>00083859</v>
          </cell>
          <cell r="B1722" t="str">
            <v>2001-022-00 PL 15 MILE CRK OR</v>
          </cell>
        </row>
        <row r="1723">
          <cell r="A1723" t="str">
            <v>00103076</v>
          </cell>
          <cell r="B1723" t="str">
            <v>2001-024-00 PL SALMON &amp; STEELH</v>
          </cell>
        </row>
        <row r="1724">
          <cell r="A1724" t="str">
            <v>00088495</v>
          </cell>
          <cell r="B1724" t="str">
            <v>2001-024-00 PL UPSTREAM EXER</v>
          </cell>
        </row>
        <row r="1725">
          <cell r="A1725" t="str">
            <v>00083625</v>
          </cell>
          <cell r="B1725" t="str">
            <v>2001-025-00 PL SALMONID PRODUC</v>
          </cell>
        </row>
        <row r="1726">
          <cell r="A1726" t="str">
            <v>00088180</v>
          </cell>
          <cell r="B1726" t="str">
            <v>2001-026-00 PL EVALUATE COASTA</v>
          </cell>
        </row>
        <row r="1727">
          <cell r="A1727" t="str">
            <v>00083860</v>
          </cell>
          <cell r="B1727" t="str">
            <v>2001-027-00 PL WEST POND TURT</v>
          </cell>
        </row>
        <row r="1728">
          <cell r="A1728" t="str">
            <v>00082561</v>
          </cell>
          <cell r="B1728" t="str">
            <v>2001-027-00 PL WEST POND TURTL</v>
          </cell>
        </row>
        <row r="1729">
          <cell r="A1729" t="str">
            <v>00083771</v>
          </cell>
          <cell r="B1729" t="str">
            <v>2001-028-00 PL EVAL BANKS LAKE</v>
          </cell>
        </row>
        <row r="1730">
          <cell r="A1730" t="str">
            <v>00082702</v>
          </cell>
          <cell r="B1730" t="str">
            <v>2001-029-00 PL FORD HATCHERY I</v>
          </cell>
        </row>
        <row r="1731">
          <cell r="A1731" t="str">
            <v>00090813</v>
          </cell>
          <cell r="B1731" t="str">
            <v>2001-030-00 PL RESTORE HABITAT</v>
          </cell>
        </row>
        <row r="1732">
          <cell r="A1732" t="str">
            <v>00082300</v>
          </cell>
          <cell r="B1732" t="str">
            <v>2001-031-00 PL INTERMOUNTAIN P</v>
          </cell>
        </row>
        <row r="1733">
          <cell r="A1733" t="str">
            <v>00104517</v>
          </cell>
          <cell r="B1733" t="str">
            <v>2001-033-00 OM PROTECT &amp; RESTO</v>
          </cell>
        </row>
        <row r="1734">
          <cell r="A1734" t="str">
            <v>00104567</v>
          </cell>
          <cell r="B1734" t="str">
            <v>2001-033-00 PL PROTECT &amp; RESTR</v>
          </cell>
        </row>
        <row r="1735">
          <cell r="A1735" t="str">
            <v>00089844</v>
          </cell>
          <cell r="B1735" t="str">
            <v>2001-034-00 PL FORAGE QUALITY</v>
          </cell>
        </row>
        <row r="1736">
          <cell r="A1736" t="str">
            <v>00093819</v>
          </cell>
          <cell r="B1736" t="str">
            <v>2001-035-00 PL BEAR VALLY SPAW</v>
          </cell>
        </row>
        <row r="1737">
          <cell r="A1737" t="str">
            <v>00089331</v>
          </cell>
          <cell r="B1737" t="str">
            <v>2001-036-00 PL AMES CREEK REST</v>
          </cell>
        </row>
        <row r="1738">
          <cell r="A1738" t="str">
            <v>00083481</v>
          </cell>
          <cell r="B1738" t="str">
            <v>2001-037-00 PL ARROWLEAF CONSE</v>
          </cell>
        </row>
        <row r="1739">
          <cell r="A1739" t="str">
            <v>00089654</v>
          </cell>
          <cell r="B1739" t="str">
            <v>2001-038-00 PL GOURLEY CREEK R</v>
          </cell>
        </row>
        <row r="1740">
          <cell r="A1740" t="str">
            <v>00106265</v>
          </cell>
          <cell r="B1740" t="str">
            <v>2001-039-00 PL PROTECT ESA FIS</v>
          </cell>
        </row>
        <row r="1741">
          <cell r="A1741" t="str">
            <v>00089935</v>
          </cell>
          <cell r="B1741" t="str">
            <v>2001-040-00 PL WAGNER RANCH</v>
          </cell>
        </row>
        <row r="1742">
          <cell r="A1742" t="str">
            <v>00090758</v>
          </cell>
          <cell r="B1742" t="str">
            <v>2001-041-00 PL FOREST RANCH</v>
          </cell>
        </row>
        <row r="1743">
          <cell r="A1743" t="str">
            <v>00101771</v>
          </cell>
          <cell r="B1743" t="str">
            <v>2001-043-00 PL ZUMWALT CAMP CK</v>
          </cell>
        </row>
        <row r="1744">
          <cell r="A1744" t="str">
            <v>00093821</v>
          </cell>
          <cell r="B1744" t="str">
            <v>2001-044-00 PL BAKER EASEMENT/</v>
          </cell>
        </row>
        <row r="1745">
          <cell r="A1745" t="str">
            <v>00084588</v>
          </cell>
          <cell r="B1745" t="str">
            <v>2001-045-00 PL ACTION PLAN PRO</v>
          </cell>
        </row>
        <row r="1746">
          <cell r="A1746" t="str">
            <v>00083921</v>
          </cell>
          <cell r="B1746" t="str">
            <v>2001-046-00 PL CENTER FISH SCI</v>
          </cell>
        </row>
        <row r="1747">
          <cell r="A1747" t="str">
            <v>00084504</v>
          </cell>
          <cell r="B1747" t="str">
            <v>2001-047-00 PL REINTRO SUCCESS</v>
          </cell>
        </row>
        <row r="1748">
          <cell r="A1748" t="str">
            <v>00084377</v>
          </cell>
          <cell r="B1748" t="str">
            <v>2001-048-00 PL EDT</v>
          </cell>
        </row>
        <row r="1749">
          <cell r="A1749" t="str">
            <v>00084693</v>
          </cell>
          <cell r="B1749" t="str">
            <v>2001-049-00 PL SAFETY NET COOR</v>
          </cell>
        </row>
        <row r="1750">
          <cell r="A1750" t="str">
            <v>00093286</v>
          </cell>
          <cell r="B1750" t="str">
            <v>2001-051-00 PL LITTLE MORGON</v>
          </cell>
        </row>
        <row r="1751">
          <cell r="A1751" t="str">
            <v>00093292</v>
          </cell>
          <cell r="B1751" t="str">
            <v>2001-052-00 PL HAWLEY</v>
          </cell>
        </row>
        <row r="1752">
          <cell r="A1752" t="str">
            <v>00090384</v>
          </cell>
          <cell r="B1752" t="str">
            <v>2001-053-00 PL REINTRO OF COLU</v>
          </cell>
        </row>
        <row r="1753">
          <cell r="A1753" t="str">
            <v>00087675</v>
          </cell>
          <cell r="B1753" t="str">
            <v>2001-054-00 PL SUPPL FLOWS BUC</v>
          </cell>
        </row>
        <row r="1754">
          <cell r="A1754" t="str">
            <v>00088243</v>
          </cell>
          <cell r="B1754" t="str">
            <v>2001-055-00 PL SALMON RESPONSE</v>
          </cell>
        </row>
        <row r="1755">
          <cell r="A1755" t="str">
            <v>00093253</v>
          </cell>
          <cell r="B1755" t="str">
            <v>2001-056-00 PL TROUT CREEK STR</v>
          </cell>
        </row>
        <row r="1756">
          <cell r="A1756" t="str">
            <v>00092833</v>
          </cell>
          <cell r="B1756" t="str">
            <v>2001-058-00 PL REMOVAL OF GHOS</v>
          </cell>
        </row>
        <row r="1757">
          <cell r="A1757" t="str">
            <v>00091298</v>
          </cell>
          <cell r="B1757" t="str">
            <v>2001-059-00 PL SP&amp;SUMMER CHIN</v>
          </cell>
        </row>
        <row r="1758">
          <cell r="A1758" t="str">
            <v>00091718</v>
          </cell>
          <cell r="B1758" t="str">
            <v>2001-060-00 PL ADULT OUTPLANT</v>
          </cell>
        </row>
        <row r="1759">
          <cell r="A1759" t="str">
            <v>00097333</v>
          </cell>
          <cell r="B1759" t="str">
            <v>2001-061-00 PL TOUCHET R FLOW</v>
          </cell>
        </row>
        <row r="1760">
          <cell r="A1760" t="str">
            <v>00101770</v>
          </cell>
          <cell r="B1760" t="str">
            <v>2001-062-00 PL LOSTINE RIVER</v>
          </cell>
        </row>
        <row r="1761">
          <cell r="A1761" t="str">
            <v>00094635</v>
          </cell>
          <cell r="B1761" t="str">
            <v>2001-063-00 PL METHOW RIVER BA</v>
          </cell>
        </row>
        <row r="1762">
          <cell r="A1762" t="str">
            <v>00104641</v>
          </cell>
          <cell r="B1762" t="str">
            <v>2001-064-00 PL SIMCOE CREEK ST</v>
          </cell>
        </row>
        <row r="1763">
          <cell r="A1763" t="str">
            <v>00102414</v>
          </cell>
          <cell r="B1763" t="str">
            <v>2001-065-00 CI HANCOCK SP PASS</v>
          </cell>
        </row>
        <row r="1764">
          <cell r="A1764" t="str">
            <v>00106002</v>
          </cell>
          <cell r="B1764" t="str">
            <v>2001-065-00 PL HANCOCK SPRING</v>
          </cell>
        </row>
        <row r="1765">
          <cell r="A1765" t="str">
            <v>00090233</v>
          </cell>
          <cell r="B1765" t="str">
            <v>2001-066-00 PL LAKE ROOSEVELT</v>
          </cell>
        </row>
        <row r="1766">
          <cell r="A1766" t="str">
            <v>00093824</v>
          </cell>
          <cell r="B1766" t="str">
            <v>2001-067-00 CL LEMHI/SALMON PA</v>
          </cell>
        </row>
        <row r="1767">
          <cell r="A1767" t="str">
            <v>00093827</v>
          </cell>
          <cell r="B1767" t="str">
            <v>2001-068-00 PL LEMHI RIVER STR</v>
          </cell>
        </row>
        <row r="1768">
          <cell r="A1768" t="str">
            <v>00092750</v>
          </cell>
          <cell r="B1768" t="str">
            <v>2001-069-00 PL JOHN DAY STREA</v>
          </cell>
        </row>
        <row r="1769">
          <cell r="A1769" t="str">
            <v>00093750</v>
          </cell>
          <cell r="B1769" t="str">
            <v>2001-070-00 PL EDT MODEL EVAL</v>
          </cell>
        </row>
        <row r="1770">
          <cell r="A1770" t="str">
            <v>00107102</v>
          </cell>
          <cell r="B1770" t="str">
            <v>2001-071-00 PL WAPATOX WATER P</v>
          </cell>
        </row>
        <row r="1771">
          <cell r="A1771" t="str">
            <v>00090426</v>
          </cell>
          <cell r="B1771" t="str">
            <v>2001-074-00 PL NPPC REGIONAL</v>
          </cell>
        </row>
        <row r="1772">
          <cell r="A1772" t="str">
            <v>00092278</v>
          </cell>
          <cell r="B1772" t="str">
            <v>2001-075-00 PL WALLA WALLA BAS</v>
          </cell>
        </row>
        <row r="1773">
          <cell r="A1773" t="str">
            <v>00097324</v>
          </cell>
          <cell r="B1773" t="str">
            <v>2001-076-00 PL ACQUIRE TUCANNO</v>
          </cell>
        </row>
        <row r="1774">
          <cell r="A1774" t="str">
            <v>00095101</v>
          </cell>
          <cell r="B1774" t="str">
            <v>2001-078-00 CL EDT USFS VALIDA</v>
          </cell>
        </row>
        <row r="1775">
          <cell r="A1775" t="str">
            <v>00100530</v>
          </cell>
          <cell r="B1775" t="str">
            <v>2001-079-00  PL WA DOE WATER</v>
          </cell>
        </row>
        <row r="1776">
          <cell r="A1776" t="str">
            <v>00088856</v>
          </cell>
          <cell r="B1776" t="str">
            <v>200103200 HANGMAN CREEK FISHER</v>
          </cell>
        </row>
        <row r="1777">
          <cell r="A1777" t="str">
            <v>00088854</v>
          </cell>
          <cell r="B1777" t="str">
            <v>200103300  HANGMAN WATERSHED H</v>
          </cell>
        </row>
        <row r="1778">
          <cell r="A1778" t="str">
            <v>00088858</v>
          </cell>
          <cell r="B1778" t="str">
            <v>200103400 FORAGE QUALITY AND M</v>
          </cell>
        </row>
        <row r="1779">
          <cell r="A1779" t="str">
            <v>00110274</v>
          </cell>
          <cell r="B1779" t="str">
            <v>20012-057-00 PL WESTLAND-RAMOS</v>
          </cell>
        </row>
        <row r="1780">
          <cell r="A1780" t="str">
            <v>00096634</v>
          </cell>
          <cell r="B1780" t="str">
            <v>2002-001-00 PL CCT ELLISFORD</v>
          </cell>
        </row>
        <row r="1781">
          <cell r="A1781" t="str">
            <v>00103073</v>
          </cell>
          <cell r="B1781" t="str">
            <v>2002-002-00 PL FEAS. OF ENHAN</v>
          </cell>
        </row>
        <row r="1782">
          <cell r="A1782" t="str">
            <v>00100566</v>
          </cell>
          <cell r="B1782" t="str">
            <v>2002-004-00 PL SAFETY-NET ARTI</v>
          </cell>
        </row>
        <row r="1783">
          <cell r="A1783" t="str">
            <v>00101882</v>
          </cell>
          <cell r="B1783" t="str">
            <v>2002-004-01 PL SAFETY-NET ARTI</v>
          </cell>
        </row>
        <row r="1784">
          <cell r="A1784" t="str">
            <v>00105721</v>
          </cell>
          <cell r="B1784" t="str">
            <v>2002-004-02 PL SAFETY-NET ARTI</v>
          </cell>
        </row>
        <row r="1785">
          <cell r="A1785" t="str">
            <v>00101646</v>
          </cell>
          <cell r="B1785" t="str">
            <v>2002-004-04 PL SAFETY-NET ARTI</v>
          </cell>
        </row>
        <row r="1786">
          <cell r="A1786" t="str">
            <v>00100610</v>
          </cell>
          <cell r="B1786" t="str">
            <v>2002-005-00 PL FISHER FISHERIE</v>
          </cell>
        </row>
        <row r="1787">
          <cell r="A1787" t="str">
            <v>00106940</v>
          </cell>
          <cell r="B1787" t="str">
            <v>2002-006-00 PL BULL TROUT MOVE</v>
          </cell>
        </row>
        <row r="1788">
          <cell r="A1788" t="str">
            <v>00101769</v>
          </cell>
          <cell r="B1788" t="str">
            <v>2002-007-00 LOSTINE WATER RIGH</v>
          </cell>
        </row>
        <row r="1789">
          <cell r="A1789" t="str">
            <v>00103418</v>
          </cell>
          <cell r="B1789" t="str">
            <v>2002-007-00 PL RESTORE BT HAB</v>
          </cell>
        </row>
        <row r="1790">
          <cell r="A1790" t="str">
            <v>00103062</v>
          </cell>
          <cell r="B1790" t="str">
            <v>2002-008-00 PL RECONNECT FLDP</v>
          </cell>
        </row>
        <row r="1791">
          <cell r="A1791" t="str">
            <v>00106394</v>
          </cell>
          <cell r="B1791" t="str">
            <v>2002-008-00 PL RECONNECT FLDPL</v>
          </cell>
        </row>
        <row r="1792">
          <cell r="A1792" t="str">
            <v>00106480</v>
          </cell>
          <cell r="B1792" t="str">
            <v>2002-008-00 PL RECONNECT FLDPL</v>
          </cell>
        </row>
        <row r="1793">
          <cell r="A1793" t="str">
            <v>00103063</v>
          </cell>
          <cell r="B1793" t="str">
            <v>2002-009-00 OM LAKE PO PREDATO</v>
          </cell>
        </row>
        <row r="1794">
          <cell r="A1794" t="str">
            <v>00103064</v>
          </cell>
          <cell r="B1794" t="str">
            <v>2002-010-00 PL ACQUIRE AND CO</v>
          </cell>
        </row>
        <row r="1795">
          <cell r="A1795" t="str">
            <v>00103068</v>
          </cell>
          <cell r="B1795" t="str">
            <v>2002-011-00 PL OPER. LOSS</v>
          </cell>
        </row>
        <row r="1796">
          <cell r="A1796" t="str">
            <v>00101968</v>
          </cell>
          <cell r="B1796" t="str">
            <v>2002-012-00 PL LOWER COLUMBIA</v>
          </cell>
        </row>
        <row r="1797">
          <cell r="A1797" t="str">
            <v>00101780</v>
          </cell>
          <cell r="B1797" t="str">
            <v>2002-013-00 PL ANN SQUIER</v>
          </cell>
        </row>
        <row r="1798">
          <cell r="A1798" t="str">
            <v>00101778</v>
          </cell>
          <cell r="B1798" t="str">
            <v>2002-013-00 PL DAR CRAMMOND</v>
          </cell>
        </row>
        <row r="1799">
          <cell r="A1799" t="str">
            <v>00101776</v>
          </cell>
          <cell r="B1799" t="str">
            <v>2002-013-00 PL DON CHAPMAN</v>
          </cell>
        </row>
        <row r="1800">
          <cell r="A1800" t="str">
            <v>00103066</v>
          </cell>
          <cell r="B1800" t="str">
            <v>2002-014-00 PL SUNNYSIDE WL MI</v>
          </cell>
        </row>
        <row r="1801">
          <cell r="A1801" t="str">
            <v>00106552</v>
          </cell>
          <cell r="B1801" t="str">
            <v>2002-015-00 PL WATERSHED COUN</v>
          </cell>
        </row>
        <row r="1802">
          <cell r="A1802" t="str">
            <v>00104501</v>
          </cell>
          <cell r="B1802" t="str">
            <v>2002-015-00 PL WATERSHED COUNC</v>
          </cell>
        </row>
        <row r="1803">
          <cell r="A1803" t="str">
            <v>00104102</v>
          </cell>
          <cell r="B1803" t="str">
            <v>2002-016-00 PL LAMPREY ABUNDAN</v>
          </cell>
        </row>
        <row r="1804">
          <cell r="A1804" t="str">
            <v>00109046</v>
          </cell>
          <cell r="B1804" t="str">
            <v>2002-017-00 PL REGIONAL STREAM</v>
          </cell>
        </row>
        <row r="1805">
          <cell r="A1805" t="str">
            <v>00104519</v>
          </cell>
          <cell r="B1805" t="str">
            <v>2002-018-00 PL TAPTEAL BEND RI</v>
          </cell>
        </row>
        <row r="1806">
          <cell r="A1806" t="str">
            <v>00104448</v>
          </cell>
          <cell r="B1806" t="str">
            <v>2002-019-00 PL WACO RIPARIAN B</v>
          </cell>
        </row>
        <row r="1807">
          <cell r="A1807" t="str">
            <v>00106008</v>
          </cell>
          <cell r="B1807" t="str">
            <v>2002-020-00 PL HUNTSVILLE MILL</v>
          </cell>
        </row>
        <row r="1808">
          <cell r="A1808" t="str">
            <v>00105330</v>
          </cell>
          <cell r="B1808" t="str">
            <v>2002-021-00 PL REDUCE WATER TE</v>
          </cell>
        </row>
        <row r="1809">
          <cell r="A1809" t="str">
            <v>00114555</v>
          </cell>
          <cell r="B1809" t="str">
            <v>2002-022-00 PL BIG CREEK PASSA</v>
          </cell>
        </row>
        <row r="1810">
          <cell r="A1810" t="str">
            <v>00106314</v>
          </cell>
          <cell r="B1810" t="str">
            <v>2002-025-00 PL YAKIMA TRIBUTAR</v>
          </cell>
        </row>
        <row r="1811">
          <cell r="A1811" t="str">
            <v>00115719</v>
          </cell>
          <cell r="B1811" t="str">
            <v>2002-025-01 PL YAKIMA TRIBUTAR</v>
          </cell>
        </row>
        <row r="1812">
          <cell r="A1812" t="str">
            <v>00104450</v>
          </cell>
          <cell r="B1812" t="str">
            <v>2002-026-00 PL MORROW COUNTY R</v>
          </cell>
        </row>
        <row r="1813">
          <cell r="A1813" t="str">
            <v>00105328</v>
          </cell>
          <cell r="B1813" t="str">
            <v>2002-027-00 PL LOWER SNAKE HYD</v>
          </cell>
        </row>
        <row r="1814">
          <cell r="A1814" t="str">
            <v>00104526</v>
          </cell>
          <cell r="B1814" t="str">
            <v>2002-029-00 PL FISH PASSAGE WD</v>
          </cell>
        </row>
        <row r="1815">
          <cell r="A1815" t="str">
            <v>00106007</v>
          </cell>
          <cell r="B1815" t="str">
            <v>2002-030-00 PL PROGENY MARKERS</v>
          </cell>
        </row>
        <row r="1816">
          <cell r="A1816" t="str">
            <v>00104103</v>
          </cell>
          <cell r="B1816" t="str">
            <v>2002-031-00 PL SPRING CHINOOK</v>
          </cell>
        </row>
        <row r="1817">
          <cell r="A1817" t="str">
            <v>00104100</v>
          </cell>
          <cell r="B1817" t="str">
            <v>2002-032-00 PL FALL CHINOOK PA</v>
          </cell>
        </row>
        <row r="1818">
          <cell r="A1818" t="str">
            <v>00110824</v>
          </cell>
          <cell r="B1818" t="str">
            <v>2002-033-00 PL JOHN DAY RECOVE</v>
          </cell>
        </row>
        <row r="1819">
          <cell r="A1819" t="str">
            <v>00104507</v>
          </cell>
          <cell r="B1819" t="str">
            <v>2002-034-00 PL WHEELER COUNTY</v>
          </cell>
        </row>
        <row r="1820">
          <cell r="A1820" t="str">
            <v>00104502</v>
          </cell>
          <cell r="B1820" t="str">
            <v>2002-035-00 PL GILLIAM COUNTY</v>
          </cell>
        </row>
        <row r="1821">
          <cell r="A1821" t="str">
            <v>00105423</v>
          </cell>
          <cell r="B1821" t="str">
            <v>2002-036-00 PL WW RIVER FLOW R</v>
          </cell>
        </row>
        <row r="1822">
          <cell r="A1822" t="str">
            <v>00104101</v>
          </cell>
          <cell r="B1822" t="str">
            <v>2002-037-00 PL FRESHWATER MUSS</v>
          </cell>
        </row>
        <row r="1823">
          <cell r="A1823" t="str">
            <v>00108440</v>
          </cell>
          <cell r="B1823" t="str">
            <v>2002-038-00 PL HABITAT ACQUISI</v>
          </cell>
        </row>
        <row r="1824">
          <cell r="A1824" t="str">
            <v>00105687</v>
          </cell>
          <cell r="B1824" t="str">
            <v>2002-039-00 PL SMITH CREEK RES</v>
          </cell>
        </row>
        <row r="1825">
          <cell r="A1825" t="str">
            <v>00105723</v>
          </cell>
          <cell r="B1825" t="str">
            <v>2002-04-03 PL SAFETY-NET ARTIF</v>
          </cell>
        </row>
        <row r="1826">
          <cell r="A1826" t="str">
            <v>00109306</v>
          </cell>
          <cell r="B1826" t="str">
            <v>2002-040-00 PL SQUAW CREEK CUL</v>
          </cell>
        </row>
        <row r="1827">
          <cell r="A1827" t="str">
            <v>00104528</v>
          </cell>
          <cell r="B1827" t="str">
            <v>2002-041-00 PL COLUMBIA CASCA</v>
          </cell>
        </row>
        <row r="1828">
          <cell r="A1828" t="str">
            <v>00104435</v>
          </cell>
          <cell r="B1828" t="str">
            <v>2002-043-00 ME GENETIC INVENTO</v>
          </cell>
        </row>
        <row r="1829">
          <cell r="A1829" t="str">
            <v>00104440</v>
          </cell>
          <cell r="B1829" t="str">
            <v>2002-044-00 PL FISHER PURCHASE</v>
          </cell>
        </row>
        <row r="1830">
          <cell r="A1830" t="str">
            <v>00105696</v>
          </cell>
          <cell r="B1830" t="str">
            <v>2002-046-00 PL FISH ALIGNMENT</v>
          </cell>
        </row>
        <row r="1831">
          <cell r="A1831" t="str">
            <v>00111870</v>
          </cell>
          <cell r="B1831" t="str">
            <v>2002-046-00 PL FISH ALIGNMENT</v>
          </cell>
        </row>
        <row r="1832">
          <cell r="A1832" t="str">
            <v>00106006</v>
          </cell>
          <cell r="B1832" t="str">
            <v>2002-047-00 ART PROD REVIEW</v>
          </cell>
        </row>
        <row r="1833">
          <cell r="A1833" t="str">
            <v>00105355</v>
          </cell>
          <cell r="B1833" t="str">
            <v>2002-048-00 PL IMPLEMENT BIOP</v>
          </cell>
        </row>
        <row r="1834">
          <cell r="A1834" t="str">
            <v>00109308</v>
          </cell>
          <cell r="B1834" t="str">
            <v>2002-049-00 PL CHINOOK SALMON</v>
          </cell>
        </row>
        <row r="1835">
          <cell r="A1835" t="str">
            <v>00117709</v>
          </cell>
          <cell r="B1835" t="str">
            <v>2002-050-00 PL ASOTIN COUNTY B</v>
          </cell>
        </row>
        <row r="1836">
          <cell r="A1836" t="str">
            <v>00107723</v>
          </cell>
          <cell r="B1836" t="str">
            <v>2002-051-00 PL SUBBASIN PLANNI</v>
          </cell>
        </row>
        <row r="1837">
          <cell r="A1837" t="str">
            <v>00118694</v>
          </cell>
          <cell r="B1837" t="str">
            <v>2002-051-00 PL SUBBASIN PLANNI</v>
          </cell>
        </row>
        <row r="1838">
          <cell r="A1838" t="str">
            <v>00118716</v>
          </cell>
          <cell r="B1838" t="str">
            <v>2002-051-00 PL SUBBASIN PLANNI</v>
          </cell>
        </row>
        <row r="1839">
          <cell r="A1839" t="str">
            <v>00118688</v>
          </cell>
          <cell r="B1839" t="str">
            <v>2002-051-04  PL SUBBASIN PLANN</v>
          </cell>
        </row>
        <row r="1840">
          <cell r="A1840" t="str">
            <v>00108110</v>
          </cell>
          <cell r="B1840" t="str">
            <v>2002-052-00 PL NACHES RIVER WA</v>
          </cell>
        </row>
        <row r="1841">
          <cell r="A1841" t="str">
            <v>00110343</v>
          </cell>
          <cell r="B1841" t="str">
            <v>2002-054-00 PL PROTECT AND RES</v>
          </cell>
        </row>
        <row r="1842">
          <cell r="A1842" t="str">
            <v>00117422</v>
          </cell>
          <cell r="B1842" t="str">
            <v>2002-055-00 OREGON PLAN FISH S</v>
          </cell>
        </row>
        <row r="1843">
          <cell r="A1843" t="str">
            <v>00114056</v>
          </cell>
          <cell r="B1843" t="str">
            <v>2002-058-00 PL SCARROW EASEMEN</v>
          </cell>
        </row>
        <row r="1844">
          <cell r="A1844" t="str">
            <v>00111809</v>
          </cell>
          <cell r="B1844" t="str">
            <v>2002-059-00 PL YANKEE FORK SAL</v>
          </cell>
        </row>
        <row r="1845">
          <cell r="A1845" t="str">
            <v>00114046</v>
          </cell>
          <cell r="B1845" t="str">
            <v>2002-061-00 PL POTLACH RIVER W</v>
          </cell>
        </row>
        <row r="1846">
          <cell r="A1846" t="str">
            <v>00115544</v>
          </cell>
          <cell r="B1846" t="str">
            <v>2002-061-00 PL POTLACH RIVER W</v>
          </cell>
        </row>
        <row r="1847">
          <cell r="A1847" t="str">
            <v>00111799</v>
          </cell>
          <cell r="B1847" t="str">
            <v>2002-063-00 PL PAHSIMEROI HOLI</v>
          </cell>
        </row>
        <row r="1848">
          <cell r="A1848" t="str">
            <v>00111807</v>
          </cell>
          <cell r="B1848" t="str">
            <v>2002-064-00 PL LEMHI HOLISTIC</v>
          </cell>
        </row>
        <row r="1849">
          <cell r="A1849" t="str">
            <v>00111801</v>
          </cell>
          <cell r="B1849" t="str">
            <v>2002-065-00  PL EAST FORK HOLI</v>
          </cell>
        </row>
        <row r="1850">
          <cell r="A1850" t="str">
            <v>00111804</v>
          </cell>
          <cell r="B1850" t="str">
            <v>2002-066-00 PL MIDDLE SALMON P</v>
          </cell>
        </row>
        <row r="1851">
          <cell r="A1851" t="str">
            <v>00111805</v>
          </cell>
          <cell r="B1851" t="str">
            <v>2002-067-00 PL UPPER SALMON HO</v>
          </cell>
        </row>
        <row r="1852">
          <cell r="A1852" t="str">
            <v>00114049</v>
          </cell>
          <cell r="B1852" t="str">
            <v>2002-069-00 PL PROTECT &amp; RESTO</v>
          </cell>
        </row>
        <row r="1853">
          <cell r="A1853" t="str">
            <v>00114052</v>
          </cell>
          <cell r="B1853" t="str">
            <v>2002-070-00 PL LAPWAI CREEK AN</v>
          </cell>
        </row>
        <row r="1854">
          <cell r="A1854" t="str">
            <v>00110797</v>
          </cell>
          <cell r="B1854" t="str">
            <v>2002-071-00 PL DEVELOPMENT OF</v>
          </cell>
        </row>
        <row r="1855">
          <cell r="A1855" t="str">
            <v>00114053</v>
          </cell>
          <cell r="B1855" t="str">
            <v>2002-072-00 PL RED RIVER WATER</v>
          </cell>
        </row>
        <row r="1856">
          <cell r="A1856" t="str">
            <v>00114055</v>
          </cell>
          <cell r="B1856" t="str">
            <v>2002-074-00 PL CROOKED FORK CR</v>
          </cell>
        </row>
        <row r="1857">
          <cell r="A1857" t="str">
            <v>00114048</v>
          </cell>
          <cell r="B1857" t="str">
            <v>2002-076-00 PROTECT &amp; RESTORE</v>
          </cell>
        </row>
        <row r="1858">
          <cell r="A1858" t="str">
            <v>00114012</v>
          </cell>
          <cell r="B1858" t="str">
            <v>2002-077-00 PL ESTUARY/OCEAN R</v>
          </cell>
        </row>
        <row r="1859">
          <cell r="A1859" t="str">
            <v>00114192</v>
          </cell>
          <cell r="B1859" t="str">
            <v>2002-078-00 - SNAKE RIVER HYPO</v>
          </cell>
        </row>
        <row r="1860">
          <cell r="A1860" t="str">
            <v>00108753</v>
          </cell>
          <cell r="B1860" t="str">
            <v>200201300:PL:Water Entity 151</v>
          </cell>
        </row>
        <row r="1861">
          <cell r="A1861" t="str">
            <v>00118648</v>
          </cell>
          <cell r="B1861" t="str">
            <v>200205100 SUBBASIN PLANNING</v>
          </cell>
        </row>
        <row r="1862">
          <cell r="A1862" t="str">
            <v>00118590</v>
          </cell>
          <cell r="B1862" t="str">
            <v>2002051032 SUBBASIN PLANNING -</v>
          </cell>
        </row>
        <row r="1863">
          <cell r="A1863" t="str">
            <v>00002930</v>
          </cell>
          <cell r="B1863" t="str">
            <v>EXCESS DRAW HUNGRY HORSE &amp; RES</v>
          </cell>
        </row>
        <row r="1864">
          <cell r="A1864" t="str">
            <v>00002931</v>
          </cell>
          <cell r="B1864" t="str">
            <v>EXCESS DRAW HUNGRY HORSE RES C</v>
          </cell>
        </row>
        <row r="1865">
          <cell r="A1865" t="str">
            <v>00002255</v>
          </cell>
          <cell r="B1865" t="str">
            <v>EXPRMNTL STURG HTCH&amp;KOOTENAI W</v>
          </cell>
        </row>
        <row r="1866">
          <cell r="A1866" t="str">
            <v>00002728</v>
          </cell>
          <cell r="B1866" t="str">
            <v>FLATHEAD R INSTREAM</v>
          </cell>
        </row>
        <row r="1867">
          <cell r="A1867" t="str">
            <v>00003062</v>
          </cell>
          <cell r="B1867" t="str">
            <v>FLATHEAD RIVER NATIVE SPECIES</v>
          </cell>
        </row>
        <row r="1868">
          <cell r="A1868" t="str">
            <v>00002743</v>
          </cell>
          <cell r="B1868" t="str">
            <v>GRANDE RONDE SUPP</v>
          </cell>
        </row>
        <row r="1869">
          <cell r="A1869" t="str">
            <v>00002308</v>
          </cell>
          <cell r="B1869" t="str">
            <v>HUNGRY HORSE MIT FLATHEAD LAKE</v>
          </cell>
        </row>
        <row r="1870">
          <cell r="A1870" t="str">
            <v>00002309</v>
          </cell>
          <cell r="B1870" t="str">
            <v>HUNGRY HORSE MIT/HABITA IMPROV</v>
          </cell>
        </row>
        <row r="1871">
          <cell r="A1871" t="str">
            <v>00007868</v>
          </cell>
          <cell r="B1871" t="str">
            <v>HYDROACOUSTIC &amp; SONIC TAG TRAC</v>
          </cell>
        </row>
        <row r="1872">
          <cell r="A1872" t="str">
            <v>00002457</v>
          </cell>
          <cell r="B1872" t="str">
            <v>JUV SCREENS,SMOLT TRAPS AT WAL</v>
          </cell>
        </row>
        <row r="1873">
          <cell r="A1873" t="str">
            <v>00002256</v>
          </cell>
          <cell r="B1873" t="str">
            <v>KOOTENAI RV FISHERIES INVESTIG</v>
          </cell>
        </row>
        <row r="1874">
          <cell r="A1874" t="str">
            <v>00002408</v>
          </cell>
          <cell r="B1874" t="str">
            <v>KOOTENAI RV RES FISH ASSESSMNT</v>
          </cell>
        </row>
        <row r="1875">
          <cell r="A1875" t="str">
            <v>00002422</v>
          </cell>
          <cell r="B1875" t="str">
            <v>LIBBY RESERVOIR MITIGATION PLA</v>
          </cell>
        </row>
        <row r="1876">
          <cell r="A1876" t="str">
            <v>00020090</v>
          </cell>
          <cell r="B1876" t="str">
            <v>LOSTINE RIVER PASSAGE</v>
          </cell>
        </row>
        <row r="1877">
          <cell r="A1877" t="str">
            <v>00003061</v>
          </cell>
          <cell r="B1877" t="str">
            <v>MITIGATION EXCESSIVE DRAWDOWNS</v>
          </cell>
        </row>
        <row r="1878">
          <cell r="A1878" t="str">
            <v>00002544</v>
          </cell>
          <cell r="B1878" t="str">
            <v>MONTANA FOCUS WATERSHED COORDN</v>
          </cell>
        </row>
        <row r="1879">
          <cell r="A1879" t="str">
            <v>00002545</v>
          </cell>
          <cell r="B1879" t="str">
            <v>MONTANA FOCUS WATERSHED COORDN</v>
          </cell>
        </row>
        <row r="1880">
          <cell r="A1880" t="str">
            <v>00002218</v>
          </cell>
          <cell r="B1880" t="str">
            <v>NEZ PERCE TRIBAL HATCHERY -C</v>
          </cell>
        </row>
        <row r="1881">
          <cell r="A1881" t="str">
            <v>00002235</v>
          </cell>
          <cell r="B1881" t="str">
            <v>PASSAGE IMPROVEMENT EVALUATION</v>
          </cell>
        </row>
        <row r="1882">
          <cell r="A1882" t="str">
            <v>00002857</v>
          </cell>
          <cell r="B1882" t="str">
            <v>PRE DESIGN-JOHNSON CR ART PROP</v>
          </cell>
        </row>
        <row r="1883">
          <cell r="A1883" t="str">
            <v>00002855</v>
          </cell>
          <cell r="B1883" t="str">
            <v>SITE INVESTIGATION ALLOTMENT</v>
          </cell>
        </row>
        <row r="1884">
          <cell r="A1884" t="str">
            <v>00002266</v>
          </cell>
          <cell r="B1884" t="str">
            <v>STEELHEAD &amp; FALL CHINK PRODUCT</v>
          </cell>
        </row>
        <row r="1885">
          <cell r="A1885" t="str">
            <v>00106551</v>
          </cell>
          <cell r="B1885" t="str">
            <v>TEST WORKORDER</v>
          </cell>
        </row>
        <row r="1886">
          <cell r="A1886" t="str">
            <v>00110201</v>
          </cell>
          <cell r="B1886" t="str">
            <v>TRT TASKS</v>
          </cell>
        </row>
        <row r="1887">
          <cell r="A1887" t="str">
            <v>00002965</v>
          </cell>
          <cell r="B1887" t="str">
            <v>WHITE STURGEON SUPP RESEARCH</v>
          </cell>
        </row>
      </sheetData>
      <sheetData sheetId="2" refreshError="1"/>
      <sheetData sheetId="3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4.04"/>
      <sheetName val="FR.Rev"/>
      <sheetName val="18230042"/>
      <sheetName val="SAP Download"/>
      <sheetName val="SAP.Revenue"/>
      <sheetName val="BS"/>
      <sheetName val="BS (2)"/>
      <sheetName val="Muni Taxes"/>
      <sheetName val="Summary"/>
      <sheetName val="SAP LOW INCOME"/>
      <sheetName val="LowInc BILLED"/>
      <sheetName val="2006"/>
      <sheetName val="2004GRC"/>
      <sheetName val="Sheet1"/>
    </sheetNames>
    <sheetDataSet>
      <sheetData sheetId="0"/>
      <sheetData sheetId="1" refreshError="1">
        <row r="6">
          <cell r="A6" t="str">
            <v xml:space="preserve">                                                                                        FOR THE TWELVE MONTHS ENDING SEPTEMBER 30, 2006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Mthly Detail"/>
      <sheetName val="QTD"/>
      <sheetName val="QTD Detail"/>
      <sheetName val="YTD"/>
      <sheetName val="YTD Detail"/>
      <sheetName val="12ME"/>
      <sheetName val="12ME Detail"/>
      <sheetName val="MSC"/>
      <sheetName val="Warehouse"/>
    </sheetNames>
    <sheetDataSet>
      <sheetData sheetId="0" refreshError="1"/>
      <sheetData sheetId="1" refreshError="1"/>
      <sheetData sheetId="2" refreshError="1">
        <row r="11">
          <cell r="B11">
            <v>114544123.58</v>
          </cell>
          <cell r="D11">
            <v>115427962.81</v>
          </cell>
        </row>
        <row r="35">
          <cell r="B35">
            <v>9477596.2200000007</v>
          </cell>
          <cell r="D35">
            <v>8390085.5700000003</v>
          </cell>
        </row>
      </sheetData>
      <sheetData sheetId="3" refreshError="1"/>
      <sheetData sheetId="4" refreshError="1">
        <row r="13">
          <cell r="B13">
            <v>442274679.98000002</v>
          </cell>
          <cell r="D13">
            <v>456053669.91000003</v>
          </cell>
        </row>
        <row r="36">
          <cell r="B36">
            <v>30680704.5</v>
          </cell>
          <cell r="D36">
            <v>28211360.780000001</v>
          </cell>
        </row>
      </sheetData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X-Dox"/>
      <sheetName val="Process"/>
      <sheetName val="Codes"/>
      <sheetName val="KWH RVN Inputs"/>
      <sheetName val="CSS Variance"/>
      <sheetName val="OR Inputs"/>
      <sheetName val="OR Direct Access"/>
      <sheetName val="UT Inputs"/>
      <sheetName val="UT Codes"/>
      <sheetName val="Sch 47 Unscheduled KWH"/>
      <sheetName val="CA CARE"/>
      <sheetName val="RAC Deferral"/>
      <sheetName val="Property Sales"/>
      <sheetName val="MEHC CIC Reg Asset"/>
      <sheetName val="Grid West Reg Asset"/>
      <sheetName val="2010 Protocol"/>
      <sheetName val="OSIP"/>
      <sheetName val="WA SBC"/>
      <sheetName val="CA Public Purpose"/>
      <sheetName val="CA CSI"/>
      <sheetName val="UT SI"/>
      <sheetName val="DSM Surcharge Inputs"/>
      <sheetName val="DSM Surcharge Codes"/>
      <sheetName val="Utah DSM"/>
      <sheetName val="Idaho DSM"/>
      <sheetName val="Wyoming DSM"/>
      <sheetName val="Module2"/>
      <sheetName val="Wyoming DSM (Offset Credit)"/>
      <sheetName val="Prorations&gt;&gt;&gt;"/>
      <sheetName val="Prorate 01-12 - Supply"/>
      <sheetName val="Prorate 01-12"/>
      <sheetName val="Prorate 02-12"/>
      <sheetName val="Prorate 03-12"/>
      <sheetName val="Prorate 05-12"/>
      <sheetName val="Prorate 06-12"/>
      <sheetName val="Prorate 07-12"/>
      <sheetName val="WA Prorate 07-12"/>
      <sheetName val="WA Prorate 08-12"/>
      <sheetName val="WA Prorate 09-12"/>
      <sheetName val="Prorate 11-12"/>
      <sheetName val="Prorate 12-12 "/>
      <sheetName val="Prorate 05-11"/>
      <sheetName val="Prorate 06-11"/>
      <sheetName val="Prorate 07-11"/>
      <sheetName val="WA Prorate 07-11"/>
      <sheetName val="SCRInput"/>
      <sheetName val="0103 Proration (191)"/>
      <sheetName val="CA Pub Purp"/>
      <sheetName val="Reasonableness"/>
    </sheetNames>
    <sheetDataSet>
      <sheetData sheetId="0" refreshError="1"/>
      <sheetData sheetId="1" refreshError="1"/>
      <sheetData sheetId="2" refreshError="1">
        <row r="1">
          <cell r="A1" t="str">
            <v>Code</v>
          </cell>
          <cell r="B1" t="str">
            <v>Description</v>
          </cell>
          <cell r="C1" t="str">
            <v>Rate</v>
          </cell>
        </row>
        <row r="2">
          <cell r="A2">
            <v>10088</v>
          </cell>
          <cell r="B2" t="str">
            <v>UNBILLED REVENUE</v>
          </cell>
          <cell r="C2">
            <v>88</v>
          </cell>
          <cell r="F2" t="str">
            <v>COMMERCIAL SALES</v>
          </cell>
          <cell r="G2" t="str">
            <v>COM</v>
          </cell>
        </row>
        <row r="3">
          <cell r="A3">
            <v>10089</v>
          </cell>
          <cell r="B3" t="str">
            <v>IRRIGATION UNBILLED</v>
          </cell>
          <cell r="C3">
            <v>89</v>
          </cell>
          <cell r="F3" t="str">
            <v>INDUSTRIAL SALES</v>
          </cell>
          <cell r="G3" t="str">
            <v>IND</v>
          </cell>
        </row>
        <row r="4">
          <cell r="A4">
            <v>11146</v>
          </cell>
          <cell r="B4" t="str">
            <v>OR ENRGY COST RECOV AMORT</v>
          </cell>
          <cell r="C4" t="str">
            <v>AGA</v>
          </cell>
          <cell r="F4" t="str">
            <v>IRRIGATION SALES</v>
          </cell>
          <cell r="G4" t="str">
            <v>IND</v>
          </cell>
        </row>
        <row r="5">
          <cell r="A5">
            <v>11147</v>
          </cell>
          <cell r="B5" t="str">
            <v>OR ENRGY COST RECOV AMORT</v>
          </cell>
          <cell r="C5" t="str">
            <v>AGA</v>
          </cell>
          <cell r="F5" t="str">
            <v>OTHER SALES TO PUBLIC AUTH</v>
          </cell>
          <cell r="G5" t="str">
            <v>OSP</v>
          </cell>
        </row>
        <row r="6">
          <cell r="A6">
            <v>20001</v>
          </cell>
          <cell r="B6" t="str">
            <v>01APSV0041-AG PMP SRVC BP</v>
          </cell>
          <cell r="C6">
            <v>41</v>
          </cell>
          <cell r="F6" t="str">
            <v>PUBLIC STREET&amp;HIGHWAY LIGHTING</v>
          </cell>
          <cell r="G6" t="str">
            <v>PSH</v>
          </cell>
        </row>
        <row r="7">
          <cell r="A7">
            <v>20009</v>
          </cell>
          <cell r="B7" t="str">
            <v>01APSV041X-AG PMP SRVC</v>
          </cell>
          <cell r="C7">
            <v>41</v>
          </cell>
          <cell r="F7" t="str">
            <v>RESIDENTIAL SALES</v>
          </cell>
          <cell r="G7" t="str">
            <v>RES</v>
          </cell>
        </row>
        <row r="8">
          <cell r="A8">
            <v>20037</v>
          </cell>
          <cell r="B8" t="str">
            <v>01CHCK000N-NRES CHECK MTR</v>
          </cell>
          <cell r="C8" t="str">
            <v>AGA</v>
          </cell>
          <cell r="F8" t="str">
            <v>INTERDEPARTMENTAL</v>
          </cell>
          <cell r="G8" t="str">
            <v>ICU</v>
          </cell>
        </row>
        <row r="9">
          <cell r="A9">
            <v>20043</v>
          </cell>
          <cell r="B9" t="str">
            <v>01COSL0052-STR LGT SRVC C</v>
          </cell>
          <cell r="C9">
            <v>52</v>
          </cell>
          <cell r="F9" t="str">
            <v>ERROR</v>
          </cell>
          <cell r="G9" t="str">
            <v>ERR</v>
          </cell>
        </row>
        <row r="10">
          <cell r="A10">
            <v>20044</v>
          </cell>
          <cell r="B10" t="str">
            <v>01CUSL053F-STR LGT SRVC C</v>
          </cell>
          <cell r="C10">
            <v>53</v>
          </cell>
        </row>
        <row r="11">
          <cell r="A11">
            <v>20047</v>
          </cell>
          <cell r="B11" t="str">
            <v>01GNSV0024-GEN SRVC DOM/F</v>
          </cell>
          <cell r="C11">
            <v>24</v>
          </cell>
        </row>
        <row r="12">
          <cell r="A12">
            <v>20049</v>
          </cell>
          <cell r="B12" t="str">
            <v>01GNSV0025-GEN SRVC</v>
          </cell>
          <cell r="C12">
            <v>25</v>
          </cell>
        </row>
        <row r="13">
          <cell r="A13">
            <v>20052</v>
          </cell>
          <cell r="B13" t="str">
            <v>01GNSV025F-GEN SRVC-FL RA</v>
          </cell>
          <cell r="C13">
            <v>25</v>
          </cell>
        </row>
        <row r="14">
          <cell r="A14">
            <v>20053</v>
          </cell>
          <cell r="B14" t="str">
            <v>01GNSV025M-GEN SRVC MANUA</v>
          </cell>
          <cell r="C14">
            <v>25</v>
          </cell>
        </row>
        <row r="15">
          <cell r="A15">
            <v>20057</v>
          </cell>
          <cell r="B15" t="str">
            <v>01HPSV0051-HI PRESSURE SO</v>
          </cell>
          <cell r="C15" t="str">
            <v>51 / 55</v>
          </cell>
        </row>
        <row r="16">
          <cell r="A16">
            <v>20062</v>
          </cell>
          <cell r="B16" t="str">
            <v>01LGSV048M-LRG GEN SRVC 1</v>
          </cell>
          <cell r="C16">
            <v>48</v>
          </cell>
        </row>
        <row r="17">
          <cell r="A17">
            <v>20063</v>
          </cell>
          <cell r="B17" t="str">
            <v>01LGSV048T-LRG GEN SRVC T</v>
          </cell>
          <cell r="C17">
            <v>48</v>
          </cell>
        </row>
        <row r="18">
          <cell r="A18">
            <v>20068</v>
          </cell>
          <cell r="B18" t="str">
            <v>01LNX00100-LINE EXT 60% G</v>
          </cell>
          <cell r="C18" t="str">
            <v>AGA</v>
          </cell>
        </row>
        <row r="19">
          <cell r="A19">
            <v>20071</v>
          </cell>
          <cell r="B19" t="str">
            <v>01LNX00102-LINE EXT 80% G</v>
          </cell>
          <cell r="C19" t="str">
            <v>AGA</v>
          </cell>
        </row>
        <row r="20">
          <cell r="A20">
            <v>20072</v>
          </cell>
          <cell r="B20" t="str">
            <v>01LNX00102-LINE EXT 80% G</v>
          </cell>
          <cell r="C20" t="str">
            <v>AGA</v>
          </cell>
        </row>
        <row r="21">
          <cell r="A21">
            <v>20073</v>
          </cell>
          <cell r="B21" t="str">
            <v>01LNX00103-LINE EXT 80% G</v>
          </cell>
          <cell r="C21" t="str">
            <v>AGA</v>
          </cell>
        </row>
        <row r="22">
          <cell r="A22">
            <v>20074</v>
          </cell>
          <cell r="B22" t="str">
            <v>01LNX00103-LINE EXT 80% G</v>
          </cell>
          <cell r="C22" t="str">
            <v>AGA</v>
          </cell>
        </row>
        <row r="23">
          <cell r="A23">
            <v>20078</v>
          </cell>
          <cell r="B23" t="str">
            <v>01LNX00105-CNTRCT $ MIN G</v>
          </cell>
          <cell r="C23" t="str">
            <v>AGA</v>
          </cell>
        </row>
        <row r="24">
          <cell r="A24">
            <v>20083</v>
          </cell>
          <cell r="B24" t="str">
            <v>01LNX00109-REF/NREF ADV +</v>
          </cell>
          <cell r="C24" t="str">
            <v>AGA</v>
          </cell>
        </row>
        <row r="25">
          <cell r="A25">
            <v>20084</v>
          </cell>
          <cell r="B25" t="str">
            <v>01LNX00109-REF/NREF ADV +</v>
          </cell>
          <cell r="C25" t="str">
            <v>AGA</v>
          </cell>
        </row>
        <row r="26">
          <cell r="A26">
            <v>20085</v>
          </cell>
          <cell r="B26" t="str">
            <v>01LNX00110-REF/NREF ADV +</v>
          </cell>
          <cell r="C26" t="str">
            <v>AGA</v>
          </cell>
        </row>
        <row r="27">
          <cell r="A27">
            <v>20086</v>
          </cell>
          <cell r="B27" t="str">
            <v>01LNX00110-REF/NREF ADV +</v>
          </cell>
          <cell r="C27" t="str">
            <v>AGA</v>
          </cell>
        </row>
        <row r="28">
          <cell r="A28">
            <v>20098</v>
          </cell>
          <cell r="B28" t="str">
            <v>01LPRS047M-PART REQ SRVC</v>
          </cell>
          <cell r="C28">
            <v>47</v>
          </cell>
        </row>
        <row r="29">
          <cell r="A29">
            <v>20103</v>
          </cell>
          <cell r="B29" t="str">
            <v>01MVSL0050-MERC VAPSTR LG</v>
          </cell>
          <cell r="C29">
            <v>50</v>
          </cell>
        </row>
        <row r="30">
          <cell r="A30">
            <v>20104</v>
          </cell>
          <cell r="B30" t="str">
            <v>01OALT014N-OUTD AR LGT NR</v>
          </cell>
          <cell r="C30">
            <v>14</v>
          </cell>
        </row>
        <row r="31">
          <cell r="A31">
            <v>20106</v>
          </cell>
          <cell r="B31" t="str">
            <v>01OALT014R-OUTD AR LGT RE</v>
          </cell>
          <cell r="C31">
            <v>14</v>
          </cell>
        </row>
        <row r="32">
          <cell r="A32">
            <v>20108</v>
          </cell>
          <cell r="B32" t="str">
            <v>01OALT015N-OUTD AR LGT NR</v>
          </cell>
          <cell r="C32">
            <v>15</v>
          </cell>
        </row>
        <row r="33">
          <cell r="A33">
            <v>20109</v>
          </cell>
          <cell r="B33" t="str">
            <v>01OALT015R-OUTD AR LGT RE</v>
          </cell>
          <cell r="C33">
            <v>15</v>
          </cell>
        </row>
        <row r="34">
          <cell r="A34">
            <v>20112</v>
          </cell>
          <cell r="B34" t="str">
            <v>01PRSV036M-SML PART REQ S</v>
          </cell>
          <cell r="C34">
            <v>36</v>
          </cell>
        </row>
        <row r="35">
          <cell r="A35">
            <v>20113</v>
          </cell>
          <cell r="B35" t="str">
            <v>01RCFL0054-REC FIELD LGT</v>
          </cell>
          <cell r="C35">
            <v>54</v>
          </cell>
        </row>
        <row r="36">
          <cell r="A36">
            <v>20116</v>
          </cell>
          <cell r="B36" t="str">
            <v>01RESD0004-RES SRVC</v>
          </cell>
          <cell r="C36">
            <v>4</v>
          </cell>
        </row>
        <row r="37">
          <cell r="A37">
            <v>20120</v>
          </cell>
          <cell r="B37" t="str">
            <v>01RESD0013-3 PHASE RES SR</v>
          </cell>
          <cell r="C37">
            <v>13</v>
          </cell>
        </row>
        <row r="38">
          <cell r="A38">
            <v>20122</v>
          </cell>
          <cell r="B38" t="str">
            <v>01RESD013X-3 PHASE RES10K</v>
          </cell>
          <cell r="C38">
            <v>13</v>
          </cell>
        </row>
        <row r="39">
          <cell r="A39">
            <v>20128</v>
          </cell>
          <cell r="B39" t="str">
            <v>01SLX00005-KLAMATH FALLS</v>
          </cell>
          <cell r="C39" t="str">
            <v>AGA</v>
          </cell>
        </row>
        <row r="40">
          <cell r="A40">
            <v>20136</v>
          </cell>
          <cell r="B40" t="str">
            <v>01SLX00013-K FALLS IRG MI</v>
          </cell>
          <cell r="C40" t="str">
            <v>AGA</v>
          </cell>
        </row>
        <row r="41">
          <cell r="A41">
            <v>20137</v>
          </cell>
          <cell r="B41" t="str">
            <v>01SLX00014-K FALLS IRG MI</v>
          </cell>
          <cell r="C41" t="str">
            <v>AGA</v>
          </cell>
        </row>
        <row r="42">
          <cell r="A42">
            <v>20146</v>
          </cell>
          <cell r="B42" t="str">
            <v>01UKRB0035-KLAMATH BASIN</v>
          </cell>
          <cell r="C42">
            <v>35</v>
          </cell>
        </row>
        <row r="43">
          <cell r="A43">
            <v>20148</v>
          </cell>
          <cell r="B43" t="str">
            <v>01UKRB0040-KLAMATH BASIN</v>
          </cell>
          <cell r="C43">
            <v>40</v>
          </cell>
        </row>
        <row r="44">
          <cell r="A44">
            <v>20154</v>
          </cell>
          <cell r="B44" t="str">
            <v>01UPPL000R-BASE SCH FALL</v>
          </cell>
          <cell r="C44" t="str">
            <v>AGA</v>
          </cell>
        </row>
        <row r="45">
          <cell r="A45">
            <v>20179</v>
          </cell>
          <cell r="B45" t="str">
            <v>02APSV0040-WA AG PMP SRVC</v>
          </cell>
          <cell r="C45">
            <v>40</v>
          </cell>
        </row>
        <row r="46">
          <cell r="A46">
            <v>20183</v>
          </cell>
          <cell r="B46" t="str">
            <v>02APSV040X-WA AG PMP SRVC</v>
          </cell>
          <cell r="C46">
            <v>40</v>
          </cell>
        </row>
        <row r="47">
          <cell r="A47">
            <v>20208</v>
          </cell>
          <cell r="B47" t="str">
            <v>02CFR00012-STR LGTS (CONV</v>
          </cell>
          <cell r="C47" t="str">
            <v>AGA</v>
          </cell>
        </row>
        <row r="48">
          <cell r="A48">
            <v>20212</v>
          </cell>
          <cell r="B48" t="str">
            <v>02CHCK000R-WA RES CHECK M</v>
          </cell>
          <cell r="C48" t="str">
            <v>AGA</v>
          </cell>
        </row>
        <row r="49">
          <cell r="A49">
            <v>20216</v>
          </cell>
          <cell r="B49" t="str">
            <v>02COSL0052-WA STR LGT SRV</v>
          </cell>
          <cell r="C49" t="str">
            <v>52</v>
          </cell>
        </row>
        <row r="50">
          <cell r="A50">
            <v>20217</v>
          </cell>
          <cell r="B50" t="str">
            <v>02CUSL053F-WA STR LGT SRV</v>
          </cell>
          <cell r="C50" t="str">
            <v>53</v>
          </cell>
        </row>
        <row r="51">
          <cell r="A51">
            <v>20218</v>
          </cell>
          <cell r="B51" t="str">
            <v>02CUSL053M-WA STR LGT SRV</v>
          </cell>
          <cell r="C51" t="str">
            <v>53</v>
          </cell>
        </row>
        <row r="52">
          <cell r="A52">
            <v>20220</v>
          </cell>
          <cell r="B52" t="str">
            <v>02GNSV0024-WA GEN SRVC</v>
          </cell>
          <cell r="C52">
            <v>24</v>
          </cell>
        </row>
        <row r="53">
          <cell r="A53">
            <v>20221</v>
          </cell>
          <cell r="B53" t="str">
            <v>02GNSV0025-WA GEN SRVC DO</v>
          </cell>
          <cell r="C53">
            <v>25</v>
          </cell>
        </row>
        <row r="54">
          <cell r="A54">
            <v>20223</v>
          </cell>
          <cell r="B54" t="str">
            <v>02GNSV024F-WA GEN SRVC-FL</v>
          </cell>
          <cell r="C54">
            <v>24</v>
          </cell>
        </row>
        <row r="55">
          <cell r="A55">
            <v>20224</v>
          </cell>
          <cell r="B55" t="str">
            <v>02GNSV025F-GEN SRVC DOM/F</v>
          </cell>
          <cell r="C55">
            <v>25</v>
          </cell>
        </row>
        <row r="56">
          <cell r="A56">
            <v>20229</v>
          </cell>
          <cell r="B56" t="str">
            <v>02HPSV0051-WA HI PRESSURE</v>
          </cell>
          <cell r="C56">
            <v>51</v>
          </cell>
        </row>
        <row r="57">
          <cell r="A57">
            <v>20232</v>
          </cell>
          <cell r="B57" t="str">
            <v>02LGSV0035-WA LRG GEN SRV</v>
          </cell>
          <cell r="C57">
            <v>35</v>
          </cell>
        </row>
        <row r="58">
          <cell r="A58">
            <v>20234</v>
          </cell>
          <cell r="B58" t="str">
            <v>02LGSV0036-WA LRG GEN SRV</v>
          </cell>
          <cell r="C58">
            <v>36</v>
          </cell>
        </row>
        <row r="59">
          <cell r="A59">
            <v>20235</v>
          </cell>
          <cell r="B59" t="str">
            <v>02LGSV048M-WA LRG GEN SRV</v>
          </cell>
          <cell r="C59" t="str">
            <v>48T</v>
          </cell>
        </row>
        <row r="60">
          <cell r="A60">
            <v>20236</v>
          </cell>
          <cell r="B60" t="str">
            <v>02LGSV048T-LRG GEN SRVC 1</v>
          </cell>
          <cell r="C60" t="str">
            <v>48T</v>
          </cell>
        </row>
        <row r="61">
          <cell r="A61">
            <v>20241</v>
          </cell>
          <cell r="B61" t="str">
            <v>02LNX00102-LINE EXT 80% G</v>
          </cell>
          <cell r="C61" t="str">
            <v>AGA</v>
          </cell>
        </row>
        <row r="62">
          <cell r="A62">
            <v>20242</v>
          </cell>
          <cell r="B62" t="str">
            <v>02LNX00102-LINE EXT 80% G</v>
          </cell>
          <cell r="C62" t="str">
            <v>AGA</v>
          </cell>
        </row>
        <row r="63">
          <cell r="A63">
            <v>20243</v>
          </cell>
          <cell r="B63" t="str">
            <v>02LNX00103-LINE EXT 80% G</v>
          </cell>
          <cell r="C63" t="str">
            <v>AGA</v>
          </cell>
        </row>
        <row r="64">
          <cell r="A64">
            <v>20244</v>
          </cell>
          <cell r="B64" t="str">
            <v>02LNX00103-LINE EXT 80% G</v>
          </cell>
          <cell r="C64" t="str">
            <v>AGA</v>
          </cell>
        </row>
        <row r="65">
          <cell r="A65">
            <v>20247</v>
          </cell>
          <cell r="B65" t="str">
            <v>02LNX00105-CNTRCT $ MIN G</v>
          </cell>
          <cell r="C65" t="str">
            <v>AGA</v>
          </cell>
        </row>
        <row r="66">
          <cell r="A66">
            <v>20248</v>
          </cell>
          <cell r="B66" t="str">
            <v>02LNX00105-CNTRCT $ MIN G</v>
          </cell>
          <cell r="C66" t="str">
            <v>AGA</v>
          </cell>
        </row>
        <row r="67">
          <cell r="A67">
            <v>20253</v>
          </cell>
          <cell r="B67" t="str">
            <v>02LNX00109-REF/NREF ADV +</v>
          </cell>
          <cell r="C67" t="str">
            <v>AGA</v>
          </cell>
        </row>
        <row r="68">
          <cell r="A68">
            <v>20254</v>
          </cell>
          <cell r="B68" t="str">
            <v>02LNX00109-REF/NREF ADV +</v>
          </cell>
          <cell r="C68" t="str">
            <v>AGA</v>
          </cell>
        </row>
        <row r="69">
          <cell r="A69">
            <v>20255</v>
          </cell>
          <cell r="B69" t="str">
            <v>02LNX00110-REF/NREF ADV +</v>
          </cell>
          <cell r="C69" t="str">
            <v>AGA</v>
          </cell>
        </row>
        <row r="70">
          <cell r="A70">
            <v>20256</v>
          </cell>
          <cell r="B70" t="str">
            <v>02LNX00110-REF/NREF ADV +</v>
          </cell>
          <cell r="C70" t="str">
            <v>AGA</v>
          </cell>
        </row>
        <row r="71">
          <cell r="A71">
            <v>20260</v>
          </cell>
          <cell r="B71" t="str">
            <v>02LNX00112-YR INCURRED CH</v>
          </cell>
          <cell r="C71" t="str">
            <v>AGA</v>
          </cell>
        </row>
        <row r="72">
          <cell r="A72">
            <v>20265</v>
          </cell>
          <cell r="B72" t="str">
            <v>02MVSL0057-WA MERC VAPSTR</v>
          </cell>
          <cell r="C72">
            <v>57</v>
          </cell>
        </row>
        <row r="73">
          <cell r="A73">
            <v>20266</v>
          </cell>
          <cell r="B73" t="str">
            <v>02OALT013N-WA OUTD AR LGT</v>
          </cell>
          <cell r="C73">
            <v>13</v>
          </cell>
        </row>
        <row r="74">
          <cell r="A74">
            <v>20268</v>
          </cell>
          <cell r="B74" t="str">
            <v>02OALT013R-WA OUTD AR LGT</v>
          </cell>
          <cell r="C74">
            <v>13</v>
          </cell>
        </row>
        <row r="75">
          <cell r="A75">
            <v>20270</v>
          </cell>
          <cell r="B75" t="str">
            <v>02OALT015N-WA OUTD AR LGT</v>
          </cell>
          <cell r="C75" t="str">
            <v>15</v>
          </cell>
        </row>
        <row r="76">
          <cell r="A76">
            <v>20271</v>
          </cell>
          <cell r="B76" t="str">
            <v>02OALT015R-WA OUTD AR LGT</v>
          </cell>
          <cell r="C76" t="str">
            <v>15</v>
          </cell>
        </row>
        <row r="77">
          <cell r="A77">
            <v>20276</v>
          </cell>
          <cell r="B77" t="str">
            <v>02RCFL0054-WA REC FIELD L</v>
          </cell>
          <cell r="C77">
            <v>54</v>
          </cell>
        </row>
        <row r="78">
          <cell r="A78">
            <v>20279</v>
          </cell>
          <cell r="B78" t="str">
            <v>02RESD0016-WA RES SRVC</v>
          </cell>
          <cell r="C78">
            <v>16</v>
          </cell>
        </row>
        <row r="79">
          <cell r="A79">
            <v>20281</v>
          </cell>
          <cell r="B79" t="str">
            <v>02RESD0018-WA 3 PHASE RES</v>
          </cell>
          <cell r="C79">
            <v>18</v>
          </cell>
        </row>
        <row r="80">
          <cell r="A80">
            <v>20283</v>
          </cell>
          <cell r="B80" t="str">
            <v>02RESD018X-WA 3 PHASE RES</v>
          </cell>
          <cell r="C80">
            <v>18</v>
          </cell>
        </row>
        <row r="81">
          <cell r="A81">
            <v>20295</v>
          </cell>
          <cell r="B81" t="str">
            <v>02SPWH0038-WA SPACE &amp; WTR</v>
          </cell>
          <cell r="C81">
            <v>38</v>
          </cell>
        </row>
        <row r="82">
          <cell r="A82">
            <v>20304</v>
          </cell>
          <cell r="B82" t="str">
            <v>02WHCH0042-WA CNTRLD WTR</v>
          </cell>
          <cell r="C82">
            <v>42</v>
          </cell>
        </row>
        <row r="83">
          <cell r="A83">
            <v>20306</v>
          </cell>
          <cell r="B83" t="str">
            <v>02WHCH042X-WA CNTRLD WTR</v>
          </cell>
          <cell r="C83">
            <v>42</v>
          </cell>
        </row>
        <row r="84">
          <cell r="A84">
            <v>21134</v>
          </cell>
          <cell r="B84" t="str">
            <v>02PRSV47TM-LRG PART REQMT</v>
          </cell>
          <cell r="C84">
            <v>47</v>
          </cell>
        </row>
        <row r="85">
          <cell r="A85">
            <v>21149</v>
          </cell>
          <cell r="B85" t="str">
            <v>01GNSV0024-GENSRV D/F IRG</v>
          </cell>
          <cell r="C85">
            <v>24</v>
          </cell>
        </row>
        <row r="86">
          <cell r="A86">
            <v>21151</v>
          </cell>
          <cell r="B86" t="str">
            <v>02LGSV0035-LRG GENSRV IRG</v>
          </cell>
          <cell r="C86">
            <v>35</v>
          </cell>
        </row>
        <row r="87">
          <cell r="A87">
            <v>21154</v>
          </cell>
          <cell r="B87" t="str">
            <v>02GNSV0025-GENSRV D/F IRG</v>
          </cell>
          <cell r="C87">
            <v>25</v>
          </cell>
        </row>
        <row r="88">
          <cell r="A88">
            <v>21178</v>
          </cell>
          <cell r="B88" t="str">
            <v>01GNSV0026-LRG GENSRV D/F</v>
          </cell>
          <cell r="C88">
            <v>26</v>
          </cell>
        </row>
        <row r="89">
          <cell r="A89">
            <v>21182</v>
          </cell>
          <cell r="B89" t="str">
            <v>01GNSV0027-L GENSRV &lt;1000</v>
          </cell>
          <cell r="C89">
            <v>27</v>
          </cell>
        </row>
        <row r="90">
          <cell r="A90">
            <v>21201</v>
          </cell>
          <cell r="B90" t="str">
            <v>01GNSV027M-GNSV &lt;1000 MAN</v>
          </cell>
          <cell r="C90">
            <v>27</v>
          </cell>
        </row>
        <row r="91">
          <cell r="A91">
            <v>21229</v>
          </cell>
          <cell r="B91" t="str">
            <v>01USBR33TX-IR TOU W/O BPA</v>
          </cell>
          <cell r="C91">
            <v>33</v>
          </cell>
        </row>
        <row r="92">
          <cell r="A92">
            <v>21386</v>
          </cell>
          <cell r="B92" t="str">
            <v>01LNX00114-TEMP SVC 12MO&gt;</v>
          </cell>
          <cell r="C92" t="str">
            <v>AGA</v>
          </cell>
        </row>
        <row r="93">
          <cell r="A93">
            <v>21437</v>
          </cell>
          <cell r="B93" t="str">
            <v>02GNSV24FP-GNSV SEASONAL</v>
          </cell>
          <cell r="C93">
            <v>24</v>
          </cell>
        </row>
        <row r="94">
          <cell r="A94">
            <v>21439</v>
          </cell>
          <cell r="B94" t="str">
            <v>02GNSV24FP-GNSV SEASONAL</v>
          </cell>
          <cell r="C94">
            <v>24</v>
          </cell>
        </row>
        <row r="95">
          <cell r="A95">
            <v>21445</v>
          </cell>
          <cell r="B95" t="str">
            <v>01GNSV0025-GEN SRVC - IRG</v>
          </cell>
          <cell r="C95">
            <v>25</v>
          </cell>
        </row>
        <row r="96">
          <cell r="A96">
            <v>21492</v>
          </cell>
          <cell r="B96" t="str">
            <v>01CUSL0053-CUS-OWNED MTRD</v>
          </cell>
          <cell r="C96">
            <v>53</v>
          </cell>
        </row>
        <row r="97">
          <cell r="A97">
            <v>21507</v>
          </cell>
          <cell r="B97" t="str">
            <v>01ACTSETUP-NEW SRVC SETUP</v>
          </cell>
          <cell r="C97" t="str">
            <v>AGA</v>
          </cell>
        </row>
        <row r="98">
          <cell r="A98">
            <v>21544</v>
          </cell>
          <cell r="B98" t="str">
            <v>01NETMT135-NET METERING</v>
          </cell>
          <cell r="C98">
            <v>4</v>
          </cell>
        </row>
        <row r="99">
          <cell r="A99">
            <v>21546</v>
          </cell>
          <cell r="B99" t="str">
            <v>01BLSKY01N-BLUESKY ENERGY</v>
          </cell>
          <cell r="C99" t="str">
            <v>AGA</v>
          </cell>
        </row>
        <row r="100">
          <cell r="A100">
            <v>21547</v>
          </cell>
          <cell r="B100" t="str">
            <v>01BLSKY01R-BLUESKY ENERGY</v>
          </cell>
          <cell r="C100" t="str">
            <v>AGA</v>
          </cell>
        </row>
        <row r="101">
          <cell r="A101">
            <v>21548</v>
          </cell>
          <cell r="B101" t="str">
            <v>02BLSKY01N-BLUESKY ENERGY</v>
          </cell>
          <cell r="C101" t="str">
            <v>AGA</v>
          </cell>
        </row>
        <row r="102">
          <cell r="A102">
            <v>21549</v>
          </cell>
          <cell r="B102" t="str">
            <v>02BLSKY01R-BLUESKY ENERGY</v>
          </cell>
          <cell r="C102" t="str">
            <v>AGA</v>
          </cell>
        </row>
        <row r="103">
          <cell r="A103">
            <v>21565</v>
          </cell>
          <cell r="B103" t="str">
            <v>01SPCL0003-</v>
          </cell>
          <cell r="C103" t="str">
            <v>Spcl003-Wah Chang</v>
          </cell>
        </row>
        <row r="104">
          <cell r="A104">
            <v>21589</v>
          </cell>
          <cell r="B104" t="str">
            <v>01ZZMERGCR-MERGER CREDITS</v>
          </cell>
          <cell r="C104" t="str">
            <v>AGA</v>
          </cell>
        </row>
        <row r="105">
          <cell r="A105">
            <v>21590</v>
          </cell>
          <cell r="B105" t="str">
            <v>01ZZMERGCR-MERGER CREDITS</v>
          </cell>
          <cell r="C105" t="str">
            <v>AGA</v>
          </cell>
        </row>
        <row r="106">
          <cell r="A106">
            <v>21591</v>
          </cell>
          <cell r="B106" t="str">
            <v>02ZZMERGCR-MERGER CREDITS</v>
          </cell>
          <cell r="C106" t="str">
            <v>AGA</v>
          </cell>
        </row>
        <row r="107">
          <cell r="A107">
            <v>21592</v>
          </cell>
          <cell r="B107" t="str">
            <v>02ZZMERGCR-MERGER CREDITS</v>
          </cell>
          <cell r="C107" t="str">
            <v>AGA</v>
          </cell>
        </row>
        <row r="108">
          <cell r="A108">
            <v>21593</v>
          </cell>
          <cell r="B108" t="str">
            <v>MERGR CREDIT AMORT-OR(JV)</v>
          </cell>
          <cell r="C108" t="str">
            <v>AGA</v>
          </cell>
        </row>
        <row r="109">
          <cell r="A109">
            <v>21594</v>
          </cell>
          <cell r="B109" t="str">
            <v>MERGR CREDIT AMORT-OR(JV)</v>
          </cell>
          <cell r="C109" t="str">
            <v>AGA</v>
          </cell>
        </row>
        <row r="110">
          <cell r="A110">
            <v>21595</v>
          </cell>
          <cell r="B110" t="str">
            <v>MERGR CREDIT AMORT-WA(JV)</v>
          </cell>
          <cell r="C110" t="str">
            <v>AGA</v>
          </cell>
        </row>
        <row r="111">
          <cell r="A111">
            <v>21596</v>
          </cell>
          <cell r="B111" t="str">
            <v>MERGR CREDIT AMORT-WA(JV)</v>
          </cell>
          <cell r="C111" t="str">
            <v>AGA</v>
          </cell>
        </row>
        <row r="112">
          <cell r="A112">
            <v>21614</v>
          </cell>
          <cell r="B112" t="str">
            <v>01XTRN0017-BLUESKY ANNUAL</v>
          </cell>
          <cell r="C112" t="str">
            <v>AGA</v>
          </cell>
        </row>
        <row r="113">
          <cell r="A113">
            <v>21623</v>
          </cell>
          <cell r="B113" t="str">
            <v>01FCBUYOUT-FAC CHG BUYOUT</v>
          </cell>
          <cell r="C113" t="str">
            <v>AGA</v>
          </cell>
        </row>
        <row r="114">
          <cell r="A114">
            <v>21625</v>
          </cell>
          <cell r="B114" t="str">
            <v>02RESD0017-BILL ASSISTANC</v>
          </cell>
          <cell r="C114">
            <v>17</v>
          </cell>
        </row>
        <row r="115">
          <cell r="A115">
            <v>21626</v>
          </cell>
          <cell r="B115" t="str">
            <v>01LGSV0048-1000KW AND OVR</v>
          </cell>
          <cell r="C115">
            <v>48</v>
          </cell>
        </row>
        <row r="116">
          <cell r="A116">
            <v>21636</v>
          </cell>
          <cell r="B116" t="str">
            <v>01COST0026 - 01GNSV0026</v>
          </cell>
          <cell r="C116">
            <v>26</v>
          </cell>
        </row>
        <row r="117">
          <cell r="A117">
            <v>21638</v>
          </cell>
          <cell r="B117" t="str">
            <v>01COST0004 - 01RESD0004</v>
          </cell>
          <cell r="C117">
            <v>4</v>
          </cell>
        </row>
        <row r="118">
          <cell r="A118">
            <v>21639</v>
          </cell>
          <cell r="B118" t="str">
            <v>01COST0024 - 01GNSV0024</v>
          </cell>
          <cell r="C118">
            <v>24</v>
          </cell>
        </row>
        <row r="119">
          <cell r="A119">
            <v>21640</v>
          </cell>
          <cell r="B119" t="str">
            <v>01COST0025 - 01GNSV0025</v>
          </cell>
          <cell r="C119">
            <v>25</v>
          </cell>
        </row>
        <row r="120">
          <cell r="A120">
            <v>21641</v>
          </cell>
          <cell r="B120" t="str">
            <v>01COST0027 - 01GNSV0027</v>
          </cell>
          <cell r="C120">
            <v>27</v>
          </cell>
        </row>
        <row r="121">
          <cell r="A121">
            <v>21642</v>
          </cell>
          <cell r="B121" t="str">
            <v>01COST025F - 01GNSV025F</v>
          </cell>
          <cell r="C121">
            <v>25</v>
          </cell>
        </row>
        <row r="122">
          <cell r="A122">
            <v>21643</v>
          </cell>
          <cell r="B122" t="str">
            <v>01COST0048 - 01LGSV0048</v>
          </cell>
          <cell r="C122">
            <v>48</v>
          </cell>
        </row>
        <row r="123">
          <cell r="A123">
            <v>21644</v>
          </cell>
          <cell r="B123" t="str">
            <v>01COST0041 -01APSV0041-01APSV041X AG PMP</v>
          </cell>
          <cell r="C123">
            <v>41</v>
          </cell>
        </row>
        <row r="124">
          <cell r="A124">
            <v>21646</v>
          </cell>
          <cell r="B124" t="str">
            <v>01SEAFLX04 - 01RESD0004</v>
          </cell>
          <cell r="C124">
            <v>4</v>
          </cell>
        </row>
        <row r="125">
          <cell r="A125">
            <v>21647</v>
          </cell>
          <cell r="B125" t="str">
            <v>01SEAFLX25 - 01GNSV0025</v>
          </cell>
          <cell r="C125">
            <v>25</v>
          </cell>
        </row>
        <row r="126">
          <cell r="A126">
            <v>21648</v>
          </cell>
          <cell r="B126" t="str">
            <v>01HABIT004 - 01RESD0004</v>
          </cell>
          <cell r="C126">
            <v>4</v>
          </cell>
        </row>
        <row r="127">
          <cell r="A127">
            <v>21649</v>
          </cell>
          <cell r="B127" t="str">
            <v>01RENEW004 - 01RESD0004</v>
          </cell>
          <cell r="C127">
            <v>4</v>
          </cell>
        </row>
        <row r="128">
          <cell r="A128">
            <v>21650</v>
          </cell>
          <cell r="B128" t="str">
            <v>01FXRENEWN - Fixed Renewable Blue Sky</v>
          </cell>
          <cell r="C128" t="str">
            <v>AGA</v>
          </cell>
        </row>
        <row r="129">
          <cell r="A129">
            <v>21651</v>
          </cell>
          <cell r="B129" t="str">
            <v>01FXRENEWR - Fixed Renewable Blue Sky</v>
          </cell>
          <cell r="C129" t="str">
            <v>AGA</v>
          </cell>
        </row>
        <row r="130">
          <cell r="A130">
            <v>21652</v>
          </cell>
          <cell r="B130" t="str">
            <v>01HABIT024 - 01GNSV0024</v>
          </cell>
          <cell r="C130">
            <v>24</v>
          </cell>
        </row>
        <row r="131">
          <cell r="A131">
            <v>21653</v>
          </cell>
          <cell r="B131" t="str">
            <v>01HABIT025 - 01GNSV0025</v>
          </cell>
          <cell r="C131">
            <v>25</v>
          </cell>
        </row>
        <row r="132">
          <cell r="A132">
            <v>21655</v>
          </cell>
          <cell r="B132" t="str">
            <v>01RENEW024 - 01GNSV0024</v>
          </cell>
          <cell r="C132">
            <v>24</v>
          </cell>
        </row>
        <row r="133">
          <cell r="A133">
            <v>21656</v>
          </cell>
          <cell r="B133" t="str">
            <v>01RENEW025 - 01GNSV0025</v>
          </cell>
          <cell r="C133">
            <v>25</v>
          </cell>
        </row>
        <row r="134">
          <cell r="A134">
            <v>21657</v>
          </cell>
          <cell r="B134" t="str">
            <v>01RENEW041 - 01APSV0041 AG PMP SRVC</v>
          </cell>
          <cell r="C134">
            <v>41</v>
          </cell>
        </row>
        <row r="135">
          <cell r="A135">
            <v>21658</v>
          </cell>
          <cell r="B135" t="str">
            <v>01PTOU0004 - 01RESD0004</v>
          </cell>
          <cell r="C135">
            <v>4</v>
          </cell>
        </row>
        <row r="136">
          <cell r="A136">
            <v>21659</v>
          </cell>
          <cell r="B136" t="str">
            <v>01PTOU0025 - 01GNSV0025</v>
          </cell>
          <cell r="C136">
            <v>25</v>
          </cell>
        </row>
        <row r="137">
          <cell r="A137">
            <v>21660</v>
          </cell>
          <cell r="B137" t="str">
            <v>01PTOU0041 - 01APSV0041 AG PMP SRVC</v>
          </cell>
          <cell r="C137">
            <v>41</v>
          </cell>
        </row>
        <row r="138">
          <cell r="A138">
            <v>21661</v>
          </cell>
          <cell r="B138" t="str">
            <v>01SEAFLX24 - 01GNSV0024</v>
          </cell>
          <cell r="C138">
            <v>24</v>
          </cell>
        </row>
        <row r="139">
          <cell r="A139">
            <v>21662</v>
          </cell>
          <cell r="B139" t="str">
            <v>01SEAFLX41 - 01APSV0041 AG PMP SRVC</v>
          </cell>
          <cell r="C139">
            <v>41</v>
          </cell>
        </row>
        <row r="140">
          <cell r="A140">
            <v>21663</v>
          </cell>
          <cell r="B140" t="str">
            <v>01STDAY025 - 01GNSV0025</v>
          </cell>
          <cell r="C140">
            <v>25</v>
          </cell>
        </row>
        <row r="141">
          <cell r="A141">
            <v>21664</v>
          </cell>
          <cell r="B141" t="str">
            <v>01STDAY027 - 01GNSV0027</v>
          </cell>
          <cell r="C141">
            <v>27</v>
          </cell>
        </row>
        <row r="142">
          <cell r="A142">
            <v>21666</v>
          </cell>
          <cell r="B142" t="str">
            <v>01STQTR025 - 01GNSV0025</v>
          </cell>
          <cell r="C142">
            <v>25</v>
          </cell>
        </row>
        <row r="143">
          <cell r="A143">
            <v>21667</v>
          </cell>
          <cell r="B143" t="str">
            <v>01STQTR027 - 01GNSV0027</v>
          </cell>
          <cell r="C143">
            <v>27</v>
          </cell>
        </row>
        <row r="144">
          <cell r="A144">
            <v>21672</v>
          </cell>
          <cell r="B144" t="str">
            <v>01RESD004T - RES Time Option</v>
          </cell>
          <cell r="C144">
            <v>4</v>
          </cell>
        </row>
        <row r="145">
          <cell r="A145">
            <v>21674</v>
          </cell>
          <cell r="B145" t="str">
            <v>01GNSV025T - TOU Portfolio Option</v>
          </cell>
          <cell r="C145">
            <v>25</v>
          </cell>
        </row>
        <row r="146">
          <cell r="A146">
            <v>21676</v>
          </cell>
          <cell r="B146" t="str">
            <v>01APSV041T - AGR PUMP SRV-TOU OPTION</v>
          </cell>
          <cell r="C146">
            <v>41</v>
          </cell>
        </row>
        <row r="147">
          <cell r="A147">
            <v>21678</v>
          </cell>
          <cell r="B147" t="str">
            <v>01GNSV024T - TOU Portfolio Option</v>
          </cell>
          <cell r="C147">
            <v>24</v>
          </cell>
        </row>
        <row r="148">
          <cell r="A148">
            <v>21681</v>
          </cell>
          <cell r="B148" t="str">
            <v>01PTOU0024 - 01GNSV0024</v>
          </cell>
          <cell r="C148">
            <v>24</v>
          </cell>
        </row>
        <row r="149">
          <cell r="A149">
            <v>21682</v>
          </cell>
          <cell r="B149" t="str">
            <v>01GNSV024L-General Service, &gt; 30 KW</v>
          </cell>
          <cell r="C149">
            <v>24</v>
          </cell>
        </row>
        <row r="150">
          <cell r="A150">
            <v>21684</v>
          </cell>
          <cell r="B150" t="str">
            <v>01GNSV025L - General Service - &gt; 30 KW</v>
          </cell>
          <cell r="C150">
            <v>25</v>
          </cell>
        </row>
        <row r="151">
          <cell r="A151">
            <v>21686</v>
          </cell>
          <cell r="B151" t="str">
            <v>01LNX00120 - Line Extension 60% Gar</v>
          </cell>
          <cell r="C151" t="str">
            <v>AGA</v>
          </cell>
        </row>
        <row r="152">
          <cell r="A152">
            <v>21690</v>
          </cell>
          <cell r="B152" t="str">
            <v>01APSV41XL-OR Pumping Serv no BPA &gt;30KW</v>
          </cell>
          <cell r="C152">
            <v>41</v>
          </cell>
        </row>
        <row r="153">
          <cell r="A153">
            <v>21691</v>
          </cell>
          <cell r="B153" t="str">
            <v>01APSV041L-OR Pumping Serv &gt;30KW</v>
          </cell>
          <cell r="C153">
            <v>41</v>
          </cell>
        </row>
        <row r="154">
          <cell r="A154">
            <v>21695</v>
          </cell>
          <cell r="B154" t="str">
            <v>02RFNDCENT - CENTRALIA RFND</v>
          </cell>
          <cell r="C154" t="str">
            <v>AGA</v>
          </cell>
        </row>
        <row r="155">
          <cell r="A155">
            <v>29001</v>
          </cell>
          <cell r="B155" t="str">
            <v>CUSTOMER COUNT - REGULAR</v>
          </cell>
          <cell r="C155" t="str">
            <v>AGA</v>
          </cell>
        </row>
        <row r="156">
          <cell r="A156">
            <v>29003</v>
          </cell>
          <cell r="B156" t="str">
            <v>CUSTOMER CNT - IRRIGATION</v>
          </cell>
          <cell r="C156" t="str">
            <v>AGA</v>
          </cell>
        </row>
        <row r="157">
          <cell r="A157">
            <v>21183</v>
          </cell>
          <cell r="B157" t="str">
            <v>01GNSV0027-L GS &lt;1000 IRG</v>
          </cell>
          <cell r="C157">
            <v>27</v>
          </cell>
        </row>
        <row r="158">
          <cell r="A158">
            <v>21720</v>
          </cell>
          <cell r="B158" t="str">
            <v>01STDAY041 - Daily Standard Offer Sch 25</v>
          </cell>
          <cell r="C158">
            <v>41</v>
          </cell>
        </row>
        <row r="159">
          <cell r="A159">
            <v>21654</v>
          </cell>
          <cell r="B159" t="str">
            <v>01HABIT041 - 01APSV0041 AG PMP SRVC</v>
          </cell>
          <cell r="C159">
            <v>41</v>
          </cell>
        </row>
        <row r="160">
          <cell r="A160">
            <v>21727</v>
          </cell>
          <cell r="B160" t="str">
            <v>02ACTSETUP-NEW SRVC SETUP</v>
          </cell>
          <cell r="C160" t="str">
            <v>AGA</v>
          </cell>
        </row>
        <row r="161">
          <cell r="A161">
            <v>21737</v>
          </cell>
          <cell r="B161" t="str">
            <v>OR Gen Service Cost-Based Supply &gt; 30kW</v>
          </cell>
          <cell r="C161">
            <v>28</v>
          </cell>
        </row>
        <row r="162">
          <cell r="A162">
            <v>21738</v>
          </cell>
          <cell r="B162" t="str">
            <v>01GNSV0023, OR GEN SRV, &lt; 30 KW</v>
          </cell>
          <cell r="C162">
            <v>23</v>
          </cell>
        </row>
        <row r="163">
          <cell r="A163">
            <v>21739</v>
          </cell>
          <cell r="B163" t="str">
            <v>01COST0023, OR GEN SRV, COST BASED</v>
          </cell>
          <cell r="C163">
            <v>23</v>
          </cell>
        </row>
        <row r="164">
          <cell r="A164">
            <v>21740</v>
          </cell>
          <cell r="B164" t="str">
            <v>01COSB0023, OR GEN SRV, COST BASED</v>
          </cell>
          <cell r="C164">
            <v>23</v>
          </cell>
        </row>
        <row r="165">
          <cell r="A165">
            <v>21741</v>
          </cell>
          <cell r="B165" t="str">
            <v>01COSTB028, OR GEN SRV, COST BASED</v>
          </cell>
          <cell r="C165">
            <v>28</v>
          </cell>
        </row>
        <row r="166">
          <cell r="A166">
            <v>21742</v>
          </cell>
          <cell r="B166" t="str">
            <v>01COSTL028, OR LRG SRV, COST BASED</v>
          </cell>
          <cell r="C166">
            <v>28</v>
          </cell>
        </row>
        <row r="167">
          <cell r="A167">
            <v>21743</v>
          </cell>
          <cell r="B167" t="str">
            <v>01COSTS028, OR GEN SERV, COST &gt; 30kW</v>
          </cell>
          <cell r="C167">
            <v>28</v>
          </cell>
        </row>
        <row r="168">
          <cell r="A168">
            <v>21744</v>
          </cell>
          <cell r="B168" t="str">
            <v>01GNSB0023, OR GEN SRV, BPA, &lt; 30 kW</v>
          </cell>
          <cell r="C168">
            <v>23</v>
          </cell>
        </row>
        <row r="169">
          <cell r="A169">
            <v>21745</v>
          </cell>
          <cell r="B169" t="str">
            <v>01GNSB0028, OR GEN SRV, BPA, &gt; 30 kW</v>
          </cell>
          <cell r="C169">
            <v>28</v>
          </cell>
        </row>
        <row r="170">
          <cell r="A170">
            <v>21746</v>
          </cell>
          <cell r="B170" t="str">
            <v>01GNSV0028, OR GEN SRV &gt; 30 kW</v>
          </cell>
          <cell r="C170">
            <v>28</v>
          </cell>
        </row>
        <row r="171">
          <cell r="A171">
            <v>21747</v>
          </cell>
          <cell r="B171" t="str">
            <v>01GNSV023T, OR GEN SRV, TOU Option</v>
          </cell>
          <cell r="C171">
            <v>23</v>
          </cell>
        </row>
        <row r="172">
          <cell r="A172">
            <v>21748</v>
          </cell>
          <cell r="B172" t="str">
            <v>01HABT0023, OR HABITAT BLENDED SPLY SRV</v>
          </cell>
          <cell r="C172">
            <v>23</v>
          </cell>
        </row>
        <row r="173">
          <cell r="A173">
            <v>21749</v>
          </cell>
          <cell r="B173" t="str">
            <v>01LGSB0028, OR LRG GEN SRV, BPA</v>
          </cell>
          <cell r="C173">
            <v>28</v>
          </cell>
        </row>
        <row r="174">
          <cell r="A174">
            <v>21750</v>
          </cell>
          <cell r="B174" t="str">
            <v>01LGSV0028, OR LRG GEN SRV &lt; 1000 kW</v>
          </cell>
          <cell r="C174">
            <v>28</v>
          </cell>
        </row>
        <row r="175">
          <cell r="A175">
            <v>21751</v>
          </cell>
          <cell r="B175" t="str">
            <v>01PTOU0023, OR GEN SRV, TOU ENG SPLY SRV</v>
          </cell>
          <cell r="C175">
            <v>23</v>
          </cell>
        </row>
        <row r="176">
          <cell r="A176">
            <v>21752</v>
          </cell>
          <cell r="B176" t="str">
            <v>01PTOUB023, OR GEN SRV, TOU SPLY SRV</v>
          </cell>
          <cell r="C176">
            <v>23</v>
          </cell>
        </row>
        <row r="177">
          <cell r="A177">
            <v>21753</v>
          </cell>
          <cell r="B177" t="str">
            <v>01RENW0023, OR RENW USAGE SPLY SRV</v>
          </cell>
          <cell r="C177">
            <v>23</v>
          </cell>
        </row>
        <row r="178">
          <cell r="A178">
            <v>21754</v>
          </cell>
          <cell r="B178" t="str">
            <v>01SEAF0023, OR SEAS FLUX SPLY SRV</v>
          </cell>
          <cell r="C178">
            <v>23</v>
          </cell>
        </row>
        <row r="179">
          <cell r="A179">
            <v>21755</v>
          </cell>
          <cell r="B179" t="str">
            <v>01GNSV023F - OR GEN SRV - FLAT RATE</v>
          </cell>
          <cell r="C179">
            <v>23</v>
          </cell>
        </row>
        <row r="180">
          <cell r="A180">
            <v>21756</v>
          </cell>
          <cell r="B180" t="str">
            <v>01COST023F - OR GEN SRV - COST-BASED</v>
          </cell>
          <cell r="C180">
            <v>23</v>
          </cell>
        </row>
        <row r="181">
          <cell r="A181">
            <v>21757</v>
          </cell>
          <cell r="B181" t="str">
            <v>01GNSB023T - OR GEN SRV - TOU - BPA</v>
          </cell>
          <cell r="C181">
            <v>23</v>
          </cell>
        </row>
        <row r="182">
          <cell r="A182">
            <v>21758</v>
          </cell>
          <cell r="B182" t="str">
            <v>01HABTB023 - OR HABITAT BLENDED</v>
          </cell>
          <cell r="C182">
            <v>23</v>
          </cell>
        </row>
        <row r="183">
          <cell r="A183">
            <v>21759</v>
          </cell>
          <cell r="B183" t="str">
            <v>01RENWB023 - OR RENEWABLE USAGE</v>
          </cell>
          <cell r="C183">
            <v>23</v>
          </cell>
        </row>
        <row r="184">
          <cell r="A184">
            <v>21760</v>
          </cell>
          <cell r="B184" t="str">
            <v>01SEAFB023 - OR SEASONAL FLUX</v>
          </cell>
          <cell r="C184">
            <v>23</v>
          </cell>
        </row>
        <row r="185">
          <cell r="A185">
            <v>21765</v>
          </cell>
          <cell r="B185" t="str">
            <v>01STDAY023 - OR DAY STD OFR, SCH 23</v>
          </cell>
          <cell r="C185">
            <v>23</v>
          </cell>
        </row>
        <row r="186">
          <cell r="A186">
            <v>21766</v>
          </cell>
          <cell r="B186" t="str">
            <v>01STDAY028 - OR DAY STD OFF, SCH 28</v>
          </cell>
          <cell r="C186">
            <v>28</v>
          </cell>
        </row>
        <row r="187">
          <cell r="A187">
            <v>21767</v>
          </cell>
          <cell r="B187" t="str">
            <v>01STDAY030 - OR STD DAY OFF, SCH 27</v>
          </cell>
          <cell r="C187">
            <v>30</v>
          </cell>
        </row>
        <row r="188">
          <cell r="A188">
            <v>21768</v>
          </cell>
          <cell r="B188" t="str">
            <v>01GNSV023M - OR GEN SRV, MANUAL BILL</v>
          </cell>
          <cell r="C188">
            <v>23</v>
          </cell>
        </row>
        <row r="189">
          <cell r="A189">
            <v>21769</v>
          </cell>
          <cell r="B189" t="str">
            <v>01LGSV0030 - OR LRG GEN SRV, &gt; 1000 kW</v>
          </cell>
          <cell r="C189">
            <v>30</v>
          </cell>
        </row>
        <row r="190">
          <cell r="A190">
            <v>21770</v>
          </cell>
          <cell r="B190" t="str">
            <v>01COSTL030 - OR LRG GEN SRV, CST &gt;200 kW</v>
          </cell>
          <cell r="C190">
            <v>30</v>
          </cell>
        </row>
        <row r="191">
          <cell r="A191">
            <v>21771</v>
          </cell>
          <cell r="B191" t="str">
            <v>01COSTB023 - OR GEN SRV, CST-BSD SPLY</v>
          </cell>
          <cell r="C191">
            <v>23</v>
          </cell>
        </row>
        <row r="192">
          <cell r="A192">
            <v>21775</v>
          </cell>
          <cell r="B192" t="str">
            <v>01COSTS030 - OR GEN SRV CBS &gt; 200 kW</v>
          </cell>
          <cell r="C192">
            <v>30</v>
          </cell>
        </row>
        <row r="193">
          <cell r="A193">
            <v>21776</v>
          </cell>
          <cell r="B193" t="str">
            <v>01GNSV0030 - OR GEN SRV, &gt; 200 kW</v>
          </cell>
          <cell r="C193">
            <v>30</v>
          </cell>
        </row>
        <row r="194">
          <cell r="A194">
            <v>21777</v>
          </cell>
          <cell r="B194" t="str">
            <v>01GNSB0030 - OR GEN SRV, &gt; 200kW(R)</v>
          </cell>
          <cell r="C194">
            <v>30</v>
          </cell>
        </row>
        <row r="195">
          <cell r="A195">
            <v>21779</v>
          </cell>
          <cell r="B195" t="str">
            <v>01LGSB0030, GEN DEL SRV, &gt; 200 kW(R)</v>
          </cell>
          <cell r="C195">
            <v>30</v>
          </cell>
        </row>
        <row r="196">
          <cell r="A196">
            <v>21781</v>
          </cell>
          <cell r="B196" t="str">
            <v>01NTMTN135 - OR NET MTR, GEN, &lt; 30 kW</v>
          </cell>
          <cell r="C196">
            <v>23</v>
          </cell>
        </row>
        <row r="197">
          <cell r="A197">
            <v>21782</v>
          </cell>
          <cell r="B197" t="str">
            <v>01PRSVL36M, OR PRT REQ SRV, &gt; 200 kW</v>
          </cell>
          <cell r="C197">
            <v>36</v>
          </cell>
        </row>
        <row r="198">
          <cell r="A198">
            <v>21784</v>
          </cell>
          <cell r="B198" t="str">
            <v>01PRSVM36M - OR PRT SRV, 31 - 200 kW</v>
          </cell>
          <cell r="C198">
            <v>36</v>
          </cell>
        </row>
        <row r="199">
          <cell r="A199">
            <v>21783</v>
          </cell>
          <cell r="B199" t="str">
            <v>01PRSVS36M - OR PRT REQ SRV, &lt; 30 kW</v>
          </cell>
          <cell r="C199">
            <v>36</v>
          </cell>
        </row>
        <row r="200">
          <cell r="A200">
            <v>21785</v>
          </cell>
          <cell r="B200" t="str">
            <v>01GNSV030M - OR GEN SRV, 200 kW, MANUAL</v>
          </cell>
          <cell r="C200">
            <v>30</v>
          </cell>
        </row>
        <row r="201">
          <cell r="A201">
            <v>20038</v>
          </cell>
          <cell r="B201" t="str">
            <v>01CHCK000R-RES CHECK MTR</v>
          </cell>
          <cell r="C201" t="str">
            <v>AGA</v>
          </cell>
        </row>
        <row r="202">
          <cell r="A202">
            <v>21788</v>
          </cell>
          <cell r="B202" t="str">
            <v>01XTRNBSKY - Blue Sky Energy-NonRes</v>
          </cell>
          <cell r="C202" t="str">
            <v>AGA</v>
          </cell>
        </row>
        <row r="203">
          <cell r="A203">
            <v>11159</v>
          </cell>
          <cell r="B203" t="str">
            <v>SMUD REVENUE IMPUTATIONS</v>
          </cell>
          <cell r="C203" t="str">
            <v>AGA</v>
          </cell>
        </row>
        <row r="204">
          <cell r="A204">
            <v>21793</v>
          </cell>
          <cell r="B204" t="str">
            <v>02LNX00300-LINE EXT 80% G</v>
          </cell>
          <cell r="C204" t="str">
            <v>AGA</v>
          </cell>
        </row>
        <row r="205">
          <cell r="A205">
            <v>21799</v>
          </cell>
          <cell r="B205" t="str">
            <v>01NMT41135 - NETMTR AG PMP SVC BPA</v>
          </cell>
          <cell r="C205">
            <v>41</v>
          </cell>
        </row>
        <row r="206">
          <cell r="A206">
            <v>21802</v>
          </cell>
          <cell r="B206" t="str">
            <v>01LNX00311 - LINE EXT 80% G</v>
          </cell>
          <cell r="C206" t="str">
            <v>AGA</v>
          </cell>
        </row>
        <row r="207">
          <cell r="A207">
            <v>21804</v>
          </cell>
          <cell r="B207" t="str">
            <v>01LNX00300 - LINE EXT 80% GUARANTEE</v>
          </cell>
          <cell r="C207" t="str">
            <v>AGA</v>
          </cell>
        </row>
        <row r="208">
          <cell r="A208">
            <v>21809</v>
          </cell>
          <cell r="B208" t="str">
            <v>01BULKBSKY - BULK BLUESKY ENERGY</v>
          </cell>
          <cell r="C208" t="str">
            <v>AGA</v>
          </cell>
        </row>
        <row r="209">
          <cell r="A209">
            <v>21132</v>
          </cell>
          <cell r="B209" t="str">
            <v>02PRSV033M-PART REQ SERV</v>
          </cell>
          <cell r="C209">
            <v>33</v>
          </cell>
        </row>
        <row r="210">
          <cell r="A210">
            <v>21812</v>
          </cell>
          <cell r="B210" t="str">
            <v>01GNSV0728 - OR GEN SVC DIR ACCESS &gt;30KW</v>
          </cell>
          <cell r="C210">
            <v>728</v>
          </cell>
        </row>
        <row r="211">
          <cell r="A211">
            <v>21813</v>
          </cell>
          <cell r="B211" t="str">
            <v>01GNSV0730 -OR GEN SVC DIR ACCESS &gt;200KW</v>
          </cell>
          <cell r="C211">
            <v>730</v>
          </cell>
        </row>
        <row r="212">
          <cell r="A212">
            <v>21814</v>
          </cell>
          <cell r="B212" t="str">
            <v>01GNSV0748 LG GEN SVC DIR ACCESS 1000KW+</v>
          </cell>
          <cell r="C212">
            <v>748</v>
          </cell>
        </row>
        <row r="213">
          <cell r="A213">
            <v>21817</v>
          </cell>
          <cell r="B213" t="str">
            <v>01LGSB0048 - LG GEN SVC &gt; 1000KW (R)</v>
          </cell>
          <cell r="C213">
            <v>48</v>
          </cell>
        </row>
        <row r="214">
          <cell r="A214">
            <v>21829</v>
          </cell>
          <cell r="B214" t="str">
            <v>01NMT28135 - OR NET MTR, GEN, &gt; 30 kW</v>
          </cell>
          <cell r="C214">
            <v>28</v>
          </cell>
        </row>
        <row r="215">
          <cell r="A215">
            <v>21851</v>
          </cell>
          <cell r="B215" t="str">
            <v>ALL NON-RES BLUE SKY</v>
          </cell>
          <cell r="C215" t="str">
            <v>AGA</v>
          </cell>
        </row>
        <row r="216">
          <cell r="A216">
            <v>21852</v>
          </cell>
          <cell r="B216" t="str">
            <v>ALL BLUE SKY RES</v>
          </cell>
          <cell r="C216" t="str">
            <v>AGA</v>
          </cell>
        </row>
        <row r="217">
          <cell r="A217">
            <v>21853</v>
          </cell>
          <cell r="B217" t="str">
            <v>301119 - UNBILLED REV - UNCOLLECTIBLE</v>
          </cell>
          <cell r="C217" t="str">
            <v>AGA</v>
          </cell>
        </row>
        <row r="218">
          <cell r="A218">
            <v>21834</v>
          </cell>
          <cell r="B218" t="str">
            <v>01FXRENEWN - OR NON-RES FIXED RENEWABLE</v>
          </cell>
          <cell r="C218" t="str">
            <v>AGA</v>
          </cell>
        </row>
        <row r="219">
          <cell r="A219">
            <v>21835</v>
          </cell>
          <cell r="B219" t="str">
            <v>01FXRENEWR - OR RES FIXED RENEWABLE</v>
          </cell>
          <cell r="C219" t="str">
            <v>AGA</v>
          </cell>
        </row>
        <row r="220">
          <cell r="A220">
            <v>21836</v>
          </cell>
          <cell r="B220" t="str">
            <v>02BLSKY01N - WA BLUESKY ENERGY NON-RES</v>
          </cell>
          <cell r="C220" t="str">
            <v>AGA</v>
          </cell>
        </row>
        <row r="221">
          <cell r="A221">
            <v>21837</v>
          </cell>
          <cell r="B221" t="str">
            <v>02BLSKY01R - WA BLUE SKY ENERGY RES</v>
          </cell>
          <cell r="C221" t="str">
            <v>AGA</v>
          </cell>
        </row>
        <row r="222">
          <cell r="A222">
            <v>21846</v>
          </cell>
          <cell r="B222" t="str">
            <v>01BULKBSKY - OR BKSY BULK PRICING</v>
          </cell>
          <cell r="C222" t="str">
            <v>AGA</v>
          </cell>
        </row>
        <row r="223">
          <cell r="A223">
            <v>21849</v>
          </cell>
          <cell r="B223" t="str">
            <v>01BLSKY01N - OR BLUE SKY NON-RES</v>
          </cell>
          <cell r="C223" t="str">
            <v>AGA</v>
          </cell>
        </row>
        <row r="224">
          <cell r="A224">
            <v>21859</v>
          </cell>
          <cell r="B224" t="str">
            <v>01LGSV028M - OR LGSV, &lt;1000 kW, Manual</v>
          </cell>
          <cell r="C224">
            <v>28</v>
          </cell>
        </row>
        <row r="225">
          <cell r="A225">
            <v>21860</v>
          </cell>
          <cell r="B225" t="str">
            <v>02NMT24135, Net metering, WA</v>
          </cell>
          <cell r="C225">
            <v>24</v>
          </cell>
        </row>
        <row r="226">
          <cell r="A226">
            <v>21867</v>
          </cell>
          <cell r="B226" t="str">
            <v>01LNX00312 - OR IRG LINE EXT</v>
          </cell>
          <cell r="C226" t="str">
            <v>AGA</v>
          </cell>
        </row>
        <row r="227">
          <cell r="A227">
            <v>21869</v>
          </cell>
          <cell r="B227" t="str">
            <v>02LGSB048T - WA GEN SRVC, NO BPA</v>
          </cell>
          <cell r="C227" t="str">
            <v>48T</v>
          </cell>
        </row>
        <row r="228">
          <cell r="A228">
            <v>20153</v>
          </cell>
          <cell r="B228" t="str">
            <v>01UPPL000N-BASE SCH FPACI</v>
          </cell>
          <cell r="C228" t="str">
            <v>AGA</v>
          </cell>
        </row>
        <row r="229">
          <cell r="A229">
            <v>21883</v>
          </cell>
          <cell r="B229" t="str">
            <v>01COSTL030-COST-BASED SUPPLY SVC,SEC DEL</v>
          </cell>
          <cell r="C229">
            <v>30</v>
          </cell>
        </row>
        <row r="230">
          <cell r="A230">
            <v>21884</v>
          </cell>
          <cell r="B230" t="str">
            <v>01LGSV0030-3P,DEMAND,VAR,SECONDARY DEL</v>
          </cell>
          <cell r="C230">
            <v>30</v>
          </cell>
        </row>
        <row r="231">
          <cell r="A231">
            <v>11182</v>
          </cell>
          <cell r="B231" t="str">
            <v>ACQUISITION COMMITMENT-WEST VALLEY LEASE</v>
          </cell>
          <cell r="C231" t="str">
            <v>AGA</v>
          </cell>
        </row>
        <row r="232">
          <cell r="A232">
            <v>11183</v>
          </cell>
          <cell r="B232" t="str">
            <v>ACQUISITION COMMITMENT-A and G CREDIT</v>
          </cell>
          <cell r="C232" t="str">
            <v>AGA</v>
          </cell>
        </row>
        <row r="233">
          <cell r="A233">
            <v>21892</v>
          </cell>
          <cell r="B233" t="str">
            <v>02GNSB0024-WA GEN SRVC DO</v>
          </cell>
          <cell r="C233">
            <v>24</v>
          </cell>
        </row>
        <row r="234">
          <cell r="A234">
            <v>21894</v>
          </cell>
          <cell r="B234" t="str">
            <v>02GNSB24FP-WA GEN SVC SEASONAL</v>
          </cell>
          <cell r="C234">
            <v>24</v>
          </cell>
        </row>
        <row r="235">
          <cell r="A235">
            <v>21896</v>
          </cell>
          <cell r="B235" t="str">
            <v>02LGSB0036-LRG GEN SVC IRG</v>
          </cell>
          <cell r="C235">
            <v>36</v>
          </cell>
        </row>
        <row r="236">
          <cell r="A236">
            <v>21898</v>
          </cell>
          <cell r="B236" t="str">
            <v>02OALTB15N-WA OUTD AR LGT NR</v>
          </cell>
          <cell r="C236">
            <v>15</v>
          </cell>
        </row>
        <row r="237">
          <cell r="A237">
            <v>21900</v>
          </cell>
          <cell r="B237" t="str">
            <v>02OALTB15R-WA OUTD AR LGT RES</v>
          </cell>
          <cell r="C237">
            <v>15</v>
          </cell>
        </row>
        <row r="238">
          <cell r="A238">
            <v>21902</v>
          </cell>
          <cell r="B238" t="str">
            <v>02GNSB024F-GEN SRVC DOM/F</v>
          </cell>
          <cell r="C238">
            <v>24</v>
          </cell>
        </row>
        <row r="239">
          <cell r="A239">
            <v>21919</v>
          </cell>
          <cell r="B239" t="str">
            <v>01CUSL053E-STR LGT SVC</v>
          </cell>
          <cell r="C239">
            <v>53</v>
          </cell>
        </row>
        <row r="240">
          <cell r="A240">
            <v>21918</v>
          </cell>
          <cell r="B240" t="str">
            <v>01LNX00310-LINE EXTENSION CONTRACT</v>
          </cell>
          <cell r="C240" t="str">
            <v>AGA</v>
          </cell>
        </row>
        <row r="241">
          <cell r="A241">
            <v>11194</v>
          </cell>
          <cell r="B241" t="str">
            <v>OR SB408 RECOVERY</v>
          </cell>
          <cell r="C241" t="str">
            <v>AGA</v>
          </cell>
        </row>
        <row r="242">
          <cell r="A242">
            <v>21921</v>
          </cell>
          <cell r="B242" t="str">
            <v>02LNX00311 - LINE EXT 80% GUARANTEE</v>
          </cell>
          <cell r="C242" t="str">
            <v>AGA</v>
          </cell>
        </row>
        <row r="243">
          <cell r="A243">
            <v>21931</v>
          </cell>
          <cell r="B243" t="str">
            <v>02LNX00310 - IRG, 80% ANNUAL MIN + 80%</v>
          </cell>
          <cell r="C243" t="str">
            <v>AGA</v>
          </cell>
        </row>
        <row r="244">
          <cell r="A244">
            <v>21932</v>
          </cell>
          <cell r="B244" t="str">
            <v>02LNX00312 - WA IRG LINE EXT</v>
          </cell>
          <cell r="C244" t="str">
            <v>AGA</v>
          </cell>
        </row>
        <row r="245">
          <cell r="A245">
            <v>11206</v>
          </cell>
          <cell r="B245" t="str">
            <v>OR SB 838 RECOVERY</v>
          </cell>
          <cell r="C245" t="str">
            <v>AGA</v>
          </cell>
        </row>
        <row r="246">
          <cell r="A246">
            <v>21935</v>
          </cell>
          <cell r="B246" t="str">
            <v>02NETMT135 - WA RES NET METERING</v>
          </cell>
          <cell r="C246">
            <v>16</v>
          </cell>
        </row>
        <row r="247">
          <cell r="A247">
            <v>21941</v>
          </cell>
          <cell r="B247" t="str">
            <v>01NMT30135 - OR NET MTR, GEN, &gt; 200 kW</v>
          </cell>
          <cell r="C247">
            <v>30</v>
          </cell>
        </row>
        <row r="248">
          <cell r="A248">
            <v>11212</v>
          </cell>
          <cell r="B248" t="str">
            <v>OR GAIN ON SALE OF ASSET</v>
          </cell>
          <cell r="C248" t="str">
            <v>AGA</v>
          </cell>
        </row>
        <row r="249">
          <cell r="A249">
            <v>21959</v>
          </cell>
          <cell r="B249" t="str">
            <v>02NMT36135-WA NET METER LRG SVC &lt; 1000KW</v>
          </cell>
          <cell r="C249">
            <v>36</v>
          </cell>
        </row>
        <row r="250">
          <cell r="A250">
            <v>21960</v>
          </cell>
          <cell r="B250" t="str">
            <v>01NMT33135 - OR NET MTR - PROJECT LAND</v>
          </cell>
          <cell r="C250">
            <v>33</v>
          </cell>
        </row>
        <row r="251">
          <cell r="A251">
            <v>11216</v>
          </cell>
          <cell r="B251" t="str">
            <v>WASHINGTON - CHEHALIS DEFERRAL</v>
          </cell>
          <cell r="C251" t="str">
            <v>AGA</v>
          </cell>
        </row>
        <row r="252">
          <cell r="A252">
            <v>11218</v>
          </cell>
          <cell r="B252" t="str">
            <v>301461-IRRIGATION DEMAND CHARGE ACCRUAL</v>
          </cell>
          <cell r="C252" t="str">
            <v>AGA</v>
          </cell>
        </row>
        <row r="253">
          <cell r="A253">
            <v>11220</v>
          </cell>
          <cell r="B253" t="str">
            <v>REVENUE_ACCOUNTING ADJUSTMENTS</v>
          </cell>
          <cell r="C253" t="str">
            <v>AGA</v>
          </cell>
        </row>
        <row r="254">
          <cell r="A254">
            <v>21970</v>
          </cell>
          <cell r="B254" t="str">
            <v>01NMTOU135-TOU NET METERING</v>
          </cell>
          <cell r="C254">
            <v>4</v>
          </cell>
        </row>
        <row r="255">
          <cell r="A255">
            <v>21972</v>
          </cell>
          <cell r="B255" t="str">
            <v>01COST004T-RES TOU ENERGY SUPPLY SVC</v>
          </cell>
          <cell r="C255">
            <v>4</v>
          </cell>
        </row>
        <row r="256">
          <cell r="A256">
            <v>21968</v>
          </cell>
          <cell r="B256" t="str">
            <v>01LNX00314 - LINE EXT 60% GUARANTEE</v>
          </cell>
          <cell r="C256" t="str">
            <v>AGA</v>
          </cell>
        </row>
        <row r="257">
          <cell r="A257">
            <v>21978</v>
          </cell>
          <cell r="B257" t="str">
            <v>01VIR04136-OR RES VOLUME INCENTIVE</v>
          </cell>
          <cell r="C257">
            <v>4</v>
          </cell>
        </row>
        <row r="258">
          <cell r="A258">
            <v>21980</v>
          </cell>
          <cell r="B258" t="str">
            <v>01VIR28136-OR VOLUME INCENTIVE &gt; 30 KW</v>
          </cell>
          <cell r="C258">
            <v>28</v>
          </cell>
        </row>
        <row r="259">
          <cell r="A259">
            <v>11215</v>
          </cell>
          <cell r="B259" t="str">
            <v>REVENUE ADJUSTMENT - DEFERRED NPC</v>
          </cell>
          <cell r="C259" t="str">
            <v>AGA</v>
          </cell>
        </row>
        <row r="260">
          <cell r="A260">
            <v>11218</v>
          </cell>
          <cell r="B260" t="str">
            <v>301461-IRRIGATION DEMAND CHARGE ACCRUAL</v>
          </cell>
          <cell r="C260" t="str">
            <v>AGA</v>
          </cell>
        </row>
        <row r="261">
          <cell r="A261">
            <v>20551</v>
          </cell>
          <cell r="B261" t="str">
            <v>06APSV0020-AG PMP SRVC</v>
          </cell>
          <cell r="C261" t="str">
            <v>PA20</v>
          </cell>
        </row>
        <row r="262">
          <cell r="A262">
            <v>20569</v>
          </cell>
          <cell r="B262" t="str">
            <v>06CHCK000N-CA NRES CHECK</v>
          </cell>
          <cell r="C262" t="str">
            <v>AGA</v>
          </cell>
        </row>
        <row r="263">
          <cell r="A263">
            <v>20570</v>
          </cell>
          <cell r="B263" t="str">
            <v>06CHCK000R-CA RES CHECK M</v>
          </cell>
          <cell r="C263" t="str">
            <v>AGA</v>
          </cell>
        </row>
        <row r="264">
          <cell r="A264">
            <v>20575</v>
          </cell>
          <cell r="B264" t="str">
            <v>06CUSL053F-SPECIAL CUST O</v>
          </cell>
          <cell r="C264" t="str">
            <v>LS53</v>
          </cell>
        </row>
        <row r="265">
          <cell r="A265">
            <v>20576</v>
          </cell>
          <cell r="B265" t="str">
            <v>06CUSL058F-CUST OWND STR</v>
          </cell>
          <cell r="C265" t="str">
            <v>LS58</v>
          </cell>
        </row>
        <row r="266">
          <cell r="A266">
            <v>20579</v>
          </cell>
          <cell r="B266" t="str">
            <v>06GNSV0A32-GEN SRVC-20 KW</v>
          </cell>
          <cell r="C266" t="str">
            <v>A32</v>
          </cell>
        </row>
        <row r="267">
          <cell r="A267">
            <v>20580</v>
          </cell>
          <cell r="B267" t="str">
            <v>06GNSV0025-CA GEN SRVC</v>
          </cell>
          <cell r="C267" t="str">
            <v>A25</v>
          </cell>
        </row>
        <row r="268">
          <cell r="A268">
            <v>20581</v>
          </cell>
          <cell r="B268" t="str">
            <v>06GNSV025F-GEN SRVC-&lt; 20</v>
          </cell>
          <cell r="C268" t="str">
            <v>A25</v>
          </cell>
        </row>
        <row r="269">
          <cell r="A269">
            <v>20585</v>
          </cell>
          <cell r="B269" t="str">
            <v>06HPSV0051-HI PRESSURE SO</v>
          </cell>
          <cell r="C269" t="str">
            <v>LS51</v>
          </cell>
        </row>
        <row r="270">
          <cell r="A270">
            <v>20590</v>
          </cell>
          <cell r="B270" t="str">
            <v>06LGSV0A36-LRG GEN SRVC-O</v>
          </cell>
          <cell r="C270" t="str">
            <v>A36</v>
          </cell>
        </row>
        <row r="271">
          <cell r="A271">
            <v>20595</v>
          </cell>
          <cell r="B271" t="str">
            <v>06LNX00102-LINE EXT 80% G</v>
          </cell>
          <cell r="C271" t="str">
            <v>AGA</v>
          </cell>
        </row>
        <row r="272">
          <cell r="A272">
            <v>20596</v>
          </cell>
          <cell r="B272" t="str">
            <v>06LNX00102-LINE EXT 80% G</v>
          </cell>
          <cell r="C272" t="str">
            <v>AGA</v>
          </cell>
        </row>
        <row r="273">
          <cell r="A273">
            <v>20602</v>
          </cell>
          <cell r="B273" t="str">
            <v>06LNX00105-CNTRCT $ MIN G</v>
          </cell>
          <cell r="C273" t="str">
            <v>AGA</v>
          </cell>
        </row>
        <row r="274">
          <cell r="A274">
            <v>20605</v>
          </cell>
          <cell r="B274" t="str">
            <v>06LNX00109-REF/NREF ADV +</v>
          </cell>
          <cell r="C274" t="str">
            <v>AGA</v>
          </cell>
        </row>
        <row r="275">
          <cell r="A275">
            <v>20606</v>
          </cell>
          <cell r="B275" t="str">
            <v>06LNX00109-REF/NREF ADV +</v>
          </cell>
          <cell r="C275" t="str">
            <v>AGA</v>
          </cell>
        </row>
        <row r="276">
          <cell r="A276">
            <v>20607</v>
          </cell>
          <cell r="B276" t="str">
            <v>06LNX00110-REF/NREF ADV +</v>
          </cell>
          <cell r="C276" t="str">
            <v>AGA</v>
          </cell>
        </row>
        <row r="277">
          <cell r="A277">
            <v>20620</v>
          </cell>
          <cell r="B277" t="str">
            <v>06OALT015N-OUTD AR LGT SR</v>
          </cell>
          <cell r="C277" t="str">
            <v>OL15</v>
          </cell>
        </row>
        <row r="278">
          <cell r="A278">
            <v>20621</v>
          </cell>
          <cell r="B278" t="str">
            <v>06OALT015R-OUTD AR LGT SR</v>
          </cell>
          <cell r="C278" t="str">
            <v>OL15</v>
          </cell>
        </row>
        <row r="279">
          <cell r="A279">
            <v>20625</v>
          </cell>
          <cell r="B279" t="str">
            <v>06RCFL0042-AIRWAY &amp; ATHLE</v>
          </cell>
          <cell r="C279" t="str">
            <v>OL42</v>
          </cell>
        </row>
        <row r="280">
          <cell r="A280">
            <v>20630</v>
          </cell>
          <cell r="B280" t="str">
            <v>06RESDDL06-CA LOW INCOME</v>
          </cell>
          <cell r="C280" t="str">
            <v>DL6</v>
          </cell>
        </row>
        <row r="281">
          <cell r="A281">
            <v>20637</v>
          </cell>
          <cell r="B281" t="str">
            <v>06RESD000D-RES SRVC</v>
          </cell>
          <cell r="C281" t="str">
            <v>D</v>
          </cell>
        </row>
        <row r="282">
          <cell r="A282">
            <v>20647</v>
          </cell>
          <cell r="B282" t="str">
            <v>06WHSV0031-COMM WTR HEATI</v>
          </cell>
          <cell r="C282" t="str">
            <v>AWH31</v>
          </cell>
        </row>
        <row r="283">
          <cell r="A283">
            <v>21142</v>
          </cell>
          <cell r="B283" t="str">
            <v>06LGSV048T-LRG GEN SERV</v>
          </cell>
          <cell r="C283" t="str">
            <v>AT48</v>
          </cell>
        </row>
        <row r="284">
          <cell r="A284">
            <v>21145</v>
          </cell>
          <cell r="B284" t="str">
            <v>06RESDDM9M-MULTI FAMILY</v>
          </cell>
          <cell r="C284" t="str">
            <v>DM9</v>
          </cell>
        </row>
        <row r="285">
          <cell r="A285">
            <v>21146</v>
          </cell>
          <cell r="B285" t="str">
            <v>06RESDDS8M-MULT FAM SBMET</v>
          </cell>
          <cell r="C285" t="str">
            <v>DS8</v>
          </cell>
        </row>
        <row r="286">
          <cell r="A286">
            <v>21158</v>
          </cell>
          <cell r="B286" t="str">
            <v>06USBR0040-KLAM IRG ONPRJ</v>
          </cell>
          <cell r="C286" t="str">
            <v>PA20</v>
          </cell>
        </row>
        <row r="287">
          <cell r="A287">
            <v>21774</v>
          </cell>
          <cell r="B287" t="str">
            <v>06NETMT135 - CA RES NET METERING</v>
          </cell>
          <cell r="C287" t="str">
            <v>D</v>
          </cell>
        </row>
        <row r="288">
          <cell r="A288">
            <v>21853</v>
          </cell>
          <cell r="B288" t="str">
            <v>301119 - UNBILLED REV - UNCOLLECTIBLE</v>
          </cell>
          <cell r="C288" t="str">
            <v>AGA</v>
          </cell>
        </row>
        <row r="289">
          <cell r="A289">
            <v>21855</v>
          </cell>
          <cell r="B289" t="str">
            <v>06RESD00DN - CA RES SRVC - DEL NORTE CTY</v>
          </cell>
          <cell r="C289" t="str">
            <v>D</v>
          </cell>
        </row>
        <row r="290">
          <cell r="A290">
            <v>21882</v>
          </cell>
          <cell r="B290" t="str">
            <v>06LNX00300 - 80% MONTHLY MIN GUAR + 80%</v>
          </cell>
          <cell r="C290" t="str">
            <v>AGA</v>
          </cell>
        </row>
        <row r="291">
          <cell r="A291">
            <v>21936</v>
          </cell>
          <cell r="B291" t="str">
            <v>21936-06NMT25135-CA GEN SVC NET MTR&lt;20KW</v>
          </cell>
          <cell r="C291" t="str">
            <v>A25</v>
          </cell>
        </row>
        <row r="292">
          <cell r="A292">
            <v>21937</v>
          </cell>
          <cell r="B292" t="str">
            <v>21937-06NMT32135-CA GEN SVC NET MTR&gt;20KW</v>
          </cell>
          <cell r="C292" t="str">
            <v>A32</v>
          </cell>
        </row>
        <row r="293">
          <cell r="A293">
            <v>21938</v>
          </cell>
          <cell r="B293" t="str">
            <v>06LNX00311 - LINE EXT 80% GUARANTEE</v>
          </cell>
          <cell r="C293" t="str">
            <v>AGA</v>
          </cell>
        </row>
        <row r="294">
          <cell r="A294">
            <v>21962</v>
          </cell>
          <cell r="B294" t="str">
            <v>06NMT36135-CA GEN SVC NET MTR-&gt;100 KW</v>
          </cell>
          <cell r="C294" t="str">
            <v>A36</v>
          </cell>
        </row>
        <row r="295">
          <cell r="A295">
            <v>29001</v>
          </cell>
          <cell r="B295" t="str">
            <v>CUSTOMER COUNT - REGULAR</v>
          </cell>
          <cell r="C295" t="str">
            <v>AGA</v>
          </cell>
        </row>
        <row r="296">
          <cell r="A296">
            <v>29003</v>
          </cell>
          <cell r="B296" t="str">
            <v>CUSTOMER CNT - IRRIGATION</v>
          </cell>
          <cell r="C296" t="str">
            <v>AGA</v>
          </cell>
        </row>
        <row r="297">
          <cell r="A297">
            <v>21979</v>
          </cell>
          <cell r="B297" t="str">
            <v>01VIR23136-OR VOLUME INCENTIVE &lt;= 30 KW</v>
          </cell>
          <cell r="C297">
            <v>23</v>
          </cell>
        </row>
        <row r="298">
          <cell r="A298">
            <v>21969</v>
          </cell>
          <cell r="B298" t="str">
            <v>01LEDSL055-OR LED PILOT STREET LIGHTING</v>
          </cell>
          <cell r="C298" t="str">
            <v>51 / 55</v>
          </cell>
        </row>
        <row r="299">
          <cell r="A299">
            <v>21965</v>
          </cell>
          <cell r="B299" t="str">
            <v>06RESD0DM9 - MULTI FAMILY</v>
          </cell>
          <cell r="C299" t="str">
            <v>DM9</v>
          </cell>
        </row>
        <row r="300">
          <cell r="A300">
            <v>21977</v>
          </cell>
          <cell r="B300" t="str">
            <v>06RESDDS8M-MULT FAM SBMET</v>
          </cell>
          <cell r="C300" t="str">
            <v>DS8</v>
          </cell>
        </row>
        <row r="301">
          <cell r="A301">
            <v>21983</v>
          </cell>
          <cell r="B301" t="str">
            <v>06WHS31025-COM WATER HEATING SVC</v>
          </cell>
          <cell r="C301" t="str">
            <v>A25</v>
          </cell>
        </row>
        <row r="302">
          <cell r="A302">
            <v>21933</v>
          </cell>
          <cell r="B302" t="str">
            <v>06LNX00312 - CA IRG LINE EXT</v>
          </cell>
          <cell r="C302" t="str">
            <v>AGA</v>
          </cell>
        </row>
        <row r="303">
          <cell r="A303">
            <v>21984</v>
          </cell>
          <cell r="B303" t="str">
            <v>01VIR33136-OR VOL INCENTIVE USB CONTRACT</v>
          </cell>
          <cell r="C303">
            <v>33</v>
          </cell>
        </row>
        <row r="304">
          <cell r="A304">
            <v>21987</v>
          </cell>
          <cell r="B304" t="str">
            <v>01NMT48135-NET METERING GEN SVC =&gt; 1000</v>
          </cell>
          <cell r="C304">
            <v>48</v>
          </cell>
        </row>
        <row r="305">
          <cell r="A305">
            <v>21988</v>
          </cell>
          <cell r="B305" t="str">
            <v>01VIR30136-OR VOLUME INCENTIVE &gt; 200 kW</v>
          </cell>
          <cell r="C305">
            <v>30</v>
          </cell>
        </row>
        <row r="306">
          <cell r="A306">
            <v>11195</v>
          </cell>
          <cell r="B306" t="str">
            <v>CA ALT RATE FOR ENERGY (CARE) PRGM</v>
          </cell>
          <cell r="C306" t="str">
            <v>AGA</v>
          </cell>
        </row>
        <row r="307">
          <cell r="A307">
            <v>20608</v>
          </cell>
          <cell r="B307" t="str">
            <v>06LNX00110-REF/NREF ADV +</v>
          </cell>
          <cell r="C307" t="str">
            <v>AGA</v>
          </cell>
        </row>
        <row r="308">
          <cell r="A308">
            <v>21946</v>
          </cell>
          <cell r="B308" t="str">
            <v>06LNX00310 - IRG, 80% ANNUAL MIN + 80%</v>
          </cell>
          <cell r="C308" t="str">
            <v>AGA</v>
          </cell>
        </row>
        <row r="309">
          <cell r="A309">
            <v>20303</v>
          </cell>
          <cell r="B309" t="str">
            <v>02UPPL000R-BASE SCH FALL</v>
          </cell>
          <cell r="C309" t="str">
            <v>AGA</v>
          </cell>
        </row>
        <row r="310">
          <cell r="A310">
            <v>20597</v>
          </cell>
          <cell r="B310" t="str">
            <v>06LNX00103-LINE EXT 80% G</v>
          </cell>
          <cell r="C310" t="str">
            <v>AGA</v>
          </cell>
        </row>
        <row r="311">
          <cell r="A311">
            <v>21992</v>
          </cell>
          <cell r="B311" t="str">
            <v>01VIR41136-OR VOLUME INCENTIVE-AGRI PUMP</v>
          </cell>
          <cell r="C311">
            <v>41</v>
          </cell>
        </row>
        <row r="312">
          <cell r="A312">
            <v>21997</v>
          </cell>
          <cell r="B312" t="str">
            <v>01OALTB15N-OR OUTD AR LGT NR</v>
          </cell>
          <cell r="C312">
            <v>15</v>
          </cell>
        </row>
        <row r="313">
          <cell r="A313">
            <v>21998</v>
          </cell>
          <cell r="B313" t="str">
            <v>01OALTB15R-OR OUTD AR LGT RES</v>
          </cell>
          <cell r="C313">
            <v>15</v>
          </cell>
        </row>
        <row r="314">
          <cell r="A314">
            <v>11234</v>
          </cell>
          <cell r="B314" t="str">
            <v>OTHER REVENUE ADJ - DEFERRAL</v>
          </cell>
          <cell r="C314" t="str">
            <v>AGA</v>
          </cell>
        </row>
        <row r="315">
          <cell r="A315">
            <v>11235</v>
          </cell>
          <cell r="B315" t="str">
            <v>OTHER REVENUE ADJ - REALIZED</v>
          </cell>
          <cell r="C315" t="str">
            <v>AGA</v>
          </cell>
        </row>
        <row r="316">
          <cell r="A316">
            <v>22003</v>
          </cell>
          <cell r="B316" t="str">
            <v>01VIR48136-OR VOLUME INCENTIVE &gt; 1000 KW</v>
          </cell>
          <cell r="C316">
            <v>48</v>
          </cell>
        </row>
        <row r="317">
          <cell r="A317">
            <v>22005</v>
          </cell>
          <cell r="B317" t="str">
            <v>01RGNSB023-SMALL GENERAL SVC-RES</v>
          </cell>
          <cell r="C317">
            <v>23</v>
          </cell>
        </row>
        <row r="318">
          <cell r="A318">
            <v>22008</v>
          </cell>
          <cell r="B318" t="str">
            <v>02RGNSB024-WA SMALL GENERAL SVC-RES</v>
          </cell>
          <cell r="C318">
            <v>24</v>
          </cell>
        </row>
        <row r="319">
          <cell r="A319">
            <v>22010</v>
          </cell>
          <cell r="B319" t="str">
            <v>06RGNSV025-CA SMALL GENERAL SVC-RES</v>
          </cell>
          <cell r="C319" t="str">
            <v>A25</v>
          </cell>
        </row>
        <row r="320">
          <cell r="A320">
            <v>20598</v>
          </cell>
          <cell r="B320" t="str">
            <v>06LNX00103-LINE EXT 80% G</v>
          </cell>
          <cell r="C320" t="str">
            <v>AGA</v>
          </cell>
        </row>
        <row r="321">
          <cell r="A321">
            <v>22014</v>
          </cell>
          <cell r="B321" t="str">
            <v>01COSTR023, OR RES GEN SRV, COST BASED</v>
          </cell>
          <cell r="C321">
            <v>23</v>
          </cell>
        </row>
        <row r="322">
          <cell r="A322">
            <v>11244</v>
          </cell>
          <cell r="B322" t="str">
            <v>301170-DSM REVENUE-RESIDENTIAL</v>
          </cell>
          <cell r="C322" t="str">
            <v>AGA</v>
          </cell>
        </row>
        <row r="323">
          <cell r="A323">
            <v>11246</v>
          </cell>
          <cell r="B323" t="str">
            <v>301180-BLUE SKY REVENUE-RESIDENTIAL</v>
          </cell>
          <cell r="C323" t="str">
            <v>AGA</v>
          </cell>
        </row>
        <row r="324">
          <cell r="A324">
            <v>11247</v>
          </cell>
          <cell r="B324" t="str">
            <v>301270-DSM REVENUE-COMMERCIAL</v>
          </cell>
          <cell r="C324" t="str">
            <v>AGA</v>
          </cell>
        </row>
        <row r="325">
          <cell r="A325">
            <v>11251</v>
          </cell>
          <cell r="B325" t="str">
            <v>301280-BLUE SKY REVENUE-COMMERCIAL</v>
          </cell>
          <cell r="C325" t="str">
            <v>AGA</v>
          </cell>
        </row>
        <row r="326">
          <cell r="A326">
            <v>11252</v>
          </cell>
          <cell r="B326" t="str">
            <v>301370-DSM REVENUE-INDUSTRIAL</v>
          </cell>
          <cell r="C326" t="str">
            <v>AGA</v>
          </cell>
        </row>
        <row r="327">
          <cell r="A327">
            <v>11256</v>
          </cell>
          <cell r="B327" t="str">
            <v>301380-BLUE SKY REVENUE-INDUSTRIAL</v>
          </cell>
          <cell r="C327" t="str">
            <v>AGA</v>
          </cell>
        </row>
        <row r="328">
          <cell r="A328">
            <v>11257</v>
          </cell>
          <cell r="B328" t="str">
            <v>301470-DSM REVENUE-IRRIGATION</v>
          </cell>
          <cell r="C328" t="str">
            <v>AGA</v>
          </cell>
        </row>
        <row r="329">
          <cell r="A329">
            <v>11260</v>
          </cell>
          <cell r="B329" t="str">
            <v>301670-DSM REVENUE-PSHL</v>
          </cell>
          <cell r="C329" t="str">
            <v>AGA</v>
          </cell>
        </row>
        <row r="330">
          <cell r="A330">
            <v>22019</v>
          </cell>
          <cell r="B330" t="str">
            <v>01RENWR023-RENEW USAGE SPLY SVC-GEN SVC</v>
          </cell>
          <cell r="C330">
            <v>23</v>
          </cell>
        </row>
        <row r="331">
          <cell r="A331">
            <v>11259</v>
          </cell>
          <cell r="B331" t="str">
            <v>301480-BLUE SKY REVENUE-IRRIGATION</v>
          </cell>
          <cell r="C331" t="str">
            <v>AGA</v>
          </cell>
        </row>
        <row r="332">
          <cell r="A332">
            <v>22020</v>
          </cell>
          <cell r="B332" t="str">
            <v>01HABTR023-RES GEN SVC HABITAT BLND</v>
          </cell>
          <cell r="C332">
            <v>23</v>
          </cell>
        </row>
        <row r="333">
          <cell r="A333">
            <v>11277</v>
          </cell>
          <cell r="B333" t="str">
            <v>367680-REVENUE ADJ PROPERTY INSUR-COM</v>
          </cell>
          <cell r="C333" t="str">
            <v>AGA</v>
          </cell>
        </row>
        <row r="334">
          <cell r="A334">
            <v>11278</v>
          </cell>
          <cell r="B334" t="str">
            <v>367780-REVENUE ADJ PROPERTY INSUR-IND</v>
          </cell>
          <cell r="C334" t="str">
            <v>AGA</v>
          </cell>
        </row>
        <row r="335">
          <cell r="A335">
            <v>11276</v>
          </cell>
          <cell r="B335" t="str">
            <v>367580-REVENUE ADJ PROPERTY INSUR-RES</v>
          </cell>
          <cell r="C335" t="str">
            <v>AGA</v>
          </cell>
        </row>
        <row r="336">
          <cell r="A336">
            <v>20646</v>
          </cell>
          <cell r="B336" t="str">
            <v>06UPPL000R-BASE SCH FALL</v>
          </cell>
          <cell r="C336" t="str">
            <v>AGA</v>
          </cell>
        </row>
        <row r="337">
          <cell r="A337">
            <v>22022</v>
          </cell>
          <cell r="B337" t="str">
            <v>06NMT20135-AGRICULTURAL PUMP-NET METER</v>
          </cell>
          <cell r="C337" t="str">
            <v>PA20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5"/>
      <sheetName val="IPOA20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11">
          <cell r="B11">
            <v>11862537</v>
          </cell>
        </row>
      </sheetData>
      <sheetData sheetId="28"/>
      <sheetData sheetId="29"/>
      <sheetData sheetId="30"/>
      <sheetData sheetId="31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Reasonable Test w HDD"/>
      <sheetName val="Billed Therms Trueup"/>
      <sheetName val="Degree Days Trueup"/>
      <sheetName val="Prior Month Summary"/>
    </sheetNames>
    <sheetDataSet>
      <sheetData sheetId="0" refreshError="1"/>
      <sheetData sheetId="1" refreshError="1"/>
      <sheetData sheetId="2"/>
      <sheetData sheetId="3"/>
      <sheetData sheetId="4"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7099</v>
          </cell>
          <cell r="B9">
            <v>92</v>
          </cell>
          <cell r="C9" t="str">
            <v>BOEING - FREDRICKSON</v>
          </cell>
          <cell r="D9">
            <v>0</v>
          </cell>
          <cell r="E9">
            <v>215390.34099999999</v>
          </cell>
        </row>
        <row r="10">
          <cell r="A10">
            <v>7099</v>
          </cell>
          <cell r="B10">
            <v>99</v>
          </cell>
          <cell r="C10" t="str">
            <v>BOEING SOUTH SEATTLE</v>
          </cell>
          <cell r="D10">
            <v>68200</v>
          </cell>
          <cell r="E10">
            <v>548981.96499999997</v>
          </cell>
        </row>
        <row r="11">
          <cell r="A11">
            <v>7099</v>
          </cell>
          <cell r="B11">
            <v>103</v>
          </cell>
          <cell r="C11" t="str">
            <v>BOEING NORTH SEATTLE</v>
          </cell>
          <cell r="D11">
            <v>599344.52800000005</v>
          </cell>
          <cell r="E11">
            <v>139554.92199999999</v>
          </cell>
        </row>
        <row r="12">
          <cell r="A12">
            <v>7099</v>
          </cell>
          <cell r="B12">
            <v>109</v>
          </cell>
          <cell r="C12" t="str">
            <v>BOEING AUBURN</v>
          </cell>
          <cell r="D12">
            <v>217000</v>
          </cell>
          <cell r="E12">
            <v>193375.07</v>
          </cell>
        </row>
        <row r="13">
          <cell r="A13">
            <v>7099</v>
          </cell>
          <cell r="B13">
            <v>111</v>
          </cell>
          <cell r="C13" t="str">
            <v>GRAYMONT WESTERN</v>
          </cell>
          <cell r="D13">
            <v>0</v>
          </cell>
          <cell r="E13">
            <v>379.47800000000001</v>
          </cell>
        </row>
        <row r="14">
          <cell r="A14" t="str">
            <v>3085T</v>
          </cell>
          <cell r="B14">
            <v>202</v>
          </cell>
          <cell r="C14" t="str">
            <v>CLEAN ENERGY</v>
          </cell>
          <cell r="D14">
            <v>8204.8340000000007</v>
          </cell>
          <cell r="E14">
            <v>0</v>
          </cell>
        </row>
        <row r="15">
          <cell r="A15" t="str">
            <v>3085T</v>
          </cell>
          <cell r="B15">
            <v>12</v>
          </cell>
          <cell r="C15" t="str">
            <v>ALSCO AMERICAN LINEN</v>
          </cell>
          <cell r="D15">
            <v>4725</v>
          </cell>
          <cell r="E15">
            <v>10985.45</v>
          </cell>
        </row>
        <row r="16">
          <cell r="A16" t="str">
            <v>3085T</v>
          </cell>
          <cell r="B16">
            <v>22</v>
          </cell>
          <cell r="C16" t="str">
            <v>SAFEWAY DISTRIBUTION</v>
          </cell>
          <cell r="D16">
            <v>13795</v>
          </cell>
          <cell r="E16">
            <v>31171.79</v>
          </cell>
        </row>
        <row r="17">
          <cell r="A17" t="str">
            <v>3085T</v>
          </cell>
          <cell r="B17">
            <v>32</v>
          </cell>
          <cell r="C17" t="str">
            <v>FRANCISCAN HEALTH SYSTEM</v>
          </cell>
          <cell r="D17">
            <v>9486</v>
          </cell>
          <cell r="E17">
            <v>29839.97</v>
          </cell>
        </row>
        <row r="18">
          <cell r="A18" t="str">
            <v>3085T</v>
          </cell>
          <cell r="B18">
            <v>35</v>
          </cell>
          <cell r="C18" t="str">
            <v>MULTICARE ALLENMORE HOSPITAL</v>
          </cell>
          <cell r="D18">
            <v>775</v>
          </cell>
          <cell r="E18">
            <v>14635.450999999999</v>
          </cell>
        </row>
        <row r="19">
          <cell r="A19" t="str">
            <v>3085T</v>
          </cell>
          <cell r="B19">
            <v>46</v>
          </cell>
          <cell r="C19" t="str">
            <v>STOCKPOT FOODS</v>
          </cell>
          <cell r="D19">
            <v>44386.841999999997</v>
          </cell>
          <cell r="E19">
            <v>0</v>
          </cell>
        </row>
        <row r="20">
          <cell r="A20" t="str">
            <v>3085T</v>
          </cell>
          <cell r="B20">
            <v>54</v>
          </cell>
          <cell r="C20" t="str">
            <v>SWEDISH MEDICAL CENTER</v>
          </cell>
          <cell r="D20">
            <v>4774</v>
          </cell>
          <cell r="E20">
            <v>12358.472</v>
          </cell>
        </row>
        <row r="21">
          <cell r="A21" t="str">
            <v>3085T</v>
          </cell>
          <cell r="B21">
            <v>70</v>
          </cell>
          <cell r="C21" t="str">
            <v>HEALTHCARE LAUNDRY</v>
          </cell>
          <cell r="D21">
            <v>19036.984</v>
          </cell>
          <cell r="E21">
            <v>10796.455</v>
          </cell>
        </row>
        <row r="22">
          <cell r="A22" t="str">
            <v>3085T</v>
          </cell>
          <cell r="B22">
            <v>137</v>
          </cell>
          <cell r="C22" t="str">
            <v>CINTAS</v>
          </cell>
          <cell r="D22">
            <v>18637.853999999999</v>
          </cell>
          <cell r="E22">
            <v>2742.6179999999999</v>
          </cell>
        </row>
        <row r="23">
          <cell r="A23" t="str">
            <v>3085T</v>
          </cell>
          <cell r="B23">
            <v>142</v>
          </cell>
          <cell r="C23" t="str">
            <v>CHILDREN'S HOSPITAL</v>
          </cell>
          <cell r="D23">
            <v>3565</v>
          </cell>
          <cell r="E23">
            <v>98632.036999999997</v>
          </cell>
        </row>
        <row r="24">
          <cell r="A24" t="str">
            <v>3085T</v>
          </cell>
          <cell r="B24">
            <v>205</v>
          </cell>
          <cell r="C24" t="str">
            <v>CARDINAL TG</v>
          </cell>
          <cell r="D24">
            <v>0</v>
          </cell>
          <cell r="E24">
            <v>98798.926000000007</v>
          </cell>
        </row>
        <row r="25">
          <cell r="A25" t="str">
            <v>3085T</v>
          </cell>
          <cell r="B25">
            <v>232</v>
          </cell>
          <cell r="C25" t="str">
            <v>WASTE MANAGEMENT</v>
          </cell>
          <cell r="D25">
            <v>0</v>
          </cell>
          <cell r="E25">
            <v>127416.982</v>
          </cell>
        </row>
        <row r="26">
          <cell r="A26" t="str">
            <v>3085T</v>
          </cell>
          <cell r="B26">
            <v>233</v>
          </cell>
          <cell r="C26" t="str">
            <v>CLEAN SCAPES</v>
          </cell>
          <cell r="D26">
            <v>69964.831999999995</v>
          </cell>
          <cell r="E26">
            <v>0</v>
          </cell>
        </row>
        <row r="27">
          <cell r="A27" t="str">
            <v>3085T</v>
          </cell>
          <cell r="B27">
            <v>241</v>
          </cell>
          <cell r="C27" t="str">
            <v>LAKESIDE INDUSTRIES - CENTRALIA</v>
          </cell>
          <cell r="D27">
            <v>5147.6809999999996</v>
          </cell>
          <cell r="E27">
            <v>59174.154000000002</v>
          </cell>
        </row>
        <row r="28">
          <cell r="A28" t="str">
            <v>3085T</v>
          </cell>
          <cell r="B28">
            <v>263</v>
          </cell>
          <cell r="C28" t="str">
            <v>FIRCREST SCHOOL</v>
          </cell>
          <cell r="D28">
            <v>43400</v>
          </cell>
          <cell r="E28">
            <v>16205.143</v>
          </cell>
        </row>
        <row r="29">
          <cell r="A29" t="str">
            <v>3085T</v>
          </cell>
          <cell r="B29">
            <v>288</v>
          </cell>
          <cell r="C29" t="str">
            <v>CLEAN ENERGY</v>
          </cell>
          <cell r="D29">
            <v>109810.27</v>
          </cell>
          <cell r="E29">
            <v>75902.153999999995</v>
          </cell>
        </row>
        <row r="30">
          <cell r="A30" t="str">
            <v>3085T</v>
          </cell>
          <cell r="B30">
            <v>318</v>
          </cell>
          <cell r="C30" t="str">
            <v>GOOD SAMARITAN HOSPITAL</v>
          </cell>
          <cell r="D30">
            <v>899</v>
          </cell>
          <cell r="E30">
            <v>67882.543000000005</v>
          </cell>
        </row>
        <row r="31">
          <cell r="A31" t="str">
            <v>3085T</v>
          </cell>
          <cell r="B31">
            <v>328</v>
          </cell>
          <cell r="C31" t="str">
            <v>GROUP HEALTH SEATTLE</v>
          </cell>
          <cell r="D31">
            <v>1891</v>
          </cell>
          <cell r="E31">
            <v>41197.951999999997</v>
          </cell>
        </row>
        <row r="32">
          <cell r="A32" t="str">
            <v>3085T</v>
          </cell>
          <cell r="B32">
            <v>359</v>
          </cell>
          <cell r="C32" t="str">
            <v>HOSPITAL CENTRAL SERVICES</v>
          </cell>
          <cell r="D32">
            <v>36822.097000000002</v>
          </cell>
          <cell r="E32">
            <v>16988.741000000002</v>
          </cell>
        </row>
        <row r="33">
          <cell r="A33" t="str">
            <v>3085T</v>
          </cell>
          <cell r="B33">
            <v>624</v>
          </cell>
          <cell r="C33" t="str">
            <v>OVERLAKE HOSPITAL</v>
          </cell>
          <cell r="D33">
            <v>1085</v>
          </cell>
          <cell r="E33">
            <v>56460.298000000003</v>
          </cell>
        </row>
        <row r="34">
          <cell r="A34" t="str">
            <v>3085T</v>
          </cell>
          <cell r="B34">
            <v>626</v>
          </cell>
          <cell r="C34" t="str">
            <v>OSTROMS MUSHROOMS</v>
          </cell>
          <cell r="D34">
            <v>0</v>
          </cell>
          <cell r="E34">
            <v>35317.290999999997</v>
          </cell>
        </row>
        <row r="35">
          <cell r="A35" t="str">
            <v>3085T</v>
          </cell>
          <cell r="B35">
            <v>656</v>
          </cell>
          <cell r="C35" t="str">
            <v>ST JOSEPHS HOSP.</v>
          </cell>
          <cell r="D35">
            <v>62</v>
          </cell>
          <cell r="E35">
            <v>70063.906000000003</v>
          </cell>
        </row>
        <row r="36">
          <cell r="A36" t="str">
            <v>3085T</v>
          </cell>
          <cell r="B36">
            <v>665</v>
          </cell>
          <cell r="C36" t="str">
            <v>SWEDISH HEALTH SERV</v>
          </cell>
          <cell r="D36">
            <v>2790</v>
          </cell>
          <cell r="E36">
            <v>48082.89</v>
          </cell>
        </row>
        <row r="37">
          <cell r="A37" t="str">
            <v>3085T</v>
          </cell>
          <cell r="B37">
            <v>706</v>
          </cell>
          <cell r="C37" t="str">
            <v>ARAMARK EVERETT</v>
          </cell>
          <cell r="D37">
            <v>21817.460999999999</v>
          </cell>
          <cell r="E37">
            <v>0</v>
          </cell>
        </row>
        <row r="38">
          <cell r="A38" t="str">
            <v>3085T</v>
          </cell>
          <cell r="B38">
            <v>758</v>
          </cell>
          <cell r="C38" t="str">
            <v>STEVENS HEALTHCARE</v>
          </cell>
          <cell r="D38">
            <v>0</v>
          </cell>
          <cell r="E38">
            <v>31309.682000000001</v>
          </cell>
        </row>
        <row r="39">
          <cell r="A39" t="str">
            <v>3085T</v>
          </cell>
          <cell r="B39">
            <v>800</v>
          </cell>
          <cell r="C39" t="str">
            <v>SERVICE LINEN SUPPLY</v>
          </cell>
          <cell r="D39">
            <v>13586.248</v>
          </cell>
          <cell r="E39">
            <v>12812.539000000001</v>
          </cell>
        </row>
        <row r="40">
          <cell r="A40" t="str">
            <v>3085T</v>
          </cell>
          <cell r="B40">
            <v>810</v>
          </cell>
          <cell r="C40" t="str">
            <v>ST. FRANCIS HOSPITAL</v>
          </cell>
          <cell r="D40">
            <v>2325</v>
          </cell>
          <cell r="E40">
            <v>14255.228999999999</v>
          </cell>
        </row>
        <row r="41">
          <cell r="A41" t="str">
            <v>3085T</v>
          </cell>
          <cell r="B41">
            <v>865</v>
          </cell>
          <cell r="C41" t="str">
            <v>SUPERIOR LINEN</v>
          </cell>
          <cell r="D41">
            <v>21084.149000000001</v>
          </cell>
          <cell r="E41">
            <v>27.268000000000001</v>
          </cell>
        </row>
        <row r="42">
          <cell r="A42" t="str">
            <v>3085T</v>
          </cell>
          <cell r="B42">
            <v>881</v>
          </cell>
          <cell r="C42" t="str">
            <v>TACOMA GENERAL HOSPITAL</v>
          </cell>
          <cell r="D42">
            <v>62</v>
          </cell>
          <cell r="E42">
            <v>79669.661999999997</v>
          </cell>
        </row>
        <row r="43">
          <cell r="A43" t="str">
            <v>3085T</v>
          </cell>
          <cell r="B43">
            <v>890</v>
          </cell>
          <cell r="C43" t="str">
            <v>DOUBLETREE HOTEL</v>
          </cell>
          <cell r="D43">
            <v>41304.158000000003</v>
          </cell>
          <cell r="E43">
            <v>0</v>
          </cell>
        </row>
        <row r="44">
          <cell r="A44" t="str">
            <v>3085T</v>
          </cell>
          <cell r="B44">
            <v>905</v>
          </cell>
          <cell r="C44" t="str">
            <v>VALLEY MEDICAL</v>
          </cell>
          <cell r="D44">
            <v>7440</v>
          </cell>
          <cell r="E44">
            <v>57129.245999999999</v>
          </cell>
        </row>
        <row r="45">
          <cell r="A45" t="str">
            <v>3085T</v>
          </cell>
          <cell r="B45">
            <v>911</v>
          </cell>
          <cell r="C45" t="str">
            <v>VETERAN'S HOSPITAL</v>
          </cell>
          <cell r="D45">
            <v>0</v>
          </cell>
          <cell r="E45">
            <v>89428.481</v>
          </cell>
        </row>
        <row r="46">
          <cell r="A46" t="str">
            <v>3085T</v>
          </cell>
          <cell r="B46">
            <v>2485</v>
          </cell>
          <cell r="C46" t="str">
            <v>CAPITAL MEDICAL CENTER</v>
          </cell>
          <cell r="D46">
            <v>2635</v>
          </cell>
          <cell r="E46">
            <v>16031.608</v>
          </cell>
        </row>
        <row r="47">
          <cell r="A47" t="str">
            <v>3085T</v>
          </cell>
          <cell r="B47">
            <v>2647</v>
          </cell>
          <cell r="C47" t="str">
            <v>ST CLAIRE HOSPITAL</v>
          </cell>
          <cell r="D47">
            <v>620</v>
          </cell>
          <cell r="E47">
            <v>14788.306</v>
          </cell>
        </row>
        <row r="48">
          <cell r="A48" t="str">
            <v>3087T</v>
          </cell>
          <cell r="B48">
            <v>677</v>
          </cell>
          <cell r="C48" t="str">
            <v>PIERCE TRANSIT</v>
          </cell>
          <cell r="D48">
            <v>0</v>
          </cell>
          <cell r="E48">
            <v>0</v>
          </cell>
        </row>
        <row r="49">
          <cell r="A49" t="str">
            <v>3087T</v>
          </cell>
          <cell r="B49">
            <v>782</v>
          </cell>
          <cell r="C49" t="str">
            <v>SEATTLE STEAM</v>
          </cell>
          <cell r="D49">
            <v>62</v>
          </cell>
          <cell r="E49">
            <v>764210.05500000005</v>
          </cell>
        </row>
        <row r="50">
          <cell r="A50" t="str">
            <v>3241T</v>
          </cell>
          <cell r="B50">
            <v>251</v>
          </cell>
          <cell r="C50" t="str">
            <v>CLEAN ENERGY</v>
          </cell>
          <cell r="D50">
            <v>19902.919000000002</v>
          </cell>
          <cell r="E50">
            <v>0</v>
          </cell>
        </row>
        <row r="51">
          <cell r="A51" t="str">
            <v>3241T</v>
          </cell>
          <cell r="B51">
            <v>253</v>
          </cell>
          <cell r="C51" t="str">
            <v>DARDEN - TACOMA</v>
          </cell>
          <cell r="D51">
            <v>3115.777</v>
          </cell>
          <cell r="E51">
            <v>0</v>
          </cell>
        </row>
        <row r="52">
          <cell r="A52" t="str">
            <v>3241T</v>
          </cell>
          <cell r="B52">
            <v>254</v>
          </cell>
          <cell r="C52" t="str">
            <v>DARDEN - FEDERAL WAY</v>
          </cell>
          <cell r="D52">
            <v>2159.3580000000002</v>
          </cell>
          <cell r="E52">
            <v>0</v>
          </cell>
        </row>
        <row r="53">
          <cell r="A53" t="str">
            <v>3241T</v>
          </cell>
          <cell r="B53">
            <v>255</v>
          </cell>
          <cell r="C53" t="str">
            <v>DARDEN - LYNWOOD</v>
          </cell>
          <cell r="D53">
            <v>2530.9989999999998</v>
          </cell>
          <cell r="E53">
            <v>0</v>
          </cell>
        </row>
        <row r="54">
          <cell r="A54" t="str">
            <v>3241T</v>
          </cell>
          <cell r="B54">
            <v>256</v>
          </cell>
          <cell r="C54" t="str">
            <v>DARDEN - LYNWOOD</v>
          </cell>
          <cell r="D54">
            <v>3785.5250000000001</v>
          </cell>
          <cell r="E54">
            <v>0</v>
          </cell>
        </row>
        <row r="55">
          <cell r="A55" t="str">
            <v>3241T</v>
          </cell>
          <cell r="B55">
            <v>257</v>
          </cell>
          <cell r="C55" t="str">
            <v>DARDEN - KIRKLAND</v>
          </cell>
          <cell r="D55">
            <v>3940.9360000000001</v>
          </cell>
          <cell r="E55">
            <v>0</v>
          </cell>
        </row>
        <row r="56">
          <cell r="A56" t="str">
            <v>3241T</v>
          </cell>
          <cell r="B56">
            <v>316</v>
          </cell>
          <cell r="C56" t="str">
            <v>DARDEN - OLYMPIA</v>
          </cell>
          <cell r="D56">
            <v>3907.297</v>
          </cell>
          <cell r="E56">
            <v>0</v>
          </cell>
        </row>
        <row r="57">
          <cell r="A57" t="str">
            <v>3241T</v>
          </cell>
          <cell r="B57">
            <v>319</v>
          </cell>
          <cell r="C57" t="str">
            <v>DARDEN - PUYALLUP</v>
          </cell>
          <cell r="D57">
            <v>4258.4040000000005</v>
          </cell>
          <cell r="E57">
            <v>0</v>
          </cell>
        </row>
        <row r="58">
          <cell r="A58" t="str">
            <v>3241T</v>
          </cell>
          <cell r="B58">
            <v>323</v>
          </cell>
          <cell r="C58" t="str">
            <v>DARDEN - TACOMA</v>
          </cell>
          <cell r="D58">
            <v>3410.7330000000002</v>
          </cell>
          <cell r="E58">
            <v>0</v>
          </cell>
        </row>
        <row r="59">
          <cell r="A59" t="str">
            <v>3241T</v>
          </cell>
          <cell r="B59">
            <v>329</v>
          </cell>
          <cell r="C59" t="str">
            <v>DARDEN - TUKWILA</v>
          </cell>
          <cell r="D59">
            <v>3159.183</v>
          </cell>
          <cell r="E59">
            <v>0</v>
          </cell>
        </row>
        <row r="60">
          <cell r="A60" t="str">
            <v>3241T</v>
          </cell>
          <cell r="B60">
            <v>330</v>
          </cell>
          <cell r="C60" t="str">
            <v>DARDEN - TUKWILA</v>
          </cell>
          <cell r="D60">
            <v>3880.51</v>
          </cell>
          <cell r="E60">
            <v>0</v>
          </cell>
        </row>
        <row r="61">
          <cell r="A61" t="str">
            <v>3241T</v>
          </cell>
          <cell r="B61">
            <v>813</v>
          </cell>
          <cell r="C61" t="str">
            <v>SMITH GARDENS</v>
          </cell>
          <cell r="D61">
            <v>2252.6889999999999</v>
          </cell>
          <cell r="E61">
            <v>0</v>
          </cell>
        </row>
        <row r="62">
          <cell r="A62" t="str">
            <v>3241T</v>
          </cell>
          <cell r="B62">
            <v>1054</v>
          </cell>
          <cell r="C62" t="str">
            <v>TOMLINSON LINENEN</v>
          </cell>
          <cell r="D62">
            <v>34065.279000000002</v>
          </cell>
          <cell r="E62">
            <v>0</v>
          </cell>
        </row>
        <row r="63">
          <cell r="A63" t="str">
            <v>3241T</v>
          </cell>
          <cell r="B63">
            <v>1669</v>
          </cell>
          <cell r="C63" t="str">
            <v>COSTCO - KIRKLAND</v>
          </cell>
          <cell r="D63">
            <v>3099.933</v>
          </cell>
          <cell r="E63">
            <v>0</v>
          </cell>
        </row>
        <row r="64">
          <cell r="A64" t="str">
            <v>3241T</v>
          </cell>
          <cell r="B64">
            <v>2354</v>
          </cell>
          <cell r="C64" t="str">
            <v>COSTCO - COVINGTON</v>
          </cell>
          <cell r="D64">
            <v>2836.09</v>
          </cell>
          <cell r="E64">
            <v>0</v>
          </cell>
        </row>
        <row r="65">
          <cell r="A65" t="str">
            <v>3241T</v>
          </cell>
          <cell r="B65">
            <v>3093</v>
          </cell>
          <cell r="C65" t="str">
            <v>COSTCO - FEDERAL WAY</v>
          </cell>
          <cell r="D65">
            <v>2537.8090000000002</v>
          </cell>
          <cell r="E65">
            <v>0</v>
          </cell>
        </row>
        <row r="66">
          <cell r="A66" t="str">
            <v>3241T</v>
          </cell>
          <cell r="B66">
            <v>3760</v>
          </cell>
          <cell r="C66" t="str">
            <v>COSTCO - TUMWATER</v>
          </cell>
          <cell r="D66">
            <v>3367.6990000000001</v>
          </cell>
          <cell r="E66">
            <v>0</v>
          </cell>
        </row>
        <row r="67">
          <cell r="A67" t="str">
            <v>3241T</v>
          </cell>
          <cell r="B67">
            <v>4039</v>
          </cell>
          <cell r="C67" t="str">
            <v>COSTCO - SHORELINE</v>
          </cell>
          <cell r="D67">
            <v>5462.4350000000004</v>
          </cell>
          <cell r="E67">
            <v>0</v>
          </cell>
        </row>
        <row r="68">
          <cell r="A68" t="str">
            <v>3241T</v>
          </cell>
          <cell r="B68">
            <v>4149</v>
          </cell>
          <cell r="C68" t="str">
            <v>COSTCO - ISSAQUAH</v>
          </cell>
          <cell r="D68">
            <v>3720.6689999999999</v>
          </cell>
          <cell r="E68">
            <v>0</v>
          </cell>
        </row>
        <row r="69">
          <cell r="A69" t="str">
            <v>3241T</v>
          </cell>
          <cell r="B69">
            <v>4435</v>
          </cell>
          <cell r="C69" t="str">
            <v>COSTCO - EVERETT</v>
          </cell>
          <cell r="D69">
            <v>3870.71</v>
          </cell>
          <cell r="E69">
            <v>0</v>
          </cell>
        </row>
        <row r="70">
          <cell r="A70" t="str">
            <v>3241T</v>
          </cell>
          <cell r="B70">
            <v>5413</v>
          </cell>
          <cell r="C70" t="str">
            <v>GM NAMEPLATE</v>
          </cell>
          <cell r="D70">
            <v>4193.2160000000003</v>
          </cell>
          <cell r="E70">
            <v>0</v>
          </cell>
        </row>
        <row r="71">
          <cell r="A71" t="str">
            <v>3241T</v>
          </cell>
          <cell r="B71">
            <v>5596</v>
          </cell>
          <cell r="C71" t="str">
            <v>COSTCO - TACOMA</v>
          </cell>
          <cell r="D71">
            <v>2444.5970000000002</v>
          </cell>
          <cell r="E71">
            <v>0</v>
          </cell>
        </row>
        <row r="72">
          <cell r="A72" t="str">
            <v>3241T</v>
          </cell>
          <cell r="B72">
            <v>5654</v>
          </cell>
          <cell r="C72" t="str">
            <v>CINTAS</v>
          </cell>
          <cell r="D72">
            <v>11622.514999999999</v>
          </cell>
          <cell r="E72">
            <v>0</v>
          </cell>
        </row>
        <row r="73">
          <cell r="A73" t="str">
            <v>3241T</v>
          </cell>
          <cell r="B73">
            <v>5667</v>
          </cell>
          <cell r="C73" t="str">
            <v>MOULDING &amp; MILLWORK</v>
          </cell>
          <cell r="D73">
            <v>3841.6909999999998</v>
          </cell>
          <cell r="E73">
            <v>0</v>
          </cell>
        </row>
        <row r="74">
          <cell r="A74" t="str">
            <v>3241T</v>
          </cell>
          <cell r="B74">
            <v>6752</v>
          </cell>
          <cell r="C74" t="str">
            <v>COSTCO - SEATTLE</v>
          </cell>
          <cell r="D74">
            <v>4590.7830000000004</v>
          </cell>
          <cell r="E74">
            <v>0</v>
          </cell>
        </row>
        <row r="75">
          <cell r="A75" t="str">
            <v>3241T</v>
          </cell>
          <cell r="B75">
            <v>6844</v>
          </cell>
          <cell r="C75" t="str">
            <v>COSTCO - WOODINVILLE</v>
          </cell>
          <cell r="D75">
            <v>2955.7939999999999</v>
          </cell>
          <cell r="E75">
            <v>0</v>
          </cell>
        </row>
        <row r="76">
          <cell r="A76" t="str">
            <v>3241T</v>
          </cell>
          <cell r="B76">
            <v>6869</v>
          </cell>
          <cell r="C76" t="str">
            <v>COSTCO - LACEY</v>
          </cell>
          <cell r="D76">
            <v>2389.42</v>
          </cell>
          <cell r="E76">
            <v>0</v>
          </cell>
        </row>
        <row r="77">
          <cell r="A77" t="str">
            <v>3241T</v>
          </cell>
          <cell r="B77">
            <v>7215</v>
          </cell>
          <cell r="C77" t="str">
            <v>COSTCO - MARYSVILLE</v>
          </cell>
          <cell r="D77">
            <v>2481.0479999999998</v>
          </cell>
          <cell r="E77">
            <v>0</v>
          </cell>
        </row>
        <row r="78">
          <cell r="A78" t="str">
            <v>3241T</v>
          </cell>
          <cell r="B78">
            <v>7476</v>
          </cell>
          <cell r="C78" t="str">
            <v>COSTCO - GIG HARBOR</v>
          </cell>
          <cell r="D78">
            <v>2302.7629999999999</v>
          </cell>
          <cell r="E78">
            <v>0</v>
          </cell>
        </row>
        <row r="79">
          <cell r="A79" t="str">
            <v>3241T</v>
          </cell>
          <cell r="B79">
            <v>18</v>
          </cell>
          <cell r="C79" t="str">
            <v xml:space="preserve">ARAMARK </v>
          </cell>
          <cell r="D79">
            <v>23594.905999999999</v>
          </cell>
          <cell r="E79">
            <v>0</v>
          </cell>
        </row>
        <row r="80">
          <cell r="A80" t="str">
            <v>7085T</v>
          </cell>
          <cell r="B80">
            <v>11</v>
          </cell>
          <cell r="C80" t="str">
            <v>WOODWORTH &amp; COMPANY INC.</v>
          </cell>
          <cell r="D80">
            <v>0</v>
          </cell>
          <cell r="E80">
            <v>22375.651000000002</v>
          </cell>
        </row>
        <row r="81">
          <cell r="A81" t="str">
            <v>7085T</v>
          </cell>
          <cell r="B81">
            <v>30</v>
          </cell>
          <cell r="C81" t="str">
            <v>CEMEX PACIFIC HOLDINGS LLC</v>
          </cell>
          <cell r="D81">
            <v>0</v>
          </cell>
          <cell r="E81">
            <v>92237.964000000007</v>
          </cell>
        </row>
        <row r="82">
          <cell r="A82" t="str">
            <v>7085T</v>
          </cell>
          <cell r="B82">
            <v>62</v>
          </cell>
          <cell r="C82" t="str">
            <v>LAKESIDE - OLYMPIA</v>
          </cell>
          <cell r="D82">
            <v>5276.4480000000003</v>
          </cell>
          <cell r="E82">
            <v>37249.339</v>
          </cell>
        </row>
        <row r="83">
          <cell r="A83" t="str">
            <v>7085T</v>
          </cell>
          <cell r="B83">
            <v>72</v>
          </cell>
          <cell r="C83" t="str">
            <v>SIMPSON  LUMBER</v>
          </cell>
          <cell r="D83">
            <v>0</v>
          </cell>
          <cell r="E83">
            <v>209535.859</v>
          </cell>
        </row>
        <row r="84">
          <cell r="A84" t="str">
            <v>7085T</v>
          </cell>
          <cell r="B84">
            <v>116</v>
          </cell>
          <cell r="C84" t="str">
            <v>MUTUAL MATERIALS</v>
          </cell>
          <cell r="D84">
            <v>0</v>
          </cell>
          <cell r="E84">
            <v>0</v>
          </cell>
        </row>
        <row r="85">
          <cell r="A85" t="str">
            <v>7085T</v>
          </cell>
          <cell r="B85">
            <v>130</v>
          </cell>
          <cell r="C85" t="str">
            <v>PABCO ROOFING</v>
          </cell>
          <cell r="D85">
            <v>0</v>
          </cell>
          <cell r="E85">
            <v>75987.638999999996</v>
          </cell>
        </row>
        <row r="86">
          <cell r="A86" t="str">
            <v>7085T</v>
          </cell>
          <cell r="B86">
            <v>147</v>
          </cell>
          <cell r="C86" t="str">
            <v>PARAMONT PETROLEUM CORP</v>
          </cell>
          <cell r="D86">
            <v>62</v>
          </cell>
          <cell r="E86">
            <v>177931.897</v>
          </cell>
        </row>
        <row r="87">
          <cell r="A87" t="str">
            <v>7085T</v>
          </cell>
          <cell r="B87">
            <v>153</v>
          </cell>
          <cell r="C87" t="str">
            <v>CASCADE HARDWOODS</v>
          </cell>
          <cell r="D87">
            <v>25486.93</v>
          </cell>
          <cell r="E87">
            <v>34643.173999999999</v>
          </cell>
        </row>
        <row r="88">
          <cell r="A88" t="str">
            <v>7085T</v>
          </cell>
          <cell r="B88">
            <v>155</v>
          </cell>
          <cell r="C88" t="str">
            <v>DARIGOLD INC. - ISSAQUAH</v>
          </cell>
          <cell r="D88">
            <v>62</v>
          </cell>
          <cell r="E88">
            <v>51792.315999999999</v>
          </cell>
        </row>
        <row r="89">
          <cell r="A89" t="str">
            <v>7085T</v>
          </cell>
          <cell r="B89">
            <v>156</v>
          </cell>
          <cell r="C89" t="str">
            <v>DARIGOLD INC.- RAINIER</v>
          </cell>
          <cell r="D89">
            <v>1860</v>
          </cell>
          <cell r="E89">
            <v>22627.383000000002</v>
          </cell>
        </row>
        <row r="90">
          <cell r="A90" t="str">
            <v>7085T</v>
          </cell>
          <cell r="B90">
            <v>166</v>
          </cell>
          <cell r="C90" t="str">
            <v>PEPSI NW BEVERAGE</v>
          </cell>
          <cell r="D90">
            <v>3319.6860000000001</v>
          </cell>
          <cell r="E90">
            <v>55661.631000000001</v>
          </cell>
        </row>
        <row r="91">
          <cell r="A91" t="str">
            <v>7085T</v>
          </cell>
          <cell r="B91">
            <v>167</v>
          </cell>
          <cell r="C91" t="str">
            <v>BAKERY CHEF LLC</v>
          </cell>
          <cell r="D91">
            <v>56964.728000000003</v>
          </cell>
          <cell r="E91">
            <v>3471.0189999999998</v>
          </cell>
        </row>
        <row r="92">
          <cell r="A92" t="str">
            <v>7085T</v>
          </cell>
          <cell r="B92">
            <v>178</v>
          </cell>
          <cell r="C92" t="str">
            <v>COMMENCEMENT BAY</v>
          </cell>
          <cell r="D92">
            <v>62</v>
          </cell>
          <cell r="E92">
            <v>45091.743000000002</v>
          </cell>
        </row>
        <row r="93">
          <cell r="A93" t="str">
            <v>7085T</v>
          </cell>
          <cell r="B93">
            <v>186</v>
          </cell>
          <cell r="C93" t="str">
            <v>DAVIS WIRE</v>
          </cell>
          <cell r="D93">
            <v>79752.956999999995</v>
          </cell>
          <cell r="E93">
            <v>0</v>
          </cell>
        </row>
        <row r="94">
          <cell r="A94" t="str">
            <v>7085T</v>
          </cell>
          <cell r="B94">
            <v>189</v>
          </cell>
          <cell r="C94" t="str">
            <v>LCS WESTMINISTER PARTNERSHIP III LLP</v>
          </cell>
          <cell r="D94">
            <v>3799.3560000000002</v>
          </cell>
          <cell r="E94">
            <v>0</v>
          </cell>
        </row>
        <row r="95">
          <cell r="A95" t="str">
            <v>7085T</v>
          </cell>
          <cell r="B95">
            <v>190</v>
          </cell>
          <cell r="C95" t="str">
            <v>ARCLIN</v>
          </cell>
          <cell r="D95">
            <v>59908.953999999998</v>
          </cell>
          <cell r="E95">
            <v>50311.048000000003</v>
          </cell>
        </row>
        <row r="96">
          <cell r="A96" t="str">
            <v>7085T</v>
          </cell>
          <cell r="B96">
            <v>225</v>
          </cell>
          <cell r="C96" t="str">
            <v>LAKESIDE IND - MONROE</v>
          </cell>
          <cell r="D96">
            <v>5499.8580000000002</v>
          </cell>
          <cell r="E96">
            <v>51874.438999999998</v>
          </cell>
        </row>
        <row r="97">
          <cell r="A97" t="str">
            <v>7085T</v>
          </cell>
          <cell r="B97">
            <v>260</v>
          </cell>
          <cell r="C97" t="str">
            <v>SONOCO</v>
          </cell>
          <cell r="D97">
            <v>5146</v>
          </cell>
          <cell r="E97">
            <v>167780.27799999999</v>
          </cell>
        </row>
        <row r="98">
          <cell r="A98" t="str">
            <v>7085T</v>
          </cell>
          <cell r="B98">
            <v>296</v>
          </cell>
          <cell r="C98" t="str">
            <v>GEORGIA PACIFIC</v>
          </cell>
          <cell r="D98">
            <v>7661.884</v>
          </cell>
          <cell r="E98">
            <v>32051.546999999999</v>
          </cell>
        </row>
        <row r="99">
          <cell r="A99" t="str">
            <v>7085T</v>
          </cell>
          <cell r="B99">
            <v>307</v>
          </cell>
          <cell r="C99" t="str">
            <v>GARDNER ASPHALT CORP</v>
          </cell>
          <cell r="D99">
            <v>62</v>
          </cell>
          <cell r="E99">
            <v>93364.354999999996</v>
          </cell>
        </row>
        <row r="100">
          <cell r="A100" t="str">
            <v>7085T</v>
          </cell>
          <cell r="B100">
            <v>325</v>
          </cell>
          <cell r="C100" t="str">
            <v>HEXCEL STRUCTURES</v>
          </cell>
          <cell r="D100">
            <v>0</v>
          </cell>
          <cell r="E100">
            <v>22817.901999999998</v>
          </cell>
        </row>
        <row r="101">
          <cell r="A101" t="str">
            <v>7085T</v>
          </cell>
          <cell r="B101">
            <v>333</v>
          </cell>
          <cell r="C101" t="str">
            <v>ICON MATERIALS INC</v>
          </cell>
          <cell r="D101">
            <v>0</v>
          </cell>
          <cell r="E101">
            <v>28438.366999999998</v>
          </cell>
        </row>
        <row r="102">
          <cell r="A102" t="str">
            <v>7085T</v>
          </cell>
          <cell r="B102">
            <v>361</v>
          </cell>
          <cell r="C102" t="str">
            <v>HYTEK FINISHES</v>
          </cell>
          <cell r="D102">
            <v>35019.182999999997</v>
          </cell>
          <cell r="E102">
            <v>0</v>
          </cell>
        </row>
        <row r="103">
          <cell r="A103" t="str">
            <v>7085T</v>
          </cell>
          <cell r="B103">
            <v>375</v>
          </cell>
          <cell r="C103" t="str">
            <v>LAFARGE  CORP.</v>
          </cell>
          <cell r="D103">
            <v>6200</v>
          </cell>
          <cell r="E103">
            <v>72156.857000000004</v>
          </cell>
        </row>
        <row r="104">
          <cell r="A104" t="str">
            <v>7085T</v>
          </cell>
          <cell r="B104">
            <v>380</v>
          </cell>
          <cell r="C104" t="str">
            <v>AMGEN</v>
          </cell>
          <cell r="D104">
            <v>1798</v>
          </cell>
          <cell r="E104">
            <v>50525.430999999997</v>
          </cell>
        </row>
        <row r="105">
          <cell r="A105" t="str">
            <v>7085T</v>
          </cell>
          <cell r="B105">
            <v>400</v>
          </cell>
          <cell r="C105" t="str">
            <v>J A JACK &amp; SONS</v>
          </cell>
          <cell r="D105">
            <v>25581.165000000001</v>
          </cell>
          <cell r="E105">
            <v>265.56</v>
          </cell>
        </row>
        <row r="106">
          <cell r="A106" t="str">
            <v>7085T</v>
          </cell>
          <cell r="B106">
            <v>425</v>
          </cell>
          <cell r="C106" t="str">
            <v>DARLING INTERNATIONAL INC.</v>
          </cell>
          <cell r="D106">
            <v>62</v>
          </cell>
          <cell r="E106">
            <v>154733.51500000001</v>
          </cell>
        </row>
        <row r="107">
          <cell r="A107" t="str">
            <v>7085T</v>
          </cell>
          <cell r="B107">
            <v>438</v>
          </cell>
          <cell r="C107" t="str">
            <v>JAMES HARDIE BUILDING PRODUCTS</v>
          </cell>
          <cell r="D107">
            <v>93083.133000000002</v>
          </cell>
          <cell r="E107">
            <v>0</v>
          </cell>
        </row>
        <row r="108">
          <cell r="A108" t="str">
            <v>7085T</v>
          </cell>
          <cell r="B108">
            <v>455</v>
          </cell>
          <cell r="C108" t="str">
            <v>LAKESIDE INDUSTRIES COVINGTON</v>
          </cell>
          <cell r="D108">
            <v>0</v>
          </cell>
          <cell r="E108">
            <v>72066.115999999995</v>
          </cell>
        </row>
        <row r="109">
          <cell r="A109" t="str">
            <v>7085T</v>
          </cell>
          <cell r="B109">
            <v>456</v>
          </cell>
          <cell r="C109" t="str">
            <v>CEMEX PACIFIC HOLDINGS</v>
          </cell>
          <cell r="D109">
            <v>0</v>
          </cell>
          <cell r="E109">
            <v>18426.758000000002</v>
          </cell>
        </row>
        <row r="110">
          <cell r="A110" t="str">
            <v>7085T</v>
          </cell>
          <cell r="B110">
            <v>460</v>
          </cell>
          <cell r="C110" t="str">
            <v>BIRD'S EYE FOODS</v>
          </cell>
          <cell r="D110">
            <v>0</v>
          </cell>
          <cell r="E110">
            <v>1455.336</v>
          </cell>
        </row>
        <row r="111">
          <cell r="A111" t="str">
            <v>7085T</v>
          </cell>
          <cell r="B111">
            <v>466</v>
          </cell>
          <cell r="C111" t="str">
            <v>NW CENTER COMMERCIAL LAUNDRY</v>
          </cell>
          <cell r="D111">
            <v>33575.9</v>
          </cell>
          <cell r="E111">
            <v>0</v>
          </cell>
        </row>
        <row r="112">
          <cell r="A112" t="str">
            <v>7085T</v>
          </cell>
          <cell r="B112">
            <v>485</v>
          </cell>
          <cell r="C112" t="str">
            <v>DARIGOLD INC.-CHEHALIS</v>
          </cell>
          <cell r="D112">
            <v>93000</v>
          </cell>
          <cell r="E112">
            <v>123180.219</v>
          </cell>
        </row>
        <row r="113">
          <cell r="A113" t="str">
            <v>7085T</v>
          </cell>
          <cell r="B113">
            <v>500</v>
          </cell>
          <cell r="C113" t="str">
            <v>LONGVIEW  FIBRE CO.</v>
          </cell>
          <cell r="D113">
            <v>1151.037</v>
          </cell>
          <cell r="E113">
            <v>24440.535</v>
          </cell>
        </row>
        <row r="114">
          <cell r="A114" t="str">
            <v>7085T</v>
          </cell>
          <cell r="B114">
            <v>578</v>
          </cell>
          <cell r="C114" t="str">
            <v>MYSTIC LTD (DBA ALLIANCE PACKAGING)</v>
          </cell>
          <cell r="D114">
            <v>19421.452000000001</v>
          </cell>
          <cell r="E114">
            <v>33546.436999999998</v>
          </cell>
        </row>
        <row r="115">
          <cell r="A115" t="str">
            <v>7085T</v>
          </cell>
          <cell r="B115">
            <v>579</v>
          </cell>
          <cell r="C115" t="str">
            <v>MANKE LUMBER-SUM</v>
          </cell>
          <cell r="D115">
            <v>62</v>
          </cell>
          <cell r="E115">
            <v>139692.356</v>
          </cell>
        </row>
        <row r="116">
          <cell r="A116" t="str">
            <v>7085T</v>
          </cell>
          <cell r="B116">
            <v>601</v>
          </cell>
          <cell r="C116" t="str">
            <v>IFCO-ICS WASHINGTON</v>
          </cell>
          <cell r="D116">
            <v>9817.6830000000009</v>
          </cell>
          <cell r="E116">
            <v>33899.307999999997</v>
          </cell>
        </row>
        <row r="117">
          <cell r="A117" t="str">
            <v>7085T</v>
          </cell>
          <cell r="B117">
            <v>615</v>
          </cell>
          <cell r="C117" t="str">
            <v>NORTHWEST HOSPITAL</v>
          </cell>
          <cell r="D117">
            <v>6727</v>
          </cell>
          <cell r="E117">
            <v>28470.870999999999</v>
          </cell>
        </row>
        <row r="118">
          <cell r="A118" t="str">
            <v>7085T</v>
          </cell>
          <cell r="B118">
            <v>617</v>
          </cell>
          <cell r="C118" t="str">
            <v>WEYENHAEUSER NR COMPANY</v>
          </cell>
          <cell r="D118">
            <v>6200</v>
          </cell>
          <cell r="E118">
            <v>47108.77</v>
          </cell>
        </row>
        <row r="119">
          <cell r="A119" t="str">
            <v>7085T</v>
          </cell>
          <cell r="B119">
            <v>645</v>
          </cell>
          <cell r="C119" t="str">
            <v>PACCAR INC.</v>
          </cell>
          <cell r="D119">
            <v>24159.25</v>
          </cell>
          <cell r="E119">
            <v>0</v>
          </cell>
        </row>
        <row r="120">
          <cell r="A120" t="str">
            <v>7085T</v>
          </cell>
          <cell r="B120">
            <v>699</v>
          </cell>
          <cell r="C120" t="str">
            <v>CENTRAL  PRE-MIX CONCRETE CO.</v>
          </cell>
          <cell r="D120">
            <v>0</v>
          </cell>
          <cell r="E120">
            <v>18202.800999999999</v>
          </cell>
        </row>
        <row r="121">
          <cell r="A121" t="str">
            <v>7085T</v>
          </cell>
          <cell r="B121">
            <v>732</v>
          </cell>
          <cell r="C121" t="str">
            <v>RAMCO CONSTRUCTION</v>
          </cell>
          <cell r="D121">
            <v>9180.3709999999992</v>
          </cell>
          <cell r="E121">
            <v>18962.812000000002</v>
          </cell>
        </row>
        <row r="122">
          <cell r="A122" t="str">
            <v>7085T</v>
          </cell>
          <cell r="B122">
            <v>738</v>
          </cell>
          <cell r="C122" t="str">
            <v>LAKESIDE INDUSTRIES ISSAQUAH</v>
          </cell>
          <cell r="D122">
            <v>5878.402</v>
          </cell>
          <cell r="E122">
            <v>96162.896999999997</v>
          </cell>
        </row>
        <row r="123">
          <cell r="A123" t="str">
            <v>7085T</v>
          </cell>
          <cell r="B123">
            <v>781</v>
          </cell>
          <cell r="C123" t="str">
            <v>BAKER COMMODITIES</v>
          </cell>
          <cell r="D123">
            <v>580</v>
          </cell>
          <cell r="E123">
            <v>109227.31200000001</v>
          </cell>
        </row>
        <row r="124">
          <cell r="A124" t="str">
            <v>7085T</v>
          </cell>
          <cell r="B124">
            <v>785</v>
          </cell>
          <cell r="C124" t="str">
            <v>SEATTLE SNOHOMISH MILL</v>
          </cell>
          <cell r="D124">
            <v>0</v>
          </cell>
          <cell r="E124">
            <v>52103.220999999998</v>
          </cell>
        </row>
        <row r="125">
          <cell r="A125" t="str">
            <v>7085T</v>
          </cell>
          <cell r="B125">
            <v>788</v>
          </cell>
          <cell r="C125" t="str">
            <v>SPECTRUM GLASS</v>
          </cell>
          <cell r="D125">
            <v>96100</v>
          </cell>
          <cell r="E125">
            <v>65125.798000000003</v>
          </cell>
        </row>
        <row r="126">
          <cell r="A126" t="str">
            <v>7085T</v>
          </cell>
          <cell r="B126">
            <v>812</v>
          </cell>
          <cell r="C126" t="str">
            <v>SOUND REFINING</v>
          </cell>
          <cell r="D126">
            <v>0</v>
          </cell>
          <cell r="E126">
            <v>34467.461000000003</v>
          </cell>
        </row>
        <row r="127">
          <cell r="A127" t="str">
            <v>7085T</v>
          </cell>
          <cell r="B127">
            <v>816</v>
          </cell>
          <cell r="C127" t="str">
            <v>TUCCI &amp; SONS</v>
          </cell>
          <cell r="D127">
            <v>1968.9570000000001</v>
          </cell>
          <cell r="E127">
            <v>53903.190999999999</v>
          </cell>
        </row>
        <row r="128">
          <cell r="A128" t="str">
            <v>7085T</v>
          </cell>
          <cell r="B128">
            <v>823</v>
          </cell>
          <cell r="C128" t="str">
            <v>CEMEX PACIFIC HOLDINGS</v>
          </cell>
          <cell r="D128">
            <v>0</v>
          </cell>
          <cell r="E128">
            <v>48535.788</v>
          </cell>
        </row>
        <row r="129">
          <cell r="A129" t="str">
            <v>7085T</v>
          </cell>
          <cell r="B129">
            <v>836</v>
          </cell>
          <cell r="C129" t="str">
            <v>STARBUCKS</v>
          </cell>
          <cell r="D129">
            <v>76896.994999999995</v>
          </cell>
          <cell r="E129">
            <v>476.74200000000002</v>
          </cell>
        </row>
        <row r="130">
          <cell r="A130" t="str">
            <v>7085T</v>
          </cell>
          <cell r="B130">
            <v>847</v>
          </cell>
          <cell r="C130" t="str">
            <v>BIRD'S EYE FOODS</v>
          </cell>
          <cell r="D130">
            <v>9500.2999999999993</v>
          </cell>
          <cell r="E130">
            <v>48361.646999999997</v>
          </cell>
        </row>
        <row r="131">
          <cell r="A131" t="str">
            <v>7085T</v>
          </cell>
          <cell r="B131">
            <v>876</v>
          </cell>
          <cell r="C131" t="str">
            <v>TUCCI AND SONS</v>
          </cell>
          <cell r="D131">
            <v>0</v>
          </cell>
          <cell r="E131">
            <v>21376.668000000001</v>
          </cell>
        </row>
        <row r="132">
          <cell r="A132" t="str">
            <v>7085T</v>
          </cell>
          <cell r="B132">
            <v>886</v>
          </cell>
          <cell r="C132" t="str">
            <v>TODD SHIPYARDS</v>
          </cell>
          <cell r="D132">
            <v>2105.5940000000001</v>
          </cell>
          <cell r="E132">
            <v>0</v>
          </cell>
        </row>
        <row r="133">
          <cell r="A133" t="str">
            <v>7085T</v>
          </cell>
          <cell r="B133">
            <v>894</v>
          </cell>
          <cell r="C133" t="str">
            <v>WATSON ASPHALT PAVING CO.</v>
          </cell>
          <cell r="D133">
            <v>0</v>
          </cell>
          <cell r="E133">
            <v>49360.298999999999</v>
          </cell>
        </row>
        <row r="134">
          <cell r="A134" t="str">
            <v>7085T</v>
          </cell>
          <cell r="B134">
            <v>898</v>
          </cell>
          <cell r="C134" t="str">
            <v>INSULFOAM LLC</v>
          </cell>
          <cell r="D134">
            <v>0</v>
          </cell>
          <cell r="E134">
            <v>24321.119999999999</v>
          </cell>
        </row>
        <row r="135">
          <cell r="A135" t="str">
            <v>7085T</v>
          </cell>
          <cell r="B135">
            <v>917</v>
          </cell>
          <cell r="C135" t="str">
            <v>KING &amp; PRINCE</v>
          </cell>
          <cell r="D135">
            <v>13301.178</v>
          </cell>
          <cell r="E135">
            <v>0</v>
          </cell>
        </row>
        <row r="136">
          <cell r="A136" t="str">
            <v>7085T</v>
          </cell>
          <cell r="B136">
            <v>923</v>
          </cell>
          <cell r="C136" t="str">
            <v>GRANITECONSTRUCTION</v>
          </cell>
          <cell r="D136">
            <v>0</v>
          </cell>
          <cell r="E136">
            <v>29622.366999999998</v>
          </cell>
        </row>
        <row r="137">
          <cell r="A137" t="str">
            <v>7085T</v>
          </cell>
          <cell r="B137">
            <v>934</v>
          </cell>
          <cell r="C137" t="str">
            <v>WEYERHAEUSER TECHNOLOGY CTR</v>
          </cell>
          <cell r="D137">
            <v>62</v>
          </cell>
          <cell r="E137">
            <v>34215.065999999999</v>
          </cell>
        </row>
        <row r="138">
          <cell r="A138" t="str">
            <v>7085T</v>
          </cell>
          <cell r="B138">
            <v>955</v>
          </cell>
          <cell r="C138" t="str">
            <v>LAKESIDE INDUSTRIES SEATTLE</v>
          </cell>
          <cell r="D138">
            <v>0</v>
          </cell>
          <cell r="E138">
            <v>12699.894</v>
          </cell>
        </row>
        <row r="139">
          <cell r="A139" t="str">
            <v>7085T</v>
          </cell>
          <cell r="B139">
            <v>958</v>
          </cell>
          <cell r="C139" t="str">
            <v>INTERNATIONAL PAPER</v>
          </cell>
          <cell r="D139">
            <v>5016.2939999999999</v>
          </cell>
          <cell r="E139">
            <v>2543.27</v>
          </cell>
        </row>
        <row r="140">
          <cell r="A140" t="str">
            <v>7085T</v>
          </cell>
          <cell r="B140">
            <v>959</v>
          </cell>
          <cell r="C140" t="str">
            <v>WOODWORTH &amp; CO</v>
          </cell>
          <cell r="D140">
            <v>0</v>
          </cell>
          <cell r="E140">
            <v>146969.96599999999</v>
          </cell>
        </row>
        <row r="141">
          <cell r="A141" t="str">
            <v>7085T</v>
          </cell>
          <cell r="B141">
            <v>961</v>
          </cell>
          <cell r="C141" t="str">
            <v>INTERNATIONAL PAPER</v>
          </cell>
          <cell r="D141">
            <v>56</v>
          </cell>
          <cell r="E141">
            <v>30618.639999999999</v>
          </cell>
        </row>
        <row r="142">
          <cell r="A142" t="str">
            <v>7085T</v>
          </cell>
          <cell r="B142">
            <v>964</v>
          </cell>
          <cell r="C142" t="str">
            <v>LAKESIDE INDUSTRIES REDMOND</v>
          </cell>
          <cell r="D142">
            <v>4777.2730000000001</v>
          </cell>
          <cell r="E142">
            <v>8870.85</v>
          </cell>
        </row>
        <row r="143">
          <cell r="A143" t="str">
            <v>7085T</v>
          </cell>
          <cell r="B143">
            <v>973</v>
          </cell>
          <cell r="C143" t="str">
            <v>SAFEWAY BREAD</v>
          </cell>
          <cell r="D143">
            <v>62</v>
          </cell>
          <cell r="E143">
            <v>15510.549000000001</v>
          </cell>
        </row>
        <row r="144">
          <cell r="A144" t="str">
            <v>7085T</v>
          </cell>
          <cell r="B144">
            <v>3187</v>
          </cell>
          <cell r="C144" t="str">
            <v>LASCO BATHWARE INC.</v>
          </cell>
          <cell r="D144">
            <v>0</v>
          </cell>
          <cell r="E144">
            <v>17581.775000000001</v>
          </cell>
        </row>
        <row r="145">
          <cell r="A145" t="str">
            <v>7085T</v>
          </cell>
          <cell r="B145">
            <v>3498</v>
          </cell>
          <cell r="C145" t="str">
            <v>KING'S COMMAND FOODS INC.</v>
          </cell>
          <cell r="D145">
            <v>23040.883000000002</v>
          </cell>
          <cell r="E145">
            <v>1331.3219999999999</v>
          </cell>
        </row>
        <row r="146">
          <cell r="A146" t="str">
            <v>7087T</v>
          </cell>
          <cell r="B146">
            <v>27</v>
          </cell>
          <cell r="C146" t="str">
            <v>ASHGROVE CEMENT</v>
          </cell>
          <cell r="D146">
            <v>1121.777</v>
          </cell>
          <cell r="E146">
            <v>101869.77099999999</v>
          </cell>
        </row>
        <row r="147">
          <cell r="A147" t="str">
            <v>7087T</v>
          </cell>
          <cell r="B147">
            <v>90</v>
          </cell>
          <cell r="C147" t="str">
            <v>NUCOR STEEL</v>
          </cell>
          <cell r="D147">
            <v>442192.59299999999</v>
          </cell>
          <cell r="E147">
            <v>386922.88</v>
          </cell>
        </row>
        <row r="148">
          <cell r="A148" t="str">
            <v>7087T</v>
          </cell>
          <cell r="B148">
            <v>161</v>
          </cell>
          <cell r="C148" t="str">
            <v>CARAUSTAR</v>
          </cell>
          <cell r="D148">
            <v>0</v>
          </cell>
          <cell r="E148">
            <v>222233.247</v>
          </cell>
        </row>
        <row r="149">
          <cell r="A149" t="str">
            <v>7087T</v>
          </cell>
          <cell r="B149">
            <v>163</v>
          </cell>
          <cell r="C149" t="str">
            <v>DILLANO'S COFFEE ROASTERS</v>
          </cell>
          <cell r="D149">
            <v>16996.18</v>
          </cell>
          <cell r="E149">
            <v>0</v>
          </cell>
        </row>
        <row r="150">
          <cell r="A150" t="str">
            <v>7087T</v>
          </cell>
          <cell r="B150">
            <v>193</v>
          </cell>
          <cell r="C150" t="str">
            <v>G. P. GYPSUM</v>
          </cell>
          <cell r="D150">
            <v>2100</v>
          </cell>
          <cell r="E150">
            <v>458218.179</v>
          </cell>
        </row>
        <row r="151">
          <cell r="A151" t="str">
            <v>7087T</v>
          </cell>
          <cell r="B151">
            <v>395</v>
          </cell>
          <cell r="C151" t="str">
            <v>JORGENSEN FORGE CORP.</v>
          </cell>
          <cell r="D151">
            <v>60779.800999999999</v>
          </cell>
          <cell r="E151">
            <v>261658.217</v>
          </cell>
        </row>
        <row r="152">
          <cell r="A152" t="str">
            <v>7087T</v>
          </cell>
          <cell r="B152">
            <v>440</v>
          </cell>
          <cell r="C152" t="str">
            <v>CERTAIN TEED GYPSUM</v>
          </cell>
          <cell r="D152">
            <v>1740</v>
          </cell>
          <cell r="E152">
            <v>545187.99800000002</v>
          </cell>
        </row>
        <row r="153">
          <cell r="A153" t="str">
            <v>7087T</v>
          </cell>
          <cell r="B153">
            <v>602</v>
          </cell>
          <cell r="C153" t="str">
            <v>SAINT-GOBAIN CONTAINERS</v>
          </cell>
          <cell r="D153">
            <v>196850</v>
          </cell>
          <cell r="E153">
            <v>739113.19400000002</v>
          </cell>
        </row>
        <row r="154">
          <cell r="A154" t="str">
            <v>7087T</v>
          </cell>
          <cell r="B154">
            <v>675</v>
          </cell>
          <cell r="C154" t="str">
            <v>NATIONAL FROZEN FOODS</v>
          </cell>
          <cell r="D154">
            <v>288.52800000000002</v>
          </cell>
          <cell r="E154">
            <v>27743.995999999999</v>
          </cell>
        </row>
        <row r="155">
          <cell r="A155" t="str">
            <v>7087T</v>
          </cell>
          <cell r="B155">
            <v>767</v>
          </cell>
          <cell r="C155" t="str">
            <v>SIMPSON TACOMA KRAFT</v>
          </cell>
          <cell r="D155">
            <v>71920</v>
          </cell>
          <cell r="E155">
            <v>1585930.0870000001</v>
          </cell>
        </row>
        <row r="156">
          <cell r="A156" t="str">
            <v>7087T</v>
          </cell>
          <cell r="B156">
            <v>770</v>
          </cell>
          <cell r="C156" t="str">
            <v>KIMBERLY CLARK</v>
          </cell>
          <cell r="D156">
            <v>305973.196</v>
          </cell>
          <cell r="E156">
            <v>532246.04200000002</v>
          </cell>
        </row>
        <row r="157">
          <cell r="A157" t="str">
            <v>7087T</v>
          </cell>
          <cell r="B157">
            <v>792</v>
          </cell>
          <cell r="C157" t="str">
            <v>ICON MATERIALS - AUBURN</v>
          </cell>
          <cell r="D157">
            <v>0</v>
          </cell>
          <cell r="E157">
            <v>35997.133999999998</v>
          </cell>
        </row>
        <row r="158">
          <cell r="A158" t="str">
            <v>7087T</v>
          </cell>
          <cell r="B158">
            <v>935</v>
          </cell>
          <cell r="C158" t="str">
            <v>U. S. OIL</v>
          </cell>
          <cell r="D158">
            <v>58652</v>
          </cell>
          <cell r="E158">
            <v>410830.90700000001</v>
          </cell>
        </row>
        <row r="159">
          <cell r="A159" t="str">
            <v>7241T</v>
          </cell>
          <cell r="B159">
            <v>378</v>
          </cell>
          <cell r="C159" t="str">
            <v>AMGEN</v>
          </cell>
          <cell r="D159">
            <v>25845.481</v>
          </cell>
          <cell r="E159">
            <v>0</v>
          </cell>
        </row>
        <row r="160">
          <cell r="A160" t="str">
            <v>7241T</v>
          </cell>
          <cell r="B160">
            <v>41</v>
          </cell>
          <cell r="C160" t="str">
            <v>REPAUL TEXTILES</v>
          </cell>
          <cell r="D160">
            <v>11866.304</v>
          </cell>
          <cell r="E160">
            <v>0</v>
          </cell>
        </row>
        <row r="161">
          <cell r="A161" t="str">
            <v>7241T</v>
          </cell>
          <cell r="B161">
            <v>71</v>
          </cell>
          <cell r="C161" t="str">
            <v>QUIKRETE</v>
          </cell>
          <cell r="D161">
            <v>27516.84</v>
          </cell>
          <cell r="E161">
            <v>0</v>
          </cell>
        </row>
        <row r="162">
          <cell r="A162" t="str">
            <v>7241T</v>
          </cell>
          <cell r="B162">
            <v>132</v>
          </cell>
          <cell r="C162" t="str">
            <v>INTERSTATE BRANDS HOSTESS</v>
          </cell>
          <cell r="D162">
            <v>19616.439999999999</v>
          </cell>
          <cell r="E162">
            <v>0</v>
          </cell>
        </row>
        <row r="163">
          <cell r="A163" t="str">
            <v>7241T</v>
          </cell>
          <cell r="B163">
            <v>135</v>
          </cell>
          <cell r="C163" t="str">
            <v>CROWN CORK</v>
          </cell>
          <cell r="D163">
            <v>64142.824000000001</v>
          </cell>
          <cell r="E163">
            <v>0</v>
          </cell>
        </row>
        <row r="164">
          <cell r="A164" t="str">
            <v>7241T</v>
          </cell>
          <cell r="B164">
            <v>182</v>
          </cell>
          <cell r="C164" t="str">
            <v>JAVA TRADING COMPANY</v>
          </cell>
          <cell r="D164">
            <v>24763.584999999999</v>
          </cell>
        </row>
        <row r="165">
          <cell r="A165" t="str">
            <v>7241T</v>
          </cell>
          <cell r="B165">
            <v>543</v>
          </cell>
          <cell r="C165" t="str">
            <v>MUTUAL MATERIALS - TUMWATER</v>
          </cell>
          <cell r="D165">
            <v>14932.22</v>
          </cell>
          <cell r="E165">
            <v>0</v>
          </cell>
        </row>
        <row r="166">
          <cell r="A166" t="str">
            <v>7241T</v>
          </cell>
          <cell r="B166">
            <v>547</v>
          </cell>
          <cell r="C166" t="str">
            <v>OBERTO SAUSAGE COMPANY</v>
          </cell>
          <cell r="D166">
            <v>41879.910000000003</v>
          </cell>
          <cell r="E166">
            <v>0</v>
          </cell>
        </row>
        <row r="167">
          <cell r="A167" t="str">
            <v>7241T</v>
          </cell>
          <cell r="B167">
            <v>555</v>
          </cell>
          <cell r="C167" t="str">
            <v>SHINING OCEAN</v>
          </cell>
          <cell r="D167">
            <v>16971.239000000001</v>
          </cell>
          <cell r="E167">
            <v>0</v>
          </cell>
        </row>
        <row r="168">
          <cell r="A168" t="str">
            <v>7241T</v>
          </cell>
          <cell r="B168">
            <v>710</v>
          </cell>
          <cell r="C168" t="str">
            <v>PACIFIC NORTHWEST BAKING</v>
          </cell>
          <cell r="D168">
            <v>19343.406999999999</v>
          </cell>
          <cell r="E168">
            <v>0</v>
          </cell>
        </row>
        <row r="169">
          <cell r="A169" t="str">
            <v>7241T</v>
          </cell>
          <cell r="B169">
            <v>729</v>
          </cell>
          <cell r="C169" t="str">
            <v>REDHOOK  BREWERY WOODINVILLE</v>
          </cell>
          <cell r="D169">
            <v>23636.556</v>
          </cell>
          <cell r="E169">
            <v>0</v>
          </cell>
        </row>
        <row r="170">
          <cell r="A170" t="str">
            <v>7241T</v>
          </cell>
          <cell r="B170">
            <v>969</v>
          </cell>
          <cell r="C170" t="str">
            <v>WESTERN WOOD PRESERING</v>
          </cell>
          <cell r="D170">
            <v>9067.4150000000009</v>
          </cell>
          <cell r="E170">
            <v>0</v>
          </cell>
        </row>
        <row r="171">
          <cell r="A171" t="str">
            <v>7241T</v>
          </cell>
          <cell r="B171">
            <v>1298</v>
          </cell>
          <cell r="C171" t="str">
            <v>MUTUAL MATERIALS - KENT</v>
          </cell>
          <cell r="D171">
            <v>17839.109</v>
          </cell>
          <cell r="E171">
            <v>0</v>
          </cell>
        </row>
        <row r="172">
          <cell r="A172" t="str">
            <v>7241T</v>
          </cell>
          <cell r="B172">
            <v>1759</v>
          </cell>
          <cell r="C172" t="str">
            <v>ACE GALVANIZING</v>
          </cell>
          <cell r="D172">
            <v>23530.116000000002</v>
          </cell>
          <cell r="E172">
            <v>0</v>
          </cell>
        </row>
        <row r="173">
          <cell r="A173" t="str">
            <v>7241T</v>
          </cell>
          <cell r="B173">
            <v>3119</v>
          </cell>
          <cell r="C173" t="str">
            <v>MUTUAL MATERIALS _ LAKEWOOD</v>
          </cell>
          <cell r="D173">
            <v>19718.07</v>
          </cell>
          <cell r="E173">
            <v>0</v>
          </cell>
        </row>
        <row r="174">
          <cell r="A174" t="str">
            <v>7241T</v>
          </cell>
          <cell r="B174">
            <v>4720</v>
          </cell>
          <cell r="C174" t="str">
            <v>HARDEL MUTUAL PLYWOOD</v>
          </cell>
          <cell r="D174">
            <v>40466.133999999998</v>
          </cell>
          <cell r="E174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Cover"/>
      <sheetName val="Table of Cnts"/>
      <sheetName val="Variables"/>
      <sheetName val="Table 1"/>
      <sheetName val="Table 2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5 Year MC"/>
      <sheetName val="1 Year MC"/>
      <sheetName val="Streetlight 1"/>
      <sheetName val="Streetlight 2"/>
      <sheetName val="Streetlight 3"/>
      <sheetName val="Streetlight 4"/>
      <sheetName val="Capacity"/>
      <sheetName val="Energy"/>
      <sheetName val="Transm1"/>
      <sheetName val="Transm2"/>
      <sheetName val="TranGrowth"/>
      <sheetName val="TranIndex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Meters 5"/>
      <sheetName val="Services 1"/>
      <sheetName val="Services 2"/>
      <sheetName val="Services 3"/>
      <sheetName val="Cust Exp Sum"/>
      <sheetName val="Cust Exp Year"/>
      <sheetName val="Exp Acct 902"/>
      <sheetName val="Exp Acct 903"/>
      <sheetName val="AG Expenses"/>
      <sheetName val="Charge 1"/>
      <sheetName val="Charge 2"/>
      <sheetName val="Charge 3"/>
      <sheetName val="Charge 4"/>
      <sheetName val="Charge 5"/>
      <sheetName val="Losses"/>
      <sheetName val="Cust Data 1"/>
      <sheetName val="Cust Data 2"/>
      <sheetName val="Cust Data 3"/>
      <sheetName val="Cust Data 4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A1" t="str">
            <v>Transm2</v>
          </cell>
        </row>
        <row r="2">
          <cell r="A2" t="str">
            <v>PacifiCorp</v>
          </cell>
        </row>
        <row r="3">
          <cell r="A3" t="str">
            <v>Oregon Marginal Cost Study</v>
          </cell>
        </row>
        <row r="4">
          <cell r="A4" t="str">
            <v xml:space="preserve">Transmission Capital Budget </v>
          </cell>
        </row>
        <row r="5">
          <cell r="A5" t="str">
            <v>1991 Actual to 2000 Forecasted</v>
          </cell>
        </row>
        <row r="6">
          <cell r="A6" t="str">
            <v>December 2001 Dollars  (in 000's)</v>
          </cell>
        </row>
        <row r="9">
          <cell r="C9" t="str">
            <v>(A)</v>
          </cell>
          <cell r="D9" t="str">
            <v>(B)</v>
          </cell>
          <cell r="E9" t="str">
            <v>(C)</v>
          </cell>
          <cell r="F9" t="str">
            <v>(D)</v>
          </cell>
          <cell r="G9" t="str">
            <v>(E)</v>
          </cell>
          <cell r="H9" t="str">
            <v>(F)</v>
          </cell>
          <cell r="I9" t="str">
            <v>(G)</v>
          </cell>
          <cell r="J9" t="str">
            <v>(H)</v>
          </cell>
          <cell r="K9" t="str">
            <v>(I)</v>
          </cell>
          <cell r="L9" t="str">
            <v>(J)</v>
          </cell>
          <cell r="M9" t="str">
            <v>(K)</v>
          </cell>
        </row>
        <row r="10">
          <cell r="A10" t="str">
            <v/>
          </cell>
        </row>
        <row r="11">
          <cell r="C11" t="str">
            <v xml:space="preserve">Actual </v>
          </cell>
          <cell r="H11" t="str">
            <v>Forecast</v>
          </cell>
          <cell r="M11" t="str">
            <v>Total</v>
          </cell>
        </row>
        <row r="13">
          <cell r="A13" t="str">
            <v>Line</v>
          </cell>
          <cell r="B13" t="str">
            <v>Description</v>
          </cell>
          <cell r="C13">
            <v>1991</v>
          </cell>
          <cell r="D13">
            <v>1992</v>
          </cell>
          <cell r="E13">
            <v>1993</v>
          </cell>
          <cell r="F13">
            <v>1994</v>
          </cell>
          <cell r="G13">
            <v>1995</v>
          </cell>
          <cell r="H13">
            <v>1996</v>
          </cell>
          <cell r="I13">
            <v>1997</v>
          </cell>
          <cell r="J13">
            <v>1998</v>
          </cell>
          <cell r="K13">
            <v>1999</v>
          </cell>
          <cell r="L13">
            <v>2000</v>
          </cell>
        </row>
        <row r="14">
          <cell r="A14" t="str">
            <v/>
          </cell>
          <cell r="C14" t="str">
            <v/>
          </cell>
          <cell r="M14" t="str">
            <v/>
          </cell>
        </row>
        <row r="15">
          <cell r="A15">
            <v>1</v>
          </cell>
          <cell r="B15" t="str">
            <v>Bulk Power Lines</v>
          </cell>
          <cell r="C15">
            <v>19953.24855</v>
          </cell>
          <cell r="D15">
            <v>47593.200360000003</v>
          </cell>
          <cell r="E15">
            <v>20466.656409999992</v>
          </cell>
          <cell r="F15">
            <v>13169.252369999998</v>
          </cell>
          <cell r="G15">
            <v>9.9316114400000011</v>
          </cell>
          <cell r="H15">
            <v>9554.5499999999993</v>
          </cell>
          <cell r="I15">
            <v>10204.283743488439</v>
          </cell>
          <cell r="J15">
            <v>9791.8699221328316</v>
          </cell>
          <cell r="K15">
            <v>10280.104775469861</v>
          </cell>
          <cell r="L15">
            <v>10572.43210686645</v>
          </cell>
          <cell r="M15">
            <v>151595.52984939757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  <cell r="B18" t="str">
            <v>Growth Related Major Projects</v>
          </cell>
          <cell r="C18">
            <v>29181.678279999996</v>
          </cell>
          <cell r="D18">
            <v>45403.327870000008</v>
          </cell>
          <cell r="E18">
            <v>44288.200159999978</v>
          </cell>
          <cell r="F18">
            <v>33509.593870000004</v>
          </cell>
          <cell r="G18">
            <v>11448.850963000001</v>
          </cell>
          <cell r="H18">
            <v>17999.156999999999</v>
          </cell>
          <cell r="I18">
            <v>18518.323394755436</v>
          </cell>
          <cell r="J18">
            <v>17769.891392244383</v>
          </cell>
          <cell r="K18">
            <v>18655.920351646415</v>
          </cell>
          <cell r="L18">
            <v>19186.424225902392</v>
          </cell>
          <cell r="M18">
            <v>255961.3675075486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  <cell r="B21" t="str">
            <v>Total Transmission</v>
          </cell>
          <cell r="C21">
            <v>103781.4142</v>
          </cell>
          <cell r="D21">
            <v>133326.61134999999</v>
          </cell>
          <cell r="E21">
            <v>118190.50362</v>
          </cell>
          <cell r="F21">
            <v>80792.631999999998</v>
          </cell>
          <cell r="G21">
            <v>17741.290229999999</v>
          </cell>
          <cell r="H21">
            <v>38187.252999999997</v>
          </cell>
          <cell r="I21">
            <v>46566</v>
          </cell>
          <cell r="J21">
            <v>44684</v>
          </cell>
          <cell r="K21">
            <v>46912</v>
          </cell>
          <cell r="L21">
            <v>48246</v>
          </cell>
          <cell r="M21">
            <v>678427.70439999993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  <cell r="B24" t="str">
            <v>Bulk Power Lines - Demand Related</v>
          </cell>
          <cell r="C24">
            <v>6152</v>
          </cell>
          <cell r="D24">
            <v>14673</v>
          </cell>
          <cell r="E24">
            <v>6310</v>
          </cell>
          <cell r="F24">
            <v>4060</v>
          </cell>
          <cell r="G24">
            <v>3</v>
          </cell>
          <cell r="H24">
            <v>2946</v>
          </cell>
          <cell r="I24">
            <v>3146</v>
          </cell>
          <cell r="J24">
            <v>3019</v>
          </cell>
          <cell r="K24">
            <v>3169</v>
          </cell>
          <cell r="L24">
            <v>3259</v>
          </cell>
          <cell r="M24">
            <v>46737</v>
          </cell>
        </row>
        <row r="25">
          <cell r="A25">
            <v>11</v>
          </cell>
          <cell r="B25" t="str">
            <v xml:space="preserve">  Line (1) x Demand Factor   30.83%</v>
          </cell>
        </row>
        <row r="26">
          <cell r="A26">
            <v>12</v>
          </cell>
        </row>
        <row r="27">
          <cell r="A27">
            <v>13</v>
          </cell>
          <cell r="B27" t="str">
            <v>Bulk Power Lines - Energy Related</v>
          </cell>
          <cell r="C27">
            <v>13801.24855</v>
          </cell>
          <cell r="D27">
            <v>32920.200360000003</v>
          </cell>
          <cell r="E27">
            <v>14156.656409999992</v>
          </cell>
          <cell r="F27">
            <v>9109.2523699999983</v>
          </cell>
          <cell r="G27">
            <v>6.9316114400000011</v>
          </cell>
          <cell r="H27">
            <v>6608.5499999999993</v>
          </cell>
          <cell r="I27">
            <v>7058.2837434884386</v>
          </cell>
          <cell r="J27">
            <v>6772.8699221328316</v>
          </cell>
          <cell r="K27">
            <v>7111.1047754698611</v>
          </cell>
          <cell r="L27">
            <v>7313.4321068664503</v>
          </cell>
          <cell r="M27">
            <v>104858.5298493976</v>
          </cell>
        </row>
        <row r="28">
          <cell r="A28">
            <v>14</v>
          </cell>
          <cell r="B28" t="str">
            <v xml:space="preserve">  Line (1) - Line (4)</v>
          </cell>
        </row>
        <row r="29">
          <cell r="A29">
            <v>15</v>
          </cell>
        </row>
        <row r="30">
          <cell r="A30">
            <v>16</v>
          </cell>
          <cell r="B30" t="str">
            <v>Total Growth Demand Related</v>
          </cell>
          <cell r="C30">
            <v>35333.678279999993</v>
          </cell>
          <cell r="D30">
            <v>60076.327870000008</v>
          </cell>
          <cell r="E30">
            <v>50598.200159999978</v>
          </cell>
          <cell r="F30">
            <v>37569.593870000004</v>
          </cell>
          <cell r="G30">
            <v>11451.850963000001</v>
          </cell>
          <cell r="H30">
            <v>20945.156999999999</v>
          </cell>
          <cell r="I30">
            <v>21664.323394755436</v>
          </cell>
          <cell r="J30">
            <v>20788.891392244383</v>
          </cell>
          <cell r="K30">
            <v>21824.920351646415</v>
          </cell>
          <cell r="L30">
            <v>22445.424225902392</v>
          </cell>
          <cell r="M30">
            <v>302698.36750754865</v>
          </cell>
        </row>
        <row r="31">
          <cell r="A31">
            <v>17</v>
          </cell>
          <cell r="B31" t="str">
            <v xml:space="preserve">  Line (2) + Line(4)</v>
          </cell>
        </row>
        <row r="32">
          <cell r="A32">
            <v>18</v>
          </cell>
        </row>
        <row r="33">
          <cell r="A33">
            <v>19</v>
          </cell>
          <cell r="B33" t="str">
            <v>Price Adjustment Factor</v>
          </cell>
          <cell r="C33">
            <v>0.78542888401731026</v>
          </cell>
          <cell r="D33">
            <v>0.83970814446203756</v>
          </cell>
          <cell r="E33">
            <v>0.85185346171079968</v>
          </cell>
          <cell r="F33">
            <v>0.90884668517776346</v>
          </cell>
          <cell r="G33">
            <v>0.93198288721807399</v>
          </cell>
          <cell r="H33">
            <v>0.94399317176423314</v>
          </cell>
          <cell r="I33">
            <v>0.97099776928399373</v>
          </cell>
          <cell r="J33">
            <v>0.97913965835070293</v>
          </cell>
          <cell r="K33">
            <v>0.95871741933262866</v>
          </cell>
          <cell r="L33">
            <v>0.97628885432013446</v>
          </cell>
        </row>
        <row r="34">
          <cell r="A34">
            <v>20</v>
          </cell>
        </row>
        <row r="35">
          <cell r="A35">
            <v>21</v>
          </cell>
          <cell r="B35" t="str">
            <v>$ Demand Related</v>
          </cell>
          <cell r="C35">
            <v>44986</v>
          </cell>
          <cell r="D35">
            <v>71544</v>
          </cell>
          <cell r="E35">
            <v>59398</v>
          </cell>
          <cell r="F35">
            <v>41338</v>
          </cell>
          <cell r="G35">
            <v>12288</v>
          </cell>
          <cell r="H35">
            <v>22188</v>
          </cell>
          <cell r="I35">
            <v>22311</v>
          </cell>
          <cell r="J35">
            <v>21232</v>
          </cell>
          <cell r="K35">
            <v>22765</v>
          </cell>
          <cell r="L35">
            <v>22991</v>
          </cell>
          <cell r="M35">
            <v>341041</v>
          </cell>
        </row>
        <row r="36">
          <cell r="A36">
            <v>22</v>
          </cell>
          <cell r="B36" t="str">
            <v xml:space="preserve">  Line (6) / Line (7)</v>
          </cell>
        </row>
        <row r="37">
          <cell r="A37">
            <v>23</v>
          </cell>
        </row>
        <row r="38">
          <cell r="A38">
            <v>24</v>
          </cell>
          <cell r="B38" t="str">
            <v>$ Energy Related</v>
          </cell>
          <cell r="C38">
            <v>17572</v>
          </cell>
          <cell r="D38">
            <v>39204</v>
          </cell>
          <cell r="E38">
            <v>16619</v>
          </cell>
          <cell r="F38">
            <v>10023</v>
          </cell>
          <cell r="G38">
            <v>7</v>
          </cell>
          <cell r="H38">
            <v>7001</v>
          </cell>
          <cell r="I38">
            <v>7269</v>
          </cell>
          <cell r="J38">
            <v>6917</v>
          </cell>
          <cell r="K38">
            <v>7417</v>
          </cell>
          <cell r="L38">
            <v>7491</v>
          </cell>
          <cell r="M38">
            <v>119520</v>
          </cell>
        </row>
        <row r="39">
          <cell r="A39">
            <v>25</v>
          </cell>
          <cell r="B39" t="str">
            <v xml:space="preserve">  Line (5) / Line (7)</v>
          </cell>
          <cell r="M39" t="str">
            <v/>
          </cell>
        </row>
        <row r="40">
          <cell r="A40">
            <v>26</v>
          </cell>
        </row>
        <row r="41">
          <cell r="A41">
            <v>27</v>
          </cell>
          <cell r="B41" t="str">
            <v>Total Marginal Transmission Investment</v>
          </cell>
          <cell r="C41">
            <v>62558</v>
          </cell>
          <cell r="D41">
            <v>110748</v>
          </cell>
          <cell r="E41">
            <v>76017</v>
          </cell>
          <cell r="F41">
            <v>51361</v>
          </cell>
          <cell r="G41">
            <v>12295</v>
          </cell>
          <cell r="H41">
            <v>29189</v>
          </cell>
          <cell r="I41">
            <v>29580</v>
          </cell>
          <cell r="J41">
            <v>28149</v>
          </cell>
          <cell r="K41">
            <v>30182</v>
          </cell>
          <cell r="L41">
            <v>30482</v>
          </cell>
          <cell r="M41">
            <v>460561</v>
          </cell>
        </row>
        <row r="44">
          <cell r="A44" t="str">
            <v>Footnotes:</v>
          </cell>
        </row>
        <row r="45">
          <cell r="A45" t="str">
            <v xml:space="preserve">   Lines 1 - 7</v>
          </cell>
          <cell r="B45" t="str">
            <v>Actual &amp; Forecast Demand Related Investments</v>
          </cell>
        </row>
        <row r="46">
          <cell r="A46" t="str">
            <v xml:space="preserve">   Line   10</v>
          </cell>
          <cell r="B46" t="str">
            <v>Demand Portion of Transmission  = 8.33 / (8.33+18.69) =</v>
          </cell>
          <cell r="D46">
            <v>0.30830000000000002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 - Electric"/>
      <sheetName val="Input Tab"/>
      <sheetName val="Electric Summary"/>
      <sheetName val="E Reasonableness"/>
      <sheetName val="Gas Sendout"/>
      <sheetName val="Electric Reconciliation"/>
      <sheetName val="Billed Electric"/>
      <sheetName val="Electric Unbilled Revenue"/>
      <sheetName val="Read Schedule"/>
      <sheetName val="AMR Data"/>
      <sheetName val="TYPE"/>
      <sheetName val="AMR Data Current"/>
      <sheetName val="AMR Data Prior"/>
      <sheetName val="Volumes by Cycle"/>
      <sheetName val="Pended"/>
      <sheetName val="Pended Type"/>
      <sheetName val="Electric Transportation"/>
      <sheetName val="QA - Rate Changes"/>
      <sheetName val="Detailed Rates - Current"/>
      <sheetName val="Summary Rates - Current"/>
      <sheetName val="Detailed Rates - Prior"/>
      <sheetName val="Summary Rates - Prior"/>
      <sheetName val="Electric SCH 95A"/>
      <sheetName val="Electric SCH 120"/>
      <sheetName val="Electric SCH 129"/>
      <sheetName val="Electric SCH 132"/>
      <sheetName val="Electric SCH 133"/>
      <sheetName val="Electric SCH 137"/>
      <sheetName val="Electric SCH 140"/>
      <sheetName val="Electric SCH 141"/>
      <sheetName val="Electric SCH 142"/>
      <sheetName val="Electric SCH 194"/>
      <sheetName val="Electric Loss Tracking"/>
      <sheetName val="Electric Unbilled JE"/>
      <sheetName val="Electric Stats"/>
      <sheetName val="E Schedule Stats"/>
      <sheetName val="PM Electric Summary"/>
      <sheetName val="Electric History"/>
      <sheetName val="Supporting Doc List"/>
    </sheetNames>
    <sheetDataSet>
      <sheetData sheetId="0" refreshError="1"/>
      <sheetData sheetId="1" refreshError="1"/>
      <sheetData sheetId="2">
        <row r="11">
          <cell r="B11" t="b">
            <v>0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MJS-4"/>
      <sheetName val="MJS-5"/>
      <sheetName val="MJS-6"/>
      <sheetName val="MJS-7"/>
      <sheetName val="MJS-8"/>
      <sheetName val="Rlfwd"/>
      <sheetName val="Explain"/>
      <sheetName val="Revenue"/>
      <sheetName val="Revenue Exhibit"/>
      <sheetName val="Rev Req Comp July"/>
      <sheetName val="Verify"/>
      <sheetName val="JKP-10"/>
      <sheetName val="RAF"/>
    </sheetNames>
    <sheetDataSet>
      <sheetData sheetId="0"/>
      <sheetData sheetId="1">
        <row r="3">
          <cell r="O3" t="str">
            <v>Exhibit No. ___ (MJS-4)</v>
          </cell>
        </row>
      </sheetData>
      <sheetData sheetId="2">
        <row r="3">
          <cell r="E3" t="str">
            <v>Exhibit No. ___ (MJS-5)</v>
          </cell>
        </row>
      </sheetData>
      <sheetData sheetId="3">
        <row r="2">
          <cell r="F2" t="str">
            <v>WUTC Docket No. UG-11____</v>
          </cell>
        </row>
        <row r="3">
          <cell r="F3" t="str">
            <v>Exhibit No. ___ (MJS-6)</v>
          </cell>
        </row>
      </sheetData>
      <sheetData sheetId="4">
        <row r="15">
          <cell r="O15">
            <v>2E-3</v>
          </cell>
        </row>
        <row r="16">
          <cell r="N16">
            <v>3.8519999999999999E-2</v>
          </cell>
        </row>
        <row r="21">
          <cell r="N21">
            <v>0.35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ter "/>
      <sheetName val="Summer"/>
      <sheetName val="Data for Graphs"/>
      <sheetName val="Load Data"/>
      <sheetName val=" Rates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0.90520119460000015</v>
          </cell>
          <cell r="E9">
            <v>0.93346893951935483</v>
          </cell>
          <cell r="F9">
            <v>0.96418569997000003</v>
          </cell>
          <cell r="G9">
            <v>0.96133885848666645</v>
          </cell>
          <cell r="H9">
            <v>0.9010269861000002</v>
          </cell>
        </row>
        <row r="10">
          <cell r="D10">
            <v>1.2584679717032259</v>
          </cell>
          <cell r="E10">
            <v>1.3018970910096772</v>
          </cell>
          <cell r="F10">
            <v>1.3225873683933334</v>
          </cell>
          <cell r="G10">
            <v>1.2396794872966668</v>
          </cell>
          <cell r="H10">
            <v>1.2138008352933336</v>
          </cell>
        </row>
        <row r="11">
          <cell r="D11">
            <v>1.6369457053516132</v>
          </cell>
          <cell r="E11">
            <v>1.6270267336903226</v>
          </cell>
          <cell r="F11">
            <v>1.6540135818000001</v>
          </cell>
          <cell r="G11">
            <v>1.60663419469</v>
          </cell>
          <cell r="H11">
            <v>1.5212484592700004</v>
          </cell>
        </row>
        <row r="12">
          <cell r="D12">
            <v>1.4283983964935485</v>
          </cell>
          <cell r="E12">
            <v>1.3711913876451611</v>
          </cell>
          <cell r="F12">
            <v>1.3525660396466668</v>
          </cell>
          <cell r="G12">
            <v>1.3851226088133333</v>
          </cell>
          <cell r="H12">
            <v>1.3861692652299995</v>
          </cell>
        </row>
        <row r="20">
          <cell r="D20">
            <v>1.2623804052903227</v>
          </cell>
          <cell r="E20">
            <v>1.2843901397096773</v>
          </cell>
          <cell r="F20">
            <v>1.29208837114</v>
          </cell>
          <cell r="G20">
            <v>1.2668765718733335</v>
          </cell>
          <cell r="H20">
            <v>1.2225279635733335</v>
          </cell>
        </row>
        <row r="21">
          <cell r="D21">
            <v>1.3858586579870964</v>
          </cell>
          <cell r="E21">
            <v>1.437714519590322</v>
          </cell>
          <cell r="F21">
            <v>1.4296717071333338</v>
          </cell>
          <cell r="G21">
            <v>1.3687621442066664</v>
          </cell>
          <cell r="H21">
            <v>1.3150381558666664</v>
          </cell>
        </row>
        <row r="22">
          <cell r="D22">
            <v>1.4870278933064511</v>
          </cell>
          <cell r="E22">
            <v>1.6077495270000002</v>
          </cell>
          <cell r="F22">
            <v>1.56576827254</v>
          </cell>
          <cell r="G22">
            <v>1.4854433785333334</v>
          </cell>
          <cell r="H22">
            <v>1.4689444354800005</v>
          </cell>
        </row>
      </sheetData>
      <sheetData sheetId="4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  <sheetName val="General Inputs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C5" t="str">
            <v>12 Months Ending June 2012</v>
          </cell>
          <cell r="R5">
            <v>3</v>
          </cell>
        </row>
        <row r="8">
          <cell r="G8">
            <v>0.61880999999999997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58">
          <cell r="H58">
            <v>828428746.40643871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K4">
            <v>0.79018896309372733</v>
          </cell>
        </row>
      </sheetData>
      <sheetData sheetId="19" refreshError="1">
        <row r="250">
          <cell r="AB250" t="str">
            <v>DIS</v>
          </cell>
        </row>
        <row r="259">
          <cell r="AB259">
            <v>0</v>
          </cell>
        </row>
        <row r="260">
          <cell r="AB260">
            <v>0</v>
          </cell>
        </row>
        <row r="274">
          <cell r="H274">
            <v>0</v>
          </cell>
          <cell r="AB274">
            <v>0</v>
          </cell>
        </row>
        <row r="275">
          <cell r="AB275">
            <v>0</v>
          </cell>
        </row>
        <row r="286">
          <cell r="AB286">
            <v>0</v>
          </cell>
        </row>
        <row r="287">
          <cell r="AB287">
            <v>0</v>
          </cell>
        </row>
        <row r="288">
          <cell r="AB288">
            <v>0</v>
          </cell>
        </row>
        <row r="289">
          <cell r="AB289">
            <v>0</v>
          </cell>
        </row>
        <row r="294">
          <cell r="AB294">
            <v>0</v>
          </cell>
        </row>
        <row r="295">
          <cell r="AB295">
            <v>1742.297605041073</v>
          </cell>
        </row>
        <row r="296">
          <cell r="H296">
            <v>545051.91999999993</v>
          </cell>
          <cell r="AB296">
            <v>24046.593173771958</v>
          </cell>
        </row>
        <row r="302">
          <cell r="H302">
            <v>678122.06</v>
          </cell>
          <cell r="AB302">
            <v>0</v>
          </cell>
        </row>
        <row r="303">
          <cell r="AB303">
            <v>0</v>
          </cell>
        </row>
        <row r="304">
          <cell r="AB304">
            <v>0</v>
          </cell>
        </row>
        <row r="307">
          <cell r="H307">
            <v>162036.34</v>
          </cell>
          <cell r="AB307">
            <v>0</v>
          </cell>
        </row>
        <row r="308">
          <cell r="AB308">
            <v>0</v>
          </cell>
        </row>
        <row r="309">
          <cell r="AB309">
            <v>2.2002629455472063</v>
          </cell>
        </row>
        <row r="315">
          <cell r="AB315">
            <v>0</v>
          </cell>
        </row>
        <row r="318">
          <cell r="H318">
            <v>1090881.68</v>
          </cell>
          <cell r="AB318">
            <v>30837.803833077982</v>
          </cell>
        </row>
        <row r="319">
          <cell r="AB319">
            <v>0</v>
          </cell>
        </row>
        <row r="320">
          <cell r="AB320">
            <v>0</v>
          </cell>
        </row>
        <row r="321">
          <cell r="AB321">
            <v>1931.5663974704169</v>
          </cell>
        </row>
        <row r="322">
          <cell r="AB322">
            <v>32769.370230548397</v>
          </cell>
        </row>
        <row r="325">
          <cell r="H325">
            <v>-3052188</v>
          </cell>
          <cell r="AB325">
            <v>0</v>
          </cell>
        </row>
        <row r="329">
          <cell r="AB329">
            <v>0</v>
          </cell>
        </row>
        <row r="331">
          <cell r="AB331">
            <v>0</v>
          </cell>
        </row>
        <row r="332">
          <cell r="AB332">
            <v>0</v>
          </cell>
        </row>
        <row r="369">
          <cell r="AB369">
            <v>0</v>
          </cell>
        </row>
        <row r="374">
          <cell r="AB374">
            <v>0</v>
          </cell>
        </row>
        <row r="378">
          <cell r="AB378">
            <v>0</v>
          </cell>
        </row>
        <row r="381">
          <cell r="AB381">
            <v>0</v>
          </cell>
        </row>
        <row r="385">
          <cell r="AB385">
            <v>0</v>
          </cell>
        </row>
        <row r="394">
          <cell r="AB394">
            <v>103.86639824167921</v>
          </cell>
        </row>
        <row r="401">
          <cell r="AB401">
            <v>0</v>
          </cell>
        </row>
        <row r="416">
          <cell r="AB416">
            <v>0</v>
          </cell>
        </row>
        <row r="423">
          <cell r="AB423">
            <v>0</v>
          </cell>
        </row>
        <row r="449">
          <cell r="AB449">
            <v>0</v>
          </cell>
        </row>
        <row r="455">
          <cell r="AB455">
            <v>0</v>
          </cell>
        </row>
        <row r="464">
          <cell r="AB464">
            <v>0</v>
          </cell>
        </row>
        <row r="479">
          <cell r="AB479">
            <v>0</v>
          </cell>
        </row>
        <row r="484">
          <cell r="AB484">
            <v>0</v>
          </cell>
        </row>
        <row r="489">
          <cell r="AB489">
            <v>0</v>
          </cell>
        </row>
        <row r="498">
          <cell r="AB498">
            <v>0</v>
          </cell>
        </row>
        <row r="502">
          <cell r="AB502">
            <v>0</v>
          </cell>
        </row>
        <row r="507">
          <cell r="AB507">
            <v>0</v>
          </cell>
        </row>
        <row r="511">
          <cell r="AB511">
            <v>0</v>
          </cell>
        </row>
        <row r="515">
          <cell r="AB515">
            <v>0</v>
          </cell>
        </row>
        <row r="519">
          <cell r="AB519">
            <v>0</v>
          </cell>
        </row>
        <row r="523">
          <cell r="AB523">
            <v>0</v>
          </cell>
        </row>
        <row r="527">
          <cell r="AB527">
            <v>0</v>
          </cell>
        </row>
        <row r="531">
          <cell r="AB531">
            <v>0</v>
          </cell>
        </row>
        <row r="535">
          <cell r="AB535">
            <v>0</v>
          </cell>
        </row>
        <row r="539">
          <cell r="AB539">
            <v>0</v>
          </cell>
        </row>
        <row r="551">
          <cell r="AB551">
            <v>0</v>
          </cell>
        </row>
        <row r="555">
          <cell r="AB555">
            <v>0</v>
          </cell>
        </row>
        <row r="559">
          <cell r="AB559">
            <v>0</v>
          </cell>
        </row>
        <row r="563">
          <cell r="AB563">
            <v>0</v>
          </cell>
        </row>
        <row r="568">
          <cell r="AB568">
            <v>0</v>
          </cell>
        </row>
        <row r="572">
          <cell r="AB572">
            <v>0</v>
          </cell>
        </row>
        <row r="576">
          <cell r="AB576">
            <v>0</v>
          </cell>
        </row>
        <row r="580">
          <cell r="AB580">
            <v>0</v>
          </cell>
        </row>
        <row r="584">
          <cell r="AB584">
            <v>0</v>
          </cell>
        </row>
        <row r="588">
          <cell r="AB588">
            <v>0</v>
          </cell>
        </row>
        <row r="592">
          <cell r="AB592">
            <v>0</v>
          </cell>
        </row>
        <row r="606">
          <cell r="AB606">
            <v>0</v>
          </cell>
        </row>
        <row r="621">
          <cell r="AB621">
            <v>0</v>
          </cell>
        </row>
        <row r="626">
          <cell r="AB626">
            <v>0</v>
          </cell>
        </row>
        <row r="676">
          <cell r="AB676">
            <v>0</v>
          </cell>
        </row>
        <row r="681">
          <cell r="H681">
            <v>453048.07815530774</v>
          </cell>
        </row>
        <row r="683">
          <cell r="H683">
            <v>727723.91183378792</v>
          </cell>
        </row>
        <row r="685">
          <cell r="AB685">
            <v>0</v>
          </cell>
        </row>
        <row r="715">
          <cell r="AB715">
            <v>0</v>
          </cell>
        </row>
        <row r="720">
          <cell r="AB720">
            <v>0</v>
          </cell>
        </row>
        <row r="726">
          <cell r="AB726">
            <v>0</v>
          </cell>
        </row>
        <row r="731">
          <cell r="AB731">
            <v>0</v>
          </cell>
        </row>
        <row r="735">
          <cell r="AB735">
            <v>0</v>
          </cell>
        </row>
        <row r="744">
          <cell r="AB744">
            <v>0</v>
          </cell>
        </row>
        <row r="748">
          <cell r="AB748">
            <v>0</v>
          </cell>
        </row>
        <row r="752">
          <cell r="AB752">
            <v>0</v>
          </cell>
        </row>
        <row r="756">
          <cell r="AB756">
            <v>0</v>
          </cell>
        </row>
        <row r="760">
          <cell r="AB760">
            <v>0</v>
          </cell>
        </row>
        <row r="765">
          <cell r="AB765">
            <v>0</v>
          </cell>
        </row>
        <row r="770">
          <cell r="AB770">
            <v>0</v>
          </cell>
        </row>
        <row r="774">
          <cell r="AB774">
            <v>0</v>
          </cell>
        </row>
        <row r="778">
          <cell r="AB778">
            <v>0</v>
          </cell>
        </row>
        <row r="791">
          <cell r="H791">
            <v>909810.96730218641</v>
          </cell>
          <cell r="AB791">
            <v>25719.170693972745</v>
          </cell>
        </row>
        <row r="796">
          <cell r="H796">
            <v>852248.379117648</v>
          </cell>
          <cell r="AB796">
            <v>0</v>
          </cell>
        </row>
        <row r="801">
          <cell r="H801">
            <v>317335.73514141352</v>
          </cell>
          <cell r="AB801">
            <v>0</v>
          </cell>
        </row>
        <row r="806">
          <cell r="H806">
            <v>576635.08690863231</v>
          </cell>
          <cell r="AB806">
            <v>0</v>
          </cell>
        </row>
        <row r="811">
          <cell r="H811">
            <v>67.300607506355803</v>
          </cell>
          <cell r="AB811">
            <v>0</v>
          </cell>
        </row>
        <row r="816">
          <cell r="H816">
            <v>14256.5274335944</v>
          </cell>
          <cell r="AB816">
            <v>14256.5274335944</v>
          </cell>
        </row>
        <row r="821">
          <cell r="H821">
            <v>636148.15424891119</v>
          </cell>
          <cell r="AB821">
            <v>636148.15424891119</v>
          </cell>
        </row>
        <row r="826">
          <cell r="H826">
            <v>947827.17</v>
          </cell>
          <cell r="AB826">
            <v>0</v>
          </cell>
        </row>
        <row r="831">
          <cell r="H831">
            <v>277610.63598494366</v>
          </cell>
          <cell r="AB831">
            <v>0</v>
          </cell>
        </row>
        <row r="836">
          <cell r="H836">
            <v>119593.14062629984</v>
          </cell>
          <cell r="AB836">
            <v>0</v>
          </cell>
        </row>
        <row r="841">
          <cell r="H841">
            <v>247117.89510009371</v>
          </cell>
          <cell r="AB841">
            <v>6985.7009357236921</v>
          </cell>
        </row>
        <row r="846">
          <cell r="H846">
            <v>209228.72693319363</v>
          </cell>
          <cell r="AB846">
            <v>0</v>
          </cell>
        </row>
        <row r="851">
          <cell r="H851">
            <v>754906.73739222938</v>
          </cell>
          <cell r="AB851">
            <v>0</v>
          </cell>
        </row>
        <row r="856">
          <cell r="H856">
            <v>4144263.9697047933</v>
          </cell>
          <cell r="AB856">
            <v>0</v>
          </cell>
        </row>
        <row r="861">
          <cell r="H861">
            <v>1028804.6586482538</v>
          </cell>
          <cell r="AB861">
            <v>0</v>
          </cell>
        </row>
        <row r="866">
          <cell r="H866">
            <v>56252.998151844738</v>
          </cell>
          <cell r="AB866">
            <v>0</v>
          </cell>
        </row>
        <row r="876">
          <cell r="H876">
            <v>199709.85</v>
          </cell>
          <cell r="AB876">
            <v>0</v>
          </cell>
        </row>
        <row r="881">
          <cell r="H881">
            <v>441912.15099998261</v>
          </cell>
          <cell r="AB881">
            <v>441912.15099998261</v>
          </cell>
        </row>
        <row r="886">
          <cell r="H886">
            <v>75725.498082461083</v>
          </cell>
          <cell r="AB886">
            <v>0</v>
          </cell>
        </row>
        <row r="898">
          <cell r="AB898">
            <v>0</v>
          </cell>
        </row>
        <row r="903">
          <cell r="AB903">
            <v>0</v>
          </cell>
        </row>
        <row r="908">
          <cell r="AB908">
            <v>0</v>
          </cell>
        </row>
        <row r="914">
          <cell r="AB914">
            <v>0</v>
          </cell>
        </row>
        <row r="919">
          <cell r="AB919">
            <v>0</v>
          </cell>
        </row>
        <row r="933">
          <cell r="AB933">
            <v>0</v>
          </cell>
        </row>
        <row r="938">
          <cell r="AB938">
            <v>0</v>
          </cell>
        </row>
        <row r="943">
          <cell r="AB943">
            <v>0</v>
          </cell>
        </row>
        <row r="948">
          <cell r="AB948">
            <v>0</v>
          </cell>
        </row>
        <row r="959">
          <cell r="AB959">
            <v>0</v>
          </cell>
        </row>
        <row r="964">
          <cell r="AB964">
            <v>0</v>
          </cell>
        </row>
        <row r="969">
          <cell r="AB969">
            <v>0</v>
          </cell>
        </row>
        <row r="974">
          <cell r="AB974">
            <v>0</v>
          </cell>
        </row>
        <row r="983">
          <cell r="AB983">
            <v>0</v>
          </cell>
        </row>
        <row r="985">
          <cell r="AB985">
            <v>41280.336085776369</v>
          </cell>
        </row>
        <row r="989">
          <cell r="AB989">
            <v>0</v>
          </cell>
        </row>
        <row r="991">
          <cell r="AB991">
            <v>-9187.9724367989365</v>
          </cell>
        </row>
        <row r="995">
          <cell r="AB995">
            <v>0</v>
          </cell>
        </row>
        <row r="997">
          <cell r="AB997">
            <v>3902.7130417536246</v>
          </cell>
        </row>
        <row r="1001">
          <cell r="AB1001">
            <v>4750.2666931780768</v>
          </cell>
        </row>
        <row r="1005">
          <cell r="AB1005">
            <v>5591.2081415375578</v>
          </cell>
        </row>
        <row r="1011">
          <cell r="AB1011">
            <v>0</v>
          </cell>
        </row>
        <row r="1016">
          <cell r="AB1016">
            <v>0</v>
          </cell>
        </row>
        <row r="1023">
          <cell r="AB1023">
            <v>0</v>
          </cell>
        </row>
        <row r="1028">
          <cell r="AB1028">
            <v>-19834.650939935615</v>
          </cell>
        </row>
        <row r="1034">
          <cell r="AB1034">
            <v>34903.170390031788</v>
          </cell>
        </row>
        <row r="1039">
          <cell r="AB1039">
            <v>3249.4772149131099</v>
          </cell>
        </row>
        <row r="1045">
          <cell r="AB1045">
            <v>20018.708685059337</v>
          </cell>
        </row>
        <row r="1061">
          <cell r="AB1061">
            <v>0</v>
          </cell>
        </row>
        <row r="1065">
          <cell r="AB1065">
            <v>0</v>
          </cell>
        </row>
        <row r="1072">
          <cell r="AB1072">
            <v>0</v>
          </cell>
        </row>
        <row r="1080">
          <cell r="AB1080">
            <v>0</v>
          </cell>
        </row>
        <row r="1087">
          <cell r="AB1087">
            <v>0</v>
          </cell>
        </row>
        <row r="1090">
          <cell r="AB1090">
            <v>0</v>
          </cell>
        </row>
        <row r="1091">
          <cell r="AB1091">
            <v>0</v>
          </cell>
        </row>
        <row r="1092">
          <cell r="AB1092">
            <v>0</v>
          </cell>
        </row>
        <row r="1094">
          <cell r="AB1094">
            <v>0</v>
          </cell>
        </row>
        <row r="1095">
          <cell r="AB1095">
            <v>0</v>
          </cell>
        </row>
        <row r="1096">
          <cell r="AB1096">
            <v>0</v>
          </cell>
        </row>
        <row r="1097">
          <cell r="AB1097">
            <v>0</v>
          </cell>
        </row>
        <row r="1098">
          <cell r="AB1098">
            <v>0</v>
          </cell>
        </row>
        <row r="1099">
          <cell r="AB1099">
            <v>0</v>
          </cell>
        </row>
        <row r="1100">
          <cell r="AB1100">
            <v>445097.37</v>
          </cell>
        </row>
        <row r="1101">
          <cell r="AB1101">
            <v>0</v>
          </cell>
        </row>
        <row r="1102">
          <cell r="AB1102">
            <v>0</v>
          </cell>
        </row>
        <row r="1103">
          <cell r="AB1103">
            <v>0</v>
          </cell>
        </row>
        <row r="1107">
          <cell r="AB1107">
            <v>24341.916551153008</v>
          </cell>
        </row>
        <row r="1108">
          <cell r="AB1108">
            <v>0</v>
          </cell>
        </row>
        <row r="1109">
          <cell r="AB1109">
            <v>0</v>
          </cell>
        </row>
        <row r="1111">
          <cell r="AB1111">
            <v>0</v>
          </cell>
        </row>
        <row r="1112">
          <cell r="AB1112">
            <v>0</v>
          </cell>
        </row>
        <row r="1113">
          <cell r="AB1113">
            <v>8387.1112958098438</v>
          </cell>
        </row>
        <row r="1115">
          <cell r="AB1115">
            <v>0</v>
          </cell>
        </row>
        <row r="1116">
          <cell r="AB1116">
            <v>0</v>
          </cell>
        </row>
        <row r="1121">
          <cell r="AB1121">
            <v>0</v>
          </cell>
        </row>
        <row r="1125">
          <cell r="AB1125">
            <v>0</v>
          </cell>
        </row>
        <row r="1130">
          <cell r="AB1130">
            <v>0</v>
          </cell>
        </row>
        <row r="1141">
          <cell r="AB1141">
            <v>723.47361058671254</v>
          </cell>
        </row>
        <row r="1143">
          <cell r="AB1143">
            <v>0</v>
          </cell>
        </row>
        <row r="1146">
          <cell r="AB1146">
            <v>3692.5269592552504</v>
          </cell>
        </row>
        <row r="1151">
          <cell r="AB1151">
            <v>0</v>
          </cell>
        </row>
        <row r="1154">
          <cell r="AB1154">
            <v>2.6832929400378993</v>
          </cell>
        </row>
        <row r="1155">
          <cell r="AB1155">
            <v>0</v>
          </cell>
        </row>
        <row r="1156">
          <cell r="AB1156">
            <v>0</v>
          </cell>
        </row>
        <row r="1157">
          <cell r="AB1157">
            <v>8811.3444432097076</v>
          </cell>
        </row>
        <row r="1158">
          <cell r="AB1158">
            <v>0</v>
          </cell>
        </row>
        <row r="1159">
          <cell r="AB1159">
            <v>0</v>
          </cell>
        </row>
        <row r="1160">
          <cell r="AB1160">
            <v>0</v>
          </cell>
        </row>
        <row r="1163">
          <cell r="AB1163">
            <v>0</v>
          </cell>
        </row>
        <row r="1168">
          <cell r="AB1168">
            <v>0</v>
          </cell>
        </row>
        <row r="1172">
          <cell r="AB1172">
            <v>0</v>
          </cell>
        </row>
        <row r="1177">
          <cell r="AB1177">
            <v>0</v>
          </cell>
        </row>
        <row r="1185">
          <cell r="AB1185">
            <v>0</v>
          </cell>
        </row>
        <row r="1193">
          <cell r="AB1193">
            <v>0</v>
          </cell>
        </row>
        <row r="1202">
          <cell r="AB1202">
            <v>0</v>
          </cell>
        </row>
        <row r="1213">
          <cell r="AB1213">
            <v>91794.090258756347</v>
          </cell>
        </row>
        <row r="1221">
          <cell r="AB1221">
            <v>155181.64056245438</v>
          </cell>
        </row>
        <row r="1232">
          <cell r="AB1232">
            <v>0</v>
          </cell>
        </row>
        <row r="1237">
          <cell r="AB1237">
            <v>0</v>
          </cell>
        </row>
        <row r="1294">
          <cell r="AB1294">
            <v>210166.72322092851</v>
          </cell>
        </row>
        <row r="1309">
          <cell r="AB1309">
            <v>0</v>
          </cell>
        </row>
        <row r="1325">
          <cell r="AB1325">
            <v>-188813.51348561118</v>
          </cell>
        </row>
        <row r="1377">
          <cell r="AB1377">
            <v>0</v>
          </cell>
        </row>
        <row r="1395">
          <cell r="AB1395">
            <v>79712.869579049002</v>
          </cell>
        </row>
        <row r="1414">
          <cell r="AB1414">
            <v>0</v>
          </cell>
        </row>
        <row r="1421">
          <cell r="AB1421">
            <v>0</v>
          </cell>
        </row>
        <row r="1428">
          <cell r="AB1428">
            <v>0</v>
          </cell>
        </row>
        <row r="1435">
          <cell r="AB1435">
            <v>0</v>
          </cell>
        </row>
        <row r="1442">
          <cell r="AB1442">
            <v>0</v>
          </cell>
        </row>
        <row r="1450">
          <cell r="AB1450">
            <v>0</v>
          </cell>
        </row>
        <row r="1455">
          <cell r="AB1455">
            <v>0</v>
          </cell>
        </row>
        <row r="1466">
          <cell r="AB1466">
            <v>0</v>
          </cell>
        </row>
        <row r="1471">
          <cell r="AB1471">
            <v>0</v>
          </cell>
        </row>
        <row r="1476">
          <cell r="AB1476">
            <v>0</v>
          </cell>
        </row>
        <row r="1481">
          <cell r="AB1481">
            <v>0</v>
          </cell>
        </row>
        <row r="1486">
          <cell r="AB1486">
            <v>0</v>
          </cell>
        </row>
        <row r="1491">
          <cell r="AB1491">
            <v>0</v>
          </cell>
        </row>
        <row r="1496">
          <cell r="AB1496">
            <v>0</v>
          </cell>
        </row>
        <row r="1508">
          <cell r="AB1508">
            <v>0</v>
          </cell>
        </row>
        <row r="1513">
          <cell r="AB1513">
            <v>0</v>
          </cell>
        </row>
        <row r="1518">
          <cell r="AB1518">
            <v>0</v>
          </cell>
        </row>
        <row r="1523">
          <cell r="AB1523">
            <v>0</v>
          </cell>
        </row>
        <row r="1528">
          <cell r="AB1528">
            <v>0</v>
          </cell>
        </row>
        <row r="1533">
          <cell r="AB1533">
            <v>0</v>
          </cell>
        </row>
        <row r="1539">
          <cell r="AB1539">
            <v>0</v>
          </cell>
        </row>
        <row r="1545">
          <cell r="AB1545">
            <v>0</v>
          </cell>
        </row>
        <row r="1584">
          <cell r="AB1584">
            <v>0</v>
          </cell>
        </row>
        <row r="1601">
          <cell r="AB1601">
            <v>0</v>
          </cell>
        </row>
        <row r="1606">
          <cell r="AB1606">
            <v>0</v>
          </cell>
        </row>
        <row r="1613">
          <cell r="AB1613">
            <v>0</v>
          </cell>
        </row>
        <row r="1628">
          <cell r="H1628">
            <v>6763511.8434239225</v>
          </cell>
          <cell r="AB1628">
            <v>0</v>
          </cell>
        </row>
        <row r="1635">
          <cell r="H1635">
            <v>8046409.0148046054</v>
          </cell>
          <cell r="AB1635">
            <v>0</v>
          </cell>
        </row>
        <row r="1641">
          <cell r="H1641">
            <v>99887523.767113864</v>
          </cell>
          <cell r="AB1641">
            <v>0</v>
          </cell>
        </row>
        <row r="1647">
          <cell r="H1647">
            <v>41570903.64456252</v>
          </cell>
          <cell r="AB1647">
            <v>0</v>
          </cell>
        </row>
        <row r="1654">
          <cell r="H1654">
            <v>50306420.034921594</v>
          </cell>
          <cell r="AB1654">
            <v>0</v>
          </cell>
        </row>
        <row r="1660">
          <cell r="H1660">
            <v>65755544.287997507</v>
          </cell>
          <cell r="AB1660">
            <v>0</v>
          </cell>
        </row>
        <row r="1666">
          <cell r="H1666">
            <v>36799.829845371649</v>
          </cell>
          <cell r="AB1666">
            <v>0</v>
          </cell>
        </row>
        <row r="1672">
          <cell r="H1672">
            <v>68005.859615167239</v>
          </cell>
          <cell r="AB1672">
            <v>0</v>
          </cell>
        </row>
        <row r="1678">
          <cell r="H1678">
            <v>1521577.3966357647</v>
          </cell>
          <cell r="AB1678">
            <v>0</v>
          </cell>
        </row>
        <row r="1682">
          <cell r="AB1682">
            <v>0</v>
          </cell>
        </row>
        <row r="1686">
          <cell r="H1686">
            <v>0</v>
          </cell>
        </row>
        <row r="1698">
          <cell r="H1698">
            <v>1510453.72</v>
          </cell>
          <cell r="AB1698">
            <v>0</v>
          </cell>
        </row>
        <row r="1704">
          <cell r="H1704">
            <v>2440663.6</v>
          </cell>
          <cell r="AB1704">
            <v>0</v>
          </cell>
        </row>
        <row r="1710">
          <cell r="H1710">
            <v>47592408.020000003</v>
          </cell>
          <cell r="AB1710">
            <v>0</v>
          </cell>
        </row>
        <row r="1717">
          <cell r="H1717">
            <v>92644359.829999998</v>
          </cell>
        </row>
        <row r="1724">
          <cell r="H1724">
            <v>58634040.060000002</v>
          </cell>
        </row>
        <row r="1731">
          <cell r="H1731">
            <v>16364985.75</v>
          </cell>
        </row>
        <row r="1738">
          <cell r="H1738">
            <v>22764714.91</v>
          </cell>
        </row>
        <row r="1744">
          <cell r="H1744">
            <v>98870912.760000005</v>
          </cell>
          <cell r="AB1744">
            <v>0</v>
          </cell>
        </row>
        <row r="1751">
          <cell r="H1751">
            <v>52234063.350000001</v>
          </cell>
          <cell r="AB1751">
            <v>0</v>
          </cell>
        </row>
        <row r="1762">
          <cell r="H1762">
            <v>11451993.6</v>
          </cell>
          <cell r="AB1762">
            <v>11451993.6</v>
          </cell>
        </row>
        <row r="1769">
          <cell r="H1769">
            <v>518187.33</v>
          </cell>
        </row>
        <row r="1773">
          <cell r="H1773">
            <v>0</v>
          </cell>
          <cell r="AB1773">
            <v>0</v>
          </cell>
        </row>
        <row r="1774">
          <cell r="H1774">
            <v>0</v>
          </cell>
          <cell r="AB1774">
            <v>0</v>
          </cell>
        </row>
        <row r="1775">
          <cell r="H1775">
            <v>0</v>
          </cell>
          <cell r="AB1775">
            <v>0</v>
          </cell>
        </row>
        <row r="1776">
          <cell r="H1776">
            <v>0</v>
          </cell>
        </row>
        <row r="1782">
          <cell r="H1782">
            <v>4036517</v>
          </cell>
          <cell r="AB1782">
            <v>0</v>
          </cell>
        </row>
        <row r="1786">
          <cell r="AB1786">
            <v>0</v>
          </cell>
        </row>
        <row r="1790">
          <cell r="AB1790">
            <v>0</v>
          </cell>
        </row>
        <row r="1799">
          <cell r="AB1799">
            <v>23172.160803329974</v>
          </cell>
        </row>
        <row r="1800">
          <cell r="AB1800">
            <v>0</v>
          </cell>
        </row>
        <row r="1801">
          <cell r="AB1801">
            <v>0</v>
          </cell>
        </row>
        <row r="1802">
          <cell r="AB1802">
            <v>0</v>
          </cell>
        </row>
        <row r="1803">
          <cell r="AB1803">
            <v>3188.108123378584</v>
          </cell>
        </row>
        <row r="1807">
          <cell r="AB1807">
            <v>293391.56326842605</v>
          </cell>
        </row>
        <row r="1808">
          <cell r="AB1808">
            <v>0</v>
          </cell>
        </row>
        <row r="1809">
          <cell r="AB1809">
            <v>0</v>
          </cell>
        </row>
        <row r="1810">
          <cell r="AB1810">
            <v>0</v>
          </cell>
        </row>
        <row r="1811">
          <cell r="AB1811">
            <v>0</v>
          </cell>
        </row>
        <row r="1812">
          <cell r="AB1812">
            <v>0</v>
          </cell>
        </row>
        <row r="1813">
          <cell r="AB1813">
            <v>58735.062462833288</v>
          </cell>
        </row>
        <row r="1817">
          <cell r="AB1817">
            <v>28720.744418599577</v>
          </cell>
        </row>
        <row r="1818">
          <cell r="AB1818">
            <v>0</v>
          </cell>
        </row>
        <row r="1819">
          <cell r="AB1819">
            <v>0</v>
          </cell>
        </row>
        <row r="1820">
          <cell r="AB1820">
            <v>0</v>
          </cell>
        </row>
        <row r="1821">
          <cell r="AB1821">
            <v>0</v>
          </cell>
        </row>
        <row r="1823">
          <cell r="AB1823">
            <v>31500.34439682525</v>
          </cell>
        </row>
        <row r="1824">
          <cell r="AB1824">
            <v>0</v>
          </cell>
        </row>
        <row r="1825">
          <cell r="AB1825">
            <v>0</v>
          </cell>
        </row>
        <row r="1829">
          <cell r="AB1829">
            <v>108771.78609471214</v>
          </cell>
        </row>
        <row r="1830">
          <cell r="AB1830">
            <v>4203.6873457297115</v>
          </cell>
        </row>
        <row r="1831">
          <cell r="AB1831">
            <v>0</v>
          </cell>
        </row>
        <row r="1832">
          <cell r="AB1832">
            <v>0</v>
          </cell>
        </row>
        <row r="1833">
          <cell r="AB1833">
            <v>0</v>
          </cell>
        </row>
        <row r="1834">
          <cell r="AB1834">
            <v>0</v>
          </cell>
        </row>
        <row r="1835">
          <cell r="AB1835">
            <v>0</v>
          </cell>
        </row>
        <row r="1836">
          <cell r="AB1836">
            <v>0</v>
          </cell>
        </row>
        <row r="1841">
          <cell r="AB1841">
            <v>12609.235300211472</v>
          </cell>
        </row>
        <row r="1842">
          <cell r="AB1842">
            <v>0</v>
          </cell>
        </row>
        <row r="1843">
          <cell r="AB1843">
            <v>0</v>
          </cell>
        </row>
        <row r="1844">
          <cell r="AB1844">
            <v>181.54721923622114</v>
          </cell>
        </row>
        <row r="1845">
          <cell r="AB1845">
            <v>0</v>
          </cell>
        </row>
        <row r="1846">
          <cell r="AB1846">
            <v>0</v>
          </cell>
        </row>
        <row r="1850">
          <cell r="AB1850">
            <v>61241.570290691307</v>
          </cell>
        </row>
        <row r="1851">
          <cell r="AB1851">
            <v>0</v>
          </cell>
        </row>
        <row r="1852">
          <cell r="AB1852">
            <v>0</v>
          </cell>
        </row>
        <row r="1853">
          <cell r="AB1853">
            <v>2150.2354946125588</v>
          </cell>
        </row>
        <row r="1854">
          <cell r="AB1854">
            <v>0</v>
          </cell>
        </row>
        <row r="1855">
          <cell r="AB1855">
            <v>0</v>
          </cell>
        </row>
        <row r="1856">
          <cell r="AB1856">
            <v>0</v>
          </cell>
        </row>
        <row r="1861">
          <cell r="AB1861">
            <v>40458.065410369229</v>
          </cell>
        </row>
        <row r="1862">
          <cell r="AB1862">
            <v>0</v>
          </cell>
        </row>
        <row r="1863">
          <cell r="AB1863">
            <v>0</v>
          </cell>
        </row>
        <row r="1864">
          <cell r="AB1864">
            <v>3008.0850347478276</v>
          </cell>
        </row>
        <row r="1865">
          <cell r="AB1865">
            <v>0</v>
          </cell>
        </row>
        <row r="1866">
          <cell r="AB1866">
            <v>0</v>
          </cell>
        </row>
        <row r="1867">
          <cell r="AB1867">
            <v>0</v>
          </cell>
        </row>
        <row r="1872">
          <cell r="AB1872">
            <v>170654.41166294203</v>
          </cell>
        </row>
        <row r="1873">
          <cell r="AB1873">
            <v>0</v>
          </cell>
        </row>
        <row r="1874">
          <cell r="AB1874">
            <v>0</v>
          </cell>
        </row>
        <row r="1875">
          <cell r="AB1875">
            <v>1093.2750724878126</v>
          </cell>
        </row>
        <row r="1876">
          <cell r="AB1876">
            <v>0</v>
          </cell>
        </row>
        <row r="1877">
          <cell r="AB1877">
            <v>0</v>
          </cell>
        </row>
        <row r="1878">
          <cell r="AB1878">
            <v>0</v>
          </cell>
        </row>
        <row r="1879">
          <cell r="AB1879">
            <v>0</v>
          </cell>
        </row>
        <row r="1886">
          <cell r="AB1886">
            <v>250560.10128476986</v>
          </cell>
        </row>
        <row r="1887">
          <cell r="AB1887">
            <v>0</v>
          </cell>
        </row>
        <row r="1888">
          <cell r="AB1888">
            <v>0</v>
          </cell>
        </row>
        <row r="1889">
          <cell r="AB1889">
            <v>33186.276140003712</v>
          </cell>
        </row>
        <row r="1890">
          <cell r="AB1890">
            <v>0</v>
          </cell>
        </row>
        <row r="1891">
          <cell r="AB1891">
            <v>0</v>
          </cell>
        </row>
        <row r="1892">
          <cell r="AB1892">
            <v>0</v>
          </cell>
        </row>
        <row r="1893">
          <cell r="AB1893">
            <v>0</v>
          </cell>
        </row>
        <row r="1899">
          <cell r="AB1899">
            <v>4312.1319615860375</v>
          </cell>
        </row>
        <row r="1900">
          <cell r="AB1900">
            <v>0</v>
          </cell>
        </row>
        <row r="1901">
          <cell r="AB1901">
            <v>0</v>
          </cell>
        </row>
        <row r="1902">
          <cell r="AB1902">
            <v>0</v>
          </cell>
        </row>
        <row r="1903">
          <cell r="AB1903">
            <v>1686.6903678514821</v>
          </cell>
        </row>
        <row r="1904">
          <cell r="AB1904">
            <v>0</v>
          </cell>
        </row>
        <row r="1905">
          <cell r="AB1905">
            <v>0</v>
          </cell>
        </row>
        <row r="1906">
          <cell r="AB1906">
            <v>0</v>
          </cell>
        </row>
        <row r="1913">
          <cell r="AB1913">
            <v>0</v>
          </cell>
        </row>
        <row r="1917">
          <cell r="AB1917">
            <v>0</v>
          </cell>
        </row>
        <row r="1919">
          <cell r="AB1919">
            <v>0</v>
          </cell>
        </row>
        <row r="1927">
          <cell r="AB1927">
            <v>7213.9601538689112</v>
          </cell>
        </row>
        <row r="1929">
          <cell r="AB1929">
            <v>-7213.9601538689112</v>
          </cell>
        </row>
        <row r="1935">
          <cell r="AB1935">
            <v>0</v>
          </cell>
        </row>
        <row r="1937">
          <cell r="AB1937">
            <v>0</v>
          </cell>
        </row>
        <row r="1947">
          <cell r="AB1947">
            <v>4216.1369339504181</v>
          </cell>
        </row>
        <row r="1955">
          <cell r="AB1955">
            <v>0</v>
          </cell>
        </row>
        <row r="1964">
          <cell r="AB1964">
            <v>0</v>
          </cell>
        </row>
        <row r="1965">
          <cell r="AB1965">
            <v>0</v>
          </cell>
        </row>
        <row r="1966">
          <cell r="AB1966">
            <v>0</v>
          </cell>
        </row>
        <row r="1969">
          <cell r="AB1969">
            <v>0</v>
          </cell>
        </row>
        <row r="1970">
          <cell r="AB1970">
            <v>0</v>
          </cell>
        </row>
        <row r="1971">
          <cell r="AB1971">
            <v>0</v>
          </cell>
        </row>
        <row r="1972">
          <cell r="AB1972">
            <v>0</v>
          </cell>
        </row>
        <row r="1976">
          <cell r="AB1976">
            <v>21385.075720924408</v>
          </cell>
        </row>
        <row r="1977">
          <cell r="AB1977">
            <v>0</v>
          </cell>
        </row>
        <row r="1978">
          <cell r="AB1978">
            <v>218361.471351969</v>
          </cell>
        </row>
        <row r="1979">
          <cell r="AB1979">
            <v>0</v>
          </cell>
        </row>
        <row r="1980">
          <cell r="AB1980">
            <v>0</v>
          </cell>
        </row>
        <row r="1981">
          <cell r="AB1981">
            <v>0</v>
          </cell>
        </row>
        <row r="1983">
          <cell r="AB1983">
            <v>0</v>
          </cell>
        </row>
        <row r="1993">
          <cell r="AB1993">
            <v>0</v>
          </cell>
        </row>
        <row r="2005">
          <cell r="AB2005">
            <v>0</v>
          </cell>
        </row>
        <row r="2006">
          <cell r="AB2006">
            <v>0</v>
          </cell>
        </row>
        <row r="2007">
          <cell r="AB2007">
            <v>0</v>
          </cell>
        </row>
        <row r="2008">
          <cell r="AB2008">
            <v>0</v>
          </cell>
        </row>
        <row r="2009">
          <cell r="AB2009">
            <v>0</v>
          </cell>
        </row>
        <row r="2010">
          <cell r="AB2010">
            <v>0</v>
          </cell>
        </row>
        <row r="2017">
          <cell r="AB2017">
            <v>0</v>
          </cell>
        </row>
        <row r="2021">
          <cell r="AB2021">
            <v>0</v>
          </cell>
        </row>
        <row r="2026">
          <cell r="AB2026">
            <v>0</v>
          </cell>
        </row>
        <row r="2033">
          <cell r="AB2033">
            <v>0</v>
          </cell>
        </row>
        <row r="2041">
          <cell r="AB2041">
            <v>0</v>
          </cell>
        </row>
        <row r="2047">
          <cell r="AB2047">
            <v>0</v>
          </cell>
        </row>
        <row r="2049">
          <cell r="AB2049">
            <v>0</v>
          </cell>
        </row>
        <row r="2057">
          <cell r="AB2057">
            <v>0</v>
          </cell>
        </row>
        <row r="2061">
          <cell r="AB2061">
            <v>0</v>
          </cell>
        </row>
        <row r="2065">
          <cell r="AB2065">
            <v>0</v>
          </cell>
        </row>
        <row r="2080">
          <cell r="AB2080">
            <v>-4.5655060226274535E-10</v>
          </cell>
        </row>
        <row r="2083">
          <cell r="AB2083">
            <v>8.7313492012834719E-7</v>
          </cell>
        </row>
        <row r="2093">
          <cell r="AB2093">
            <v>0</v>
          </cell>
        </row>
        <row r="2098">
          <cell r="AB2098">
            <v>0</v>
          </cell>
        </row>
        <row r="2104">
          <cell r="AB2104">
            <v>-1.8109732184958963E-10</v>
          </cell>
        </row>
        <row r="2108">
          <cell r="AB2108">
            <v>-1.8109732184958963E-10</v>
          </cell>
        </row>
        <row r="2113">
          <cell r="AB2113">
            <v>0</v>
          </cell>
        </row>
        <row r="2118">
          <cell r="AB2118">
            <v>0</v>
          </cell>
        </row>
        <row r="2129">
          <cell r="AB2129">
            <v>0</v>
          </cell>
        </row>
        <row r="2136">
          <cell r="AB2136">
            <v>76867.741344754715</v>
          </cell>
        </row>
        <row r="2148">
          <cell r="AB2148">
            <v>0</v>
          </cell>
        </row>
        <row r="2149">
          <cell r="AB2149">
            <v>8.9437877837598556E-10</v>
          </cell>
        </row>
        <row r="2163">
          <cell r="AB2163">
            <v>0</v>
          </cell>
        </row>
        <row r="2168">
          <cell r="AB2168">
            <v>0</v>
          </cell>
        </row>
        <row r="2173">
          <cell r="AB2173">
            <v>0</v>
          </cell>
        </row>
        <row r="2186">
          <cell r="AB2186">
            <v>0</v>
          </cell>
        </row>
        <row r="2187">
          <cell r="AB2187">
            <v>0</v>
          </cell>
        </row>
        <row r="2190">
          <cell r="H2190">
            <v>0</v>
          </cell>
        </row>
        <row r="2191">
          <cell r="AB2191">
            <v>0</v>
          </cell>
        </row>
        <row r="2194">
          <cell r="H2194">
            <v>-455823.63489991985</v>
          </cell>
        </row>
        <row r="2195">
          <cell r="AB2195">
            <v>-3790.0805344655264</v>
          </cell>
        </row>
        <row r="2198">
          <cell r="H2198">
            <v>-232873.29964495634</v>
          </cell>
        </row>
        <row r="2200">
          <cell r="AB2200">
            <v>-1936.2939795232235</v>
          </cell>
        </row>
        <row r="2202">
          <cell r="AB2202">
            <v>0</v>
          </cell>
        </row>
        <row r="2205">
          <cell r="AB2205">
            <v>0</v>
          </cell>
        </row>
        <row r="2211">
          <cell r="AB2211">
            <v>0</v>
          </cell>
        </row>
        <row r="2219">
          <cell r="AB2219">
            <v>-4583.9343430603258</v>
          </cell>
        </row>
        <row r="2222">
          <cell r="AB2222">
            <v>0</v>
          </cell>
        </row>
        <row r="2230">
          <cell r="AB2230">
            <v>0</v>
          </cell>
        </row>
        <row r="2235">
          <cell r="AB2235">
            <v>-0.37274936077624266</v>
          </cell>
        </row>
        <row r="2237">
          <cell r="AB2237">
            <v>0</v>
          </cell>
        </row>
        <row r="2243">
          <cell r="AB2243">
            <v>-0.37358710170902687</v>
          </cell>
        </row>
        <row r="2249">
          <cell r="AB2249">
            <v>0</v>
          </cell>
        </row>
        <row r="2255">
          <cell r="AB2255">
            <v>-3.9140639872677777E-3</v>
          </cell>
        </row>
        <row r="2256">
          <cell r="AB2256">
            <v>0</v>
          </cell>
        </row>
        <row r="2259">
          <cell r="AB2259">
            <v>-1674965.3169315238</v>
          </cell>
        </row>
        <row r="2265">
          <cell r="AB2265">
            <v>-960.87700726401113</v>
          </cell>
        </row>
        <row r="2271">
          <cell r="AB2271">
            <v>-22145.713146731861</v>
          </cell>
        </row>
        <row r="2284">
          <cell r="AB2284">
            <v>-4351.3636747668588</v>
          </cell>
        </row>
        <row r="2299">
          <cell r="AB2299">
            <v>0</v>
          </cell>
        </row>
        <row r="2305">
          <cell r="AB2305">
            <v>0</v>
          </cell>
        </row>
        <row r="2313">
          <cell r="AB2313">
            <v>0</v>
          </cell>
        </row>
        <row r="2322">
          <cell r="AB2322">
            <v>0</v>
          </cell>
        </row>
        <row r="2327">
          <cell r="AB2327">
            <v>0</v>
          </cell>
        </row>
        <row r="2346">
          <cell r="AB2346">
            <v>0</v>
          </cell>
        </row>
        <row r="2355">
          <cell r="AB2355">
            <v>0</v>
          </cell>
        </row>
        <row r="2359">
          <cell r="AB2359">
            <v>0</v>
          </cell>
        </row>
        <row r="2363">
          <cell r="AB2363">
            <v>0</v>
          </cell>
        </row>
        <row r="2367">
          <cell r="AB2367">
            <v>0</v>
          </cell>
        </row>
        <row r="2371">
          <cell r="AB2371">
            <v>0</v>
          </cell>
        </row>
        <row r="2375">
          <cell r="AB2375">
            <v>0</v>
          </cell>
        </row>
        <row r="2379">
          <cell r="AB2379">
            <v>0</v>
          </cell>
        </row>
        <row r="2383">
          <cell r="AB2383">
            <v>0</v>
          </cell>
        </row>
        <row r="2387">
          <cell r="AB2387">
            <v>0</v>
          </cell>
        </row>
        <row r="2391">
          <cell r="AB2391">
            <v>-1929851.31</v>
          </cell>
        </row>
        <row r="2395">
          <cell r="AB2395">
            <v>0</v>
          </cell>
        </row>
        <row r="2399">
          <cell r="AB2399">
            <v>0</v>
          </cell>
        </row>
        <row r="2403">
          <cell r="AB2403">
            <v>0</v>
          </cell>
        </row>
        <row r="2407">
          <cell r="AB2407">
            <v>0</v>
          </cell>
        </row>
        <row r="2411">
          <cell r="AB2411">
            <v>0</v>
          </cell>
        </row>
        <row r="2415">
          <cell r="AB2415">
            <v>2838.601223827066</v>
          </cell>
        </row>
        <row r="2425">
          <cell r="AB2425">
            <v>-389513.80506289442</v>
          </cell>
        </row>
        <row r="2426">
          <cell r="AB2426">
            <v>0</v>
          </cell>
        </row>
        <row r="2427">
          <cell r="AB2427">
            <v>0</v>
          </cell>
        </row>
        <row r="2428">
          <cell r="AB2428">
            <v>0</v>
          </cell>
        </row>
        <row r="2429">
          <cell r="AB2429">
            <v>0</v>
          </cell>
        </row>
        <row r="2430">
          <cell r="AB2430">
            <v>-44898.160353735242</v>
          </cell>
        </row>
        <row r="2431">
          <cell r="AB2431">
            <v>0</v>
          </cell>
        </row>
        <row r="2433">
          <cell r="AB2433">
            <v>0</v>
          </cell>
        </row>
        <row r="2434">
          <cell r="AB2434">
            <v>0</v>
          </cell>
        </row>
        <row r="2444">
          <cell r="AB2444">
            <v>0</v>
          </cell>
        </row>
        <row r="2451">
          <cell r="AB2451">
            <v>0</v>
          </cell>
        </row>
        <row r="2459">
          <cell r="AB2459">
            <v>0</v>
          </cell>
        </row>
        <row r="2478">
          <cell r="AB2478">
            <v>0</v>
          </cell>
        </row>
        <row r="2485">
          <cell r="AB2485">
            <v>-6889.348589082746</v>
          </cell>
        </row>
        <row r="2487">
          <cell r="AB2487">
            <v>-42823.708496883708</v>
          </cell>
        </row>
        <row r="2493">
          <cell r="AB2493">
            <v>0</v>
          </cell>
        </row>
        <row r="2497">
          <cell r="AB2497">
            <v>0</v>
          </cell>
        </row>
        <row r="2498">
          <cell r="AB2498">
            <v>0</v>
          </cell>
        </row>
        <row r="2499">
          <cell r="AB2499">
            <v>0</v>
          </cell>
        </row>
        <row r="2500">
          <cell r="AB2500">
            <v>0</v>
          </cell>
        </row>
        <row r="2501">
          <cell r="AB2501">
            <v>0</v>
          </cell>
        </row>
        <row r="2502">
          <cell r="AB2502">
            <v>0</v>
          </cell>
        </row>
        <row r="2504">
          <cell r="AB2504">
            <v>0</v>
          </cell>
        </row>
        <row r="2505">
          <cell r="AB2505">
            <v>0</v>
          </cell>
        </row>
        <row r="2506">
          <cell r="AB2506">
            <v>-160013.10189475081</v>
          </cell>
        </row>
      </sheetData>
      <sheetData sheetId="20" refreshError="1"/>
      <sheetData sheetId="21" refreshError="1">
        <row r="11">
          <cell r="A11" t="str">
            <v>FACTOR</v>
          </cell>
          <cell r="B11" t="str">
            <v>SUB</v>
          </cell>
          <cell r="C11" t="str">
            <v>PC</v>
          </cell>
          <cell r="D11" t="str">
            <v>XFMR</v>
          </cell>
          <cell r="E11" t="str">
            <v>METER</v>
          </cell>
          <cell r="F11" t="str">
            <v>SERVICE</v>
          </cell>
          <cell r="G11" t="str">
            <v>TOTAL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  <cell r="G14">
            <v>1</v>
          </cell>
        </row>
        <row r="15">
          <cell r="A15" t="str">
            <v>METR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  <cell r="G15">
            <v>1</v>
          </cell>
        </row>
        <row r="16">
          <cell r="A16" t="str">
            <v>SERV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PLNT</v>
          </cell>
          <cell r="B19">
            <v>0.11747957741823094</v>
          </cell>
          <cell r="C19">
            <v>0.48125633651380451</v>
          </cell>
          <cell r="D19">
            <v>0.24405810786288465</v>
          </cell>
          <cell r="E19">
            <v>2.826869714511842E-2</v>
          </cell>
          <cell r="F19">
            <v>0.12893728105996147</v>
          </cell>
          <cell r="G19">
            <v>0.99999999999999989</v>
          </cell>
        </row>
        <row r="20">
          <cell r="A20" t="str">
            <v>PLNT2</v>
          </cell>
          <cell r="B20">
            <v>0.19621267855257876</v>
          </cell>
          <cell r="C20">
            <v>0.80378732144742127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</row>
        <row r="21">
          <cell r="A21" t="str">
            <v>DISom</v>
          </cell>
          <cell r="B21">
            <v>0.13123671945712514</v>
          </cell>
          <cell r="C21">
            <v>0.72992942477969858</v>
          </cell>
          <cell r="D21">
            <v>6.8850648301885791E-3</v>
          </cell>
          <cell r="E21">
            <v>0.131948790932988</v>
          </cell>
          <cell r="F21">
            <v>0</v>
          </cell>
          <cell r="G21">
            <v>1.0000000000000002</v>
          </cell>
        </row>
        <row r="22">
          <cell r="A22" t="str">
            <v>INTN</v>
          </cell>
          <cell r="B22">
            <v>0.11747957741823094</v>
          </cell>
          <cell r="C22">
            <v>0.48125633651380451</v>
          </cell>
          <cell r="D22">
            <v>0.24405810786288465</v>
          </cell>
          <cell r="E22">
            <v>2.826869714511842E-2</v>
          </cell>
          <cell r="F22">
            <v>0.12893728105996147</v>
          </cell>
          <cell r="G22">
            <v>0.99999999999999989</v>
          </cell>
        </row>
        <row r="23">
          <cell r="A23" t="str">
            <v>GENL</v>
          </cell>
          <cell r="B23">
            <v>0.11747957741823095</v>
          </cell>
          <cell r="C23">
            <v>0.48125633651380456</v>
          </cell>
          <cell r="D23">
            <v>0.24405810786288476</v>
          </cell>
          <cell r="E23">
            <v>2.8268697145118423E-2</v>
          </cell>
          <cell r="F23">
            <v>0.12893728105996149</v>
          </cell>
          <cell r="G23">
            <v>1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DRB</v>
          </cell>
          <cell r="B25">
            <v>0.14873167469467108</v>
          </cell>
          <cell r="C25">
            <v>0.41628594746766323</v>
          </cell>
          <cell r="D25">
            <v>0.23888174858960456</v>
          </cell>
          <cell r="E25">
            <v>4.4117986363155941E-2</v>
          </cell>
          <cell r="F25">
            <v>0.15198264288490534</v>
          </cell>
          <cell r="G25">
            <v>1</v>
          </cell>
        </row>
      </sheetData>
      <sheetData sheetId="22" refreshError="1">
        <row r="10">
          <cell r="A10" t="str">
            <v>FACTOR NAME</v>
          </cell>
          <cell r="B10" t="str">
            <v>GEN</v>
          </cell>
          <cell r="C10" t="str">
            <v>TRN</v>
          </cell>
          <cell r="D10" t="str">
            <v>DIS</v>
          </cell>
          <cell r="E10" t="str">
            <v>Distribution</v>
          </cell>
          <cell r="F10" t="str">
            <v>Retail</v>
          </cell>
          <cell r="G10" t="str">
            <v>Misc</v>
          </cell>
          <cell r="H10" t="str">
            <v>TOT</v>
          </cell>
        </row>
        <row r="11">
          <cell r="A11" t="str">
            <v>ACCMDIT</v>
          </cell>
          <cell r="B11">
            <v>0.79018896309372733</v>
          </cell>
          <cell r="C11">
            <v>8.1838038938181937E-2</v>
          </cell>
          <cell r="D11">
            <v>0.12797299796809078</v>
          </cell>
          <cell r="E11">
            <v>0.12381804895537642</v>
          </cell>
          <cell r="F11">
            <v>4.1549490127143719E-3</v>
          </cell>
          <cell r="G11">
            <v>0</v>
          </cell>
          <cell r="H11">
            <v>1</v>
          </cell>
        </row>
        <row r="12">
          <cell r="A12" t="str">
            <v>BOOKDEPR</v>
          </cell>
          <cell r="B12">
            <v>0.54924231762625964</v>
          </cell>
          <cell r="C12">
            <v>0.16151677382348767</v>
          </cell>
          <cell r="D12">
            <v>0.28924090855025253</v>
          </cell>
          <cell r="E12">
            <v>0.28605968276493932</v>
          </cell>
          <cell r="F12">
            <v>3.1812257853132309E-3</v>
          </cell>
          <cell r="G12">
            <v>0</v>
          </cell>
          <cell r="H12">
            <v>0.99999999999999978</v>
          </cell>
        </row>
        <row r="13">
          <cell r="A13" t="str">
            <v>COM-EQ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CUST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1</v>
          </cell>
          <cell r="G14">
            <v>0</v>
          </cell>
          <cell r="H14">
            <v>1</v>
          </cell>
        </row>
        <row r="15">
          <cell r="A15" t="str">
            <v>CWC</v>
          </cell>
          <cell r="B15">
            <v>0.69767570609595897</v>
          </cell>
          <cell r="C15">
            <v>0.16080883022949358</v>
          </cell>
          <cell r="D15">
            <v>0.14151546367454748</v>
          </cell>
          <cell r="E15">
            <v>9.5430117179850116E-2</v>
          </cell>
          <cell r="F15">
            <v>3.8241479133207662E-2</v>
          </cell>
          <cell r="G15">
            <v>7.8438673614897089E-3</v>
          </cell>
          <cell r="H15">
            <v>1.0000000000000002</v>
          </cell>
        </row>
        <row r="16">
          <cell r="A16" t="str">
            <v>DDS2</v>
          </cell>
          <cell r="B16">
            <v>0.85553293171941447</v>
          </cell>
          <cell r="C16">
            <v>1.076861356747129E-2</v>
          </cell>
          <cell r="D16">
            <v>0.13369845471311431</v>
          </cell>
          <cell r="E16">
            <v>1.4751124199191758E-2</v>
          </cell>
          <cell r="F16">
            <v>0.15777880740653</v>
          </cell>
          <cell r="G16">
            <v>-3.8831476892607436E-2</v>
          </cell>
          <cell r="H16">
            <v>1</v>
          </cell>
        </row>
        <row r="17">
          <cell r="A17" t="str">
            <v>DDS6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DDSO2</v>
          </cell>
          <cell r="B18">
            <v>0.10749283238949794</v>
          </cell>
          <cell r="C18">
            <v>3.5830944129832655E-2</v>
          </cell>
          <cell r="D18">
            <v>0.85667622348066952</v>
          </cell>
          <cell r="E18">
            <v>0.21498566477899589</v>
          </cell>
          <cell r="F18">
            <v>0</v>
          </cell>
          <cell r="G18">
            <v>0.64169055870167357</v>
          </cell>
          <cell r="H18">
            <v>0.99999999999999978</v>
          </cell>
        </row>
        <row r="19">
          <cell r="A19" t="str">
            <v>DDSO6</v>
          </cell>
          <cell r="B19">
            <v>0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1</v>
          </cell>
        </row>
        <row r="20">
          <cell r="A20" t="str">
            <v>DEFSG</v>
          </cell>
          <cell r="B20">
            <v>0.692942089401404</v>
          </cell>
          <cell r="C20">
            <v>0.307057910598596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DITEXP</v>
          </cell>
          <cell r="B21">
            <v>0.95405218631618194</v>
          </cell>
          <cell r="C21">
            <v>-1.7802878900708932E-2</v>
          </cell>
          <cell r="D21">
            <v>6.3750692584526911E-2</v>
          </cell>
          <cell r="E21">
            <v>6.0565025163669579E-2</v>
          </cell>
          <cell r="F21">
            <v>3.1856674208573287E-3</v>
          </cell>
          <cell r="G21">
            <v>0</v>
          </cell>
          <cell r="H21">
            <v>0.99999999999999989</v>
          </cell>
        </row>
        <row r="22">
          <cell r="A22" t="str">
            <v>DMSC</v>
          </cell>
          <cell r="B22">
            <v>0</v>
          </cell>
          <cell r="C22">
            <v>0</v>
          </cell>
          <cell r="D22">
            <v>1</v>
          </cell>
          <cell r="E22">
            <v>0</v>
          </cell>
          <cell r="F22">
            <v>0</v>
          </cell>
          <cell r="G22">
            <v>1</v>
          </cell>
          <cell r="H22">
            <v>1</v>
          </cell>
        </row>
        <row r="23">
          <cell r="A23" t="str">
            <v>DPW</v>
          </cell>
          <cell r="B23">
            <v>0</v>
          </cell>
          <cell r="C23">
            <v>0</v>
          </cell>
          <cell r="D23">
            <v>1</v>
          </cell>
          <cell r="E23">
            <v>1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ESD</v>
          </cell>
          <cell r="B24">
            <v>0.3</v>
          </cell>
          <cell r="C24">
            <v>0.1</v>
          </cell>
          <cell r="D24">
            <v>0.6</v>
          </cell>
          <cell r="E24">
            <v>0.6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FERC</v>
          </cell>
          <cell r="B25">
            <v>0.51783654984003269</v>
          </cell>
          <cell r="C25">
            <v>0.48216345015996731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FIT</v>
          </cell>
          <cell r="B26">
            <v>1.1672145617586878</v>
          </cell>
          <cell r="C26">
            <v>3.6471056781646624E-2</v>
          </cell>
          <cell r="D26">
            <v>-0.2036856185403321</v>
          </cell>
          <cell r="E26">
            <v>-0.17644555375321605</v>
          </cell>
          <cell r="F26">
            <v>-1.7743499037972173E-2</v>
          </cell>
          <cell r="G26">
            <v>-9.4965657491438826E-3</v>
          </cell>
          <cell r="H26">
            <v>1.0000000000000022</v>
          </cell>
        </row>
        <row r="27">
          <cell r="A27" t="str">
            <v>G</v>
          </cell>
          <cell r="B27">
            <v>0.33725965480133235</v>
          </cell>
          <cell r="C27">
            <v>0.18510139570307821</v>
          </cell>
          <cell r="D27">
            <v>0.47763894949558938</v>
          </cell>
          <cell r="E27">
            <v>0.45254539034670116</v>
          </cell>
          <cell r="F27">
            <v>2.509355914888825E-2</v>
          </cell>
          <cell r="G27">
            <v>0</v>
          </cell>
          <cell r="H27">
            <v>0.99999999999999989</v>
          </cell>
        </row>
        <row r="28">
          <cell r="A28" t="str">
            <v>G-DGP</v>
          </cell>
          <cell r="B28">
            <v>0.69712876692486192</v>
          </cell>
          <cell r="C28">
            <v>0.30287123307513802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G-DGU</v>
          </cell>
          <cell r="B29">
            <v>0.69712876692486192</v>
          </cell>
          <cell r="C29">
            <v>0.30287123307513802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GP</v>
          </cell>
          <cell r="B30">
            <v>0.50531041300874846</v>
          </cell>
          <cell r="C30">
            <v>0.21296464671128551</v>
          </cell>
          <cell r="D30">
            <v>0.28172494027996625</v>
          </cell>
          <cell r="E30">
            <v>0.27514783251038133</v>
          </cell>
          <cell r="F30">
            <v>6.5771077695849136E-3</v>
          </cell>
          <cell r="G30">
            <v>0</v>
          </cell>
          <cell r="H30">
            <v>1.0000000000000002</v>
          </cell>
        </row>
        <row r="31">
          <cell r="A31" t="str">
            <v>G-SG</v>
          </cell>
          <cell r="B31">
            <v>0.99898215951822222</v>
          </cell>
          <cell r="C31">
            <v>1.017840481777828E-3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</v>
          </cell>
        </row>
        <row r="32">
          <cell r="A32" t="str">
            <v>G-SITUS</v>
          </cell>
          <cell r="B32">
            <v>0</v>
          </cell>
          <cell r="C32">
            <v>0.25401228549654764</v>
          </cell>
          <cell r="D32">
            <v>0.74598771450345236</v>
          </cell>
          <cell r="E32">
            <v>0.74598771450345236</v>
          </cell>
          <cell r="F32">
            <v>0</v>
          </cell>
          <cell r="G32">
            <v>0</v>
          </cell>
          <cell r="H32">
            <v>1</v>
          </cell>
        </row>
        <row r="33">
          <cell r="A33" t="str">
            <v>I</v>
          </cell>
          <cell r="B33">
            <v>0.55582392599416641</v>
          </cell>
          <cell r="C33">
            <v>0.14762997154346119</v>
          </cell>
          <cell r="D33">
            <v>0.29654610246237245</v>
          </cell>
          <cell r="E33">
            <v>0.14245501010267919</v>
          </cell>
          <cell r="F33">
            <v>0.15409109235969329</v>
          </cell>
          <cell r="G33">
            <v>0</v>
          </cell>
          <cell r="H33">
            <v>0.99999999999999989</v>
          </cell>
        </row>
        <row r="34">
          <cell r="A34" t="str">
            <v>IBT</v>
          </cell>
          <cell r="B34">
            <v>1.3321185756698324</v>
          </cell>
          <cell r="C34">
            <v>7.2438161509966292E-2</v>
          </cell>
          <cell r="D34">
            <v>-0.40455673717979418</v>
          </cell>
          <cell r="E34">
            <v>-0.35045300707938082</v>
          </cell>
          <cell r="F34">
            <v>-3.5241820843298577E-2</v>
          </cell>
          <cell r="G34">
            <v>-1.8861909257114763E-2</v>
          </cell>
          <cell r="H34">
            <v>1.0000000000000047</v>
          </cell>
        </row>
        <row r="35">
          <cell r="A35" t="str">
            <v>I-DGP</v>
          </cell>
          <cell r="B35">
            <v>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</v>
          </cell>
        </row>
        <row r="36">
          <cell r="A36" t="str">
            <v>I-DGU</v>
          </cell>
          <cell r="B36">
            <v>1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</v>
          </cell>
        </row>
        <row r="37">
          <cell r="A37" t="str">
            <v>I-SG</v>
          </cell>
          <cell r="B37">
            <v>0.85536695399256235</v>
          </cell>
          <cell r="C37">
            <v>0.14463304600743784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1.0000000000000002</v>
          </cell>
        </row>
        <row r="38">
          <cell r="A38" t="str">
            <v>I-SITUS</v>
          </cell>
          <cell r="B38">
            <v>2.5219270088888916E-2</v>
          </cell>
          <cell r="C38">
            <v>0.45848484838651204</v>
          </cell>
          <cell r="D38">
            <v>0.51629588152459904</v>
          </cell>
          <cell r="E38">
            <v>0.51629588152459904</v>
          </cell>
          <cell r="F38">
            <v>0</v>
          </cell>
          <cell r="G38">
            <v>0</v>
          </cell>
          <cell r="H38">
            <v>1</v>
          </cell>
        </row>
        <row r="39">
          <cell r="A39" t="str">
            <v>LABOR</v>
          </cell>
          <cell r="B39">
            <v>0.43577266359732098</v>
          </cell>
          <cell r="C39">
            <v>7.2028278420365022E-2</v>
          </cell>
          <cell r="D39">
            <v>0.492199057982314</v>
          </cell>
          <cell r="E39">
            <v>0.34638820477027932</v>
          </cell>
          <cell r="F39">
            <v>0.14581085321203469</v>
          </cell>
          <cell r="G39">
            <v>0</v>
          </cell>
          <cell r="H39">
            <v>0.99999999999999989</v>
          </cell>
        </row>
        <row r="40">
          <cell r="A40" t="str">
            <v>MSS</v>
          </cell>
          <cell r="B40">
            <v>0.78180305398604233</v>
          </cell>
          <cell r="C40">
            <v>6.0702949940319682E-3</v>
          </cell>
          <cell r="D40">
            <v>0.21212665101992567</v>
          </cell>
          <cell r="E40">
            <v>0.21212665101992567</v>
          </cell>
          <cell r="F40">
            <v>0</v>
          </cell>
          <cell r="G40">
            <v>0</v>
          </cell>
          <cell r="H40">
            <v>0.99999999999999989</v>
          </cell>
        </row>
        <row r="41">
          <cell r="A41" t="str">
            <v>NONE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NUTIL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OTHDGP</v>
          </cell>
          <cell r="B43">
            <v>0.57874764096849529</v>
          </cell>
          <cell r="C43">
            <v>0.42125235903150471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</row>
        <row r="44">
          <cell r="A44" t="str">
            <v>OTHDGU</v>
          </cell>
          <cell r="B44">
            <v>0.57874764096849529</v>
          </cell>
          <cell r="C44">
            <v>0.42125235903150471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</row>
        <row r="45">
          <cell r="A45" t="str">
            <v>OTHSE</v>
          </cell>
          <cell r="B45">
            <v>0</v>
          </cell>
          <cell r="C45">
            <v>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OTHSG</v>
          </cell>
          <cell r="B46">
            <v>0.57874764096849529</v>
          </cell>
          <cell r="C46">
            <v>0.42125235903150471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</v>
          </cell>
        </row>
        <row r="47">
          <cell r="A47" t="str">
            <v>OTHSGR</v>
          </cell>
          <cell r="B47">
            <v>0.57874764096849529</v>
          </cell>
          <cell r="C47">
            <v>0.42125235903150471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OTHSITUS</v>
          </cell>
          <cell r="B48">
            <v>5.7696681464325496E-3</v>
          </cell>
          <cell r="C48">
            <v>0</v>
          </cell>
          <cell r="D48">
            <v>0.99423033185356746</v>
          </cell>
          <cell r="E48">
            <v>0</v>
          </cell>
          <cell r="F48">
            <v>0</v>
          </cell>
          <cell r="G48">
            <v>0.99423033185356746</v>
          </cell>
          <cell r="H48">
            <v>1</v>
          </cell>
        </row>
        <row r="49">
          <cell r="A49" t="str">
            <v>OTHSO</v>
          </cell>
          <cell r="B49">
            <v>0</v>
          </cell>
          <cell r="C49">
            <v>0</v>
          </cell>
          <cell r="D49">
            <v>1</v>
          </cell>
          <cell r="E49">
            <v>0</v>
          </cell>
          <cell r="F49">
            <v>0</v>
          </cell>
          <cell r="G49">
            <v>1</v>
          </cell>
          <cell r="H49">
            <v>1</v>
          </cell>
        </row>
        <row r="50">
          <cell r="A50" t="str">
            <v>P</v>
          </cell>
          <cell r="B50">
            <v>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PT</v>
          </cell>
          <cell r="B51">
            <v>0.72098325173517375</v>
          </cell>
          <cell r="C51">
            <v>0.27901674826482614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0.99999999999999989</v>
          </cell>
        </row>
        <row r="52">
          <cell r="A52" t="str">
            <v>PTD</v>
          </cell>
          <cell r="B52">
            <v>0.50891728264852409</v>
          </cell>
          <cell r="C52">
            <v>0.19694832716103053</v>
          </cell>
          <cell r="D52">
            <v>0.29413439019044535</v>
          </cell>
          <cell r="E52">
            <v>0.29413439019044535</v>
          </cell>
          <cell r="F52">
            <v>0</v>
          </cell>
          <cell r="G52">
            <v>0</v>
          </cell>
          <cell r="H52">
            <v>1</v>
          </cell>
        </row>
        <row r="53">
          <cell r="A53" t="str">
            <v>REVREQ</v>
          </cell>
          <cell r="B53">
            <v>0.67156056620307369</v>
          </cell>
          <cell r="C53">
            <v>0.1587082892212579</v>
          </cell>
          <cell r="D53">
            <v>0.16973114457566815</v>
          </cell>
          <cell r="E53">
            <v>0.13591583760006223</v>
          </cell>
          <cell r="F53">
            <v>2.8070766420876248E-2</v>
          </cell>
          <cell r="G53">
            <v>5.7445405547296687E-3</v>
          </cell>
          <cell r="H53">
            <v>0.99999999999999956</v>
          </cell>
        </row>
        <row r="54">
          <cell r="A54" t="str">
            <v>SCHMA</v>
          </cell>
          <cell r="B54">
            <v>0.51577805211332484</v>
          </cell>
          <cell r="C54">
            <v>0.17785176096280442</v>
          </cell>
          <cell r="D54">
            <v>0.3063701869238708</v>
          </cell>
          <cell r="E54">
            <v>0.29207769541570439</v>
          </cell>
          <cell r="F54">
            <v>1.2604298561731647E-2</v>
          </cell>
          <cell r="G54">
            <v>1.6881929464348014E-3</v>
          </cell>
          <cell r="H54">
            <v>1</v>
          </cell>
        </row>
        <row r="55">
          <cell r="A55" t="str">
            <v>SCHMAF</v>
          </cell>
          <cell r="B55">
            <v>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</v>
          </cell>
        </row>
        <row r="56">
          <cell r="A56" t="str">
            <v>SCHMAP</v>
          </cell>
          <cell r="B56">
            <v>0.47220936057207102</v>
          </cell>
          <cell r="C56">
            <v>0.138624571441712</v>
          </cell>
          <cell r="D56">
            <v>0.38916606798621695</v>
          </cell>
          <cell r="E56">
            <v>0.31120786939259704</v>
          </cell>
          <cell r="F56">
            <v>7.7958198593619923E-2</v>
          </cell>
          <cell r="G56">
            <v>0</v>
          </cell>
          <cell r="H56">
            <v>1</v>
          </cell>
        </row>
        <row r="57">
          <cell r="A57" t="str">
            <v>SCHMAP-SO</v>
          </cell>
          <cell r="B57">
            <v>0.46695715823437201</v>
          </cell>
          <cell r="C57">
            <v>0.14000406596813605</v>
          </cell>
          <cell r="D57">
            <v>0.39303877579749191</v>
          </cell>
          <cell r="E57">
            <v>0.31430479187857707</v>
          </cell>
          <cell r="F57">
            <v>7.8733983918914854E-2</v>
          </cell>
          <cell r="G57">
            <v>0</v>
          </cell>
          <cell r="H57">
            <v>1</v>
          </cell>
        </row>
        <row r="58">
          <cell r="A58" t="str">
            <v>SCHMAT</v>
          </cell>
          <cell r="B58">
            <v>0.5161602312280279</v>
          </cell>
          <cell r="C58">
            <v>0.17819585696461496</v>
          </cell>
          <cell r="D58">
            <v>0.30564391180735723</v>
          </cell>
          <cell r="E58">
            <v>0.2919098879214701</v>
          </cell>
          <cell r="F58">
            <v>1.2031022322004977E-2</v>
          </cell>
          <cell r="G58">
            <v>1.7030015638821614E-3</v>
          </cell>
          <cell r="H58">
            <v>1</v>
          </cell>
        </row>
        <row r="59">
          <cell r="A59" t="str">
            <v>SCHMAT-GPS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SCHMAT-SE</v>
          </cell>
          <cell r="B60">
            <v>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</v>
          </cell>
        </row>
        <row r="61">
          <cell r="A61" t="str">
            <v>SCHMAT-SITUS</v>
          </cell>
          <cell r="B61">
            <v>0.68789997808111003</v>
          </cell>
          <cell r="C61">
            <v>0.1122395497862909</v>
          </cell>
          <cell r="D61">
            <v>0.19986047213259905</v>
          </cell>
          <cell r="E61">
            <v>0.16561182938630906</v>
          </cell>
          <cell r="F61">
            <v>1.0258460638137939E-2</v>
          </cell>
          <cell r="G61">
            <v>2.3990182108152083E-2</v>
          </cell>
          <cell r="H61">
            <v>1</v>
          </cell>
        </row>
        <row r="62">
          <cell r="A62" t="str">
            <v>SCHMAT-SNP</v>
          </cell>
          <cell r="B62">
            <v>0.50361932616077032</v>
          </cell>
          <cell r="C62">
            <v>0.21956599431989174</v>
          </cell>
          <cell r="D62">
            <v>0.27681467951933791</v>
          </cell>
          <cell r="E62">
            <v>0.27659585057984348</v>
          </cell>
          <cell r="F62">
            <v>2.1882893949445097E-4</v>
          </cell>
          <cell r="G62">
            <v>0</v>
          </cell>
          <cell r="H62">
            <v>0.99999999999999989</v>
          </cell>
        </row>
        <row r="63">
          <cell r="A63" t="str">
            <v>SCHMAT-SO</v>
          </cell>
          <cell r="B63">
            <v>0.46661318737226282</v>
          </cell>
          <cell r="C63">
            <v>0.13925428020064187</v>
          </cell>
          <cell r="D63">
            <v>0.39413253242709539</v>
          </cell>
          <cell r="E63">
            <v>0.31465867797871139</v>
          </cell>
          <cell r="F63">
            <v>7.9473854448383993E-2</v>
          </cell>
          <cell r="G63">
            <v>0</v>
          </cell>
          <cell r="H63">
            <v>1</v>
          </cell>
        </row>
        <row r="64">
          <cell r="A64" t="str">
            <v>SCHMD</v>
          </cell>
          <cell r="B64">
            <v>0.62691120168290648</v>
          </cell>
          <cell r="C64">
            <v>0.14566463329808196</v>
          </cell>
          <cell r="D64">
            <v>0.22742416501901164</v>
          </cell>
          <cell r="E64">
            <v>0.19770155852585497</v>
          </cell>
          <cell r="F64">
            <v>5.2145868752490132E-3</v>
          </cell>
          <cell r="G64">
            <v>2.4508019617907648E-2</v>
          </cell>
          <cell r="H64">
            <v>1.0000000000000002</v>
          </cell>
        </row>
        <row r="65">
          <cell r="A65" t="str">
            <v>SCHMDF</v>
          </cell>
          <cell r="B65">
            <v>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SCHMDP</v>
          </cell>
          <cell r="B66">
            <v>0.45907602575732509</v>
          </cell>
          <cell r="C66">
            <v>7.3800298018591851E-2</v>
          </cell>
          <cell r="D66">
            <v>0.46712367622408307</v>
          </cell>
          <cell r="E66">
            <v>0.33122834583438432</v>
          </cell>
          <cell r="F66">
            <v>0.13589533038969875</v>
          </cell>
          <cell r="G66">
            <v>0</v>
          </cell>
          <cell r="H66">
            <v>1</v>
          </cell>
        </row>
        <row r="67">
          <cell r="A67" t="str">
            <v>SCHMDP-SO</v>
          </cell>
          <cell r="B67">
            <v>0.43577266359732098</v>
          </cell>
          <cell r="C67">
            <v>7.2028278420365022E-2</v>
          </cell>
          <cell r="D67">
            <v>0.492199057982314</v>
          </cell>
          <cell r="E67">
            <v>0.34638820477027932</v>
          </cell>
          <cell r="F67">
            <v>0.14581085321203469</v>
          </cell>
          <cell r="G67">
            <v>0</v>
          </cell>
          <cell r="H67">
            <v>0.99999999999999989</v>
          </cell>
        </row>
        <row r="68">
          <cell r="A68" t="str">
            <v>SCHMDT</v>
          </cell>
          <cell r="B68">
            <v>0.62801601740022717</v>
          </cell>
          <cell r="C68">
            <v>0.14613769770006871</v>
          </cell>
          <cell r="D68">
            <v>0.22584628489970426</v>
          </cell>
          <cell r="E68">
            <v>0.19682258609061767</v>
          </cell>
          <cell r="F68">
            <v>4.3543492129729825E-3</v>
          </cell>
          <cell r="G68">
            <v>2.4669349596113603E-2</v>
          </cell>
          <cell r="H68">
            <v>1</v>
          </cell>
        </row>
        <row r="69">
          <cell r="A69" t="str">
            <v>SCHMDT-GPS</v>
          </cell>
          <cell r="B69">
            <v>0.5035611250734281</v>
          </cell>
          <cell r="C69">
            <v>0.21979318880680054</v>
          </cell>
          <cell r="D69">
            <v>0.27664568611977131</v>
          </cell>
          <cell r="E69">
            <v>0.27664568611977131</v>
          </cell>
          <cell r="F69">
            <v>0</v>
          </cell>
          <cell r="G69">
            <v>0</v>
          </cell>
          <cell r="H69">
            <v>1</v>
          </cell>
        </row>
        <row r="70">
          <cell r="A70" t="str">
            <v>SCHMDT-SG</v>
          </cell>
          <cell r="B70">
            <v>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</row>
        <row r="71">
          <cell r="A71" t="str">
            <v>SCHMDT-SITUS</v>
          </cell>
          <cell r="B71">
            <v>0.54030864816472712</v>
          </cell>
          <cell r="C71">
            <v>7.1658766797031578E-2</v>
          </cell>
          <cell r="D71">
            <v>0.38803258503824145</v>
          </cell>
          <cell r="E71">
            <v>0.1871749065492978</v>
          </cell>
          <cell r="F71">
            <v>6.606595505664814E-2</v>
          </cell>
          <cell r="G71">
            <v>0.13479172343229553</v>
          </cell>
          <cell r="H71">
            <v>1</v>
          </cell>
        </row>
        <row r="72">
          <cell r="A72" t="str">
            <v>SCHMDT-SNP</v>
          </cell>
          <cell r="B72">
            <v>0.5035611250734281</v>
          </cell>
          <cell r="C72">
            <v>0.21979318880680054</v>
          </cell>
          <cell r="D72">
            <v>0.27664568611977131</v>
          </cell>
          <cell r="E72">
            <v>0.27664568611977131</v>
          </cell>
          <cell r="F72">
            <v>0</v>
          </cell>
          <cell r="G72">
            <v>0</v>
          </cell>
          <cell r="H72">
            <v>1</v>
          </cell>
        </row>
        <row r="73">
          <cell r="A73" t="str">
            <v>SCHMDT-SO</v>
          </cell>
          <cell r="B73">
            <v>0.44271776887128472</v>
          </cell>
          <cell r="C73">
            <v>0.16081507666864175</v>
          </cell>
          <cell r="D73">
            <v>0.39646715446007358</v>
          </cell>
          <cell r="E73">
            <v>0.36653269611301859</v>
          </cell>
          <cell r="F73">
            <v>2.9934458347055E-2</v>
          </cell>
          <cell r="G73">
            <v>0</v>
          </cell>
          <cell r="H73">
            <v>1.0000000000000002</v>
          </cell>
        </row>
        <row r="74">
          <cell r="A74" t="str">
            <v>T</v>
          </cell>
          <cell r="B74">
            <v>0</v>
          </cell>
          <cell r="C74">
            <v>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TAXDEPR</v>
          </cell>
          <cell r="B75">
            <v>0.57503857689425475</v>
          </cell>
          <cell r="C75">
            <v>0.17851192951080661</v>
          </cell>
          <cell r="D75">
            <v>0.24644949359493873</v>
          </cell>
          <cell r="E75">
            <v>0.24137635753524717</v>
          </cell>
          <cell r="F75">
            <v>5.0731360596915614E-3</v>
          </cell>
          <cell r="G75">
            <v>0</v>
          </cell>
          <cell r="H75">
            <v>1</v>
          </cell>
        </row>
        <row r="76">
          <cell r="A76" t="str">
            <v>TD</v>
          </cell>
          <cell r="B76">
            <v>0</v>
          </cell>
          <cell r="C76">
            <v>0.44273968036711486</v>
          </cell>
          <cell r="D76">
            <v>0.55726031963288514</v>
          </cell>
          <cell r="E76">
            <v>0.55726031963288514</v>
          </cell>
          <cell r="F76">
            <v>0</v>
          </cell>
          <cell r="G76">
            <v>0</v>
          </cell>
          <cell r="H76">
            <v>1</v>
          </cell>
        </row>
        <row r="77">
          <cell r="A77" t="str">
            <v>WSF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</sheetData>
      <sheetData sheetId="23" refreshError="1"/>
      <sheetData sheetId="24" refreshError="1">
        <row r="14">
          <cell r="A14" t="str">
            <v>A</v>
          </cell>
          <cell r="B14" t="str">
            <v>Direct Assignment</v>
          </cell>
        </row>
        <row r="15">
          <cell r="A15" t="str">
            <v>F10</v>
          </cell>
          <cell r="B15" t="str">
            <v>100 Summer 100 Winter System Peaks</v>
          </cell>
          <cell r="C15">
            <v>0.38</v>
          </cell>
          <cell r="D15" t="str">
            <v>/</v>
          </cell>
          <cell r="E15">
            <v>0.62</v>
          </cell>
          <cell r="F15">
            <v>0.42427502206463619</v>
          </cell>
          <cell r="G15">
            <v>0.13495083866985857</v>
          </cell>
          <cell r="H15">
            <v>0.21381795330374381</v>
          </cell>
          <cell r="I15">
            <v>8.4492543233334161E-2</v>
          </cell>
          <cell r="J15">
            <v>0.10446451143427474</v>
          </cell>
          <cell r="K15">
            <v>3.5600085140002832E-2</v>
          </cell>
          <cell r="L15">
            <v>2.3990461541496672E-3</v>
          </cell>
          <cell r="M15">
            <v>0</v>
          </cell>
          <cell r="N15">
            <v>0</v>
          </cell>
          <cell r="O15">
            <v>1</v>
          </cell>
        </row>
        <row r="16">
          <cell r="A16" t="str">
            <v>F11</v>
          </cell>
          <cell r="B16" t="str">
            <v>100 Summer 100 Winter System Peaks</v>
          </cell>
          <cell r="C16">
            <v>0.5</v>
          </cell>
          <cell r="D16" t="str">
            <v>/</v>
          </cell>
          <cell r="E16">
            <v>0.5</v>
          </cell>
          <cell r="F16">
            <v>0.43134733201280262</v>
          </cell>
          <cell r="G16">
            <v>0.13498968038123754</v>
          </cell>
          <cell r="H16">
            <v>0.21317718375496919</v>
          </cell>
          <cell r="I16">
            <v>8.2902031957729216E-2</v>
          </cell>
          <cell r="J16">
            <v>0.10079131905694716</v>
          </cell>
          <cell r="K16">
            <v>3.4676236853737281E-2</v>
          </cell>
          <cell r="L16">
            <v>2.1162159825769446E-3</v>
          </cell>
          <cell r="M16">
            <v>0</v>
          </cell>
          <cell r="N16">
            <v>0</v>
          </cell>
          <cell r="O16">
            <v>1</v>
          </cell>
        </row>
        <row r="17">
          <cell r="A17" t="str">
            <v>F12</v>
          </cell>
          <cell r="B17" t="str">
            <v>100 Summer 100 Winter System Peaks</v>
          </cell>
          <cell r="C17">
            <v>1</v>
          </cell>
          <cell r="D17" t="str">
            <v>/</v>
          </cell>
          <cell r="E17">
            <v>0</v>
          </cell>
          <cell r="F17">
            <v>0.46081529013016298</v>
          </cell>
          <cell r="G17">
            <v>0.13515152084531648</v>
          </cell>
          <cell r="H17">
            <v>0.21050731063507491</v>
          </cell>
          <cell r="I17">
            <v>7.6274901642708573E-2</v>
          </cell>
          <cell r="J17">
            <v>8.5486350818082243E-2</v>
          </cell>
          <cell r="K17">
            <v>3.0826868994297509E-2</v>
          </cell>
          <cell r="L17">
            <v>9.3775693435726667E-4</v>
          </cell>
          <cell r="M17">
            <v>0</v>
          </cell>
          <cell r="N17">
            <v>0</v>
          </cell>
          <cell r="O17">
            <v>1</v>
          </cell>
        </row>
        <row r="18">
          <cell r="A18" t="str">
            <v>F13</v>
          </cell>
          <cell r="B18" t="str">
            <v>Seasonal System Capacity Combustion Turbine</v>
          </cell>
          <cell r="C18" t="str">
            <v>SSCCT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>
            <v>1</v>
          </cell>
        </row>
        <row r="19">
          <cell r="A19" t="str">
            <v>F14</v>
          </cell>
          <cell r="B19" t="str">
            <v>Seasonal System Generation Combustion Turbine</v>
          </cell>
          <cell r="C19" t="str">
            <v xml:space="preserve"> SSGCT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>
            <v>1</v>
          </cell>
        </row>
        <row r="20">
          <cell r="A20" t="str">
            <v>F15</v>
          </cell>
          <cell r="B20" t="str">
            <v>Seasonal System Capacity Cholla</v>
          </cell>
          <cell r="C20" t="str">
            <v>SSCCH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>
            <v>1</v>
          </cell>
        </row>
        <row r="21">
          <cell r="A21" t="str">
            <v>F16</v>
          </cell>
          <cell r="B21" t="str">
            <v>Seasonal System Generation Cholla</v>
          </cell>
          <cell r="C21" t="str">
            <v>SSGCH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>
            <v>1</v>
          </cell>
        </row>
        <row r="22">
          <cell r="A22" t="str">
            <v>F17</v>
          </cell>
          <cell r="B22" t="str">
            <v>Seasonal System Capacity Purchase</v>
          </cell>
          <cell r="C22" t="str">
            <v>SSCP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>
            <v>1</v>
          </cell>
        </row>
        <row r="23">
          <cell r="A23" t="str">
            <v>F18</v>
          </cell>
          <cell r="B23" t="str">
            <v>Seasonal System Generation Contract</v>
          </cell>
          <cell r="C23" t="str">
            <v>SSGCP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>
            <v>1</v>
          </cell>
        </row>
        <row r="24">
          <cell r="A24" t="str">
            <v>F20</v>
          </cell>
          <cell r="B24" t="str">
            <v>Max. Schedule Peak</v>
          </cell>
          <cell r="F24">
            <v>0.47201803477697701</v>
          </cell>
          <cell r="G24">
            <v>0.12902986611057948</v>
          </cell>
          <cell r="H24">
            <v>0.18925267586174277</v>
          </cell>
          <cell r="I24">
            <v>7.2374433085639234E-2</v>
          </cell>
          <cell r="J24">
            <v>6.7692451019458075E-2</v>
          </cell>
          <cell r="K24">
            <v>6.6049452024005528E-2</v>
          </cell>
          <cell r="L24">
            <v>3.5830871215979405E-3</v>
          </cell>
          <cell r="M24">
            <v>0</v>
          </cell>
          <cell r="N24">
            <v>0</v>
          </cell>
          <cell r="O24">
            <v>1</v>
          </cell>
        </row>
        <row r="25">
          <cell r="A25" t="str">
            <v>F20A</v>
          </cell>
          <cell r="B25" t="str">
            <v>Max. Schedule Peak Excluding Sch 60</v>
          </cell>
          <cell r="F25">
            <v>0.5062900491293012</v>
          </cell>
          <cell r="G25">
            <v>0.13839839251722336</v>
          </cell>
          <cell r="H25">
            <v>0.20299382544814365</v>
          </cell>
          <cell r="I25">
            <v>7.7629354352841087E-2</v>
          </cell>
          <cell r="J25">
            <v>0</v>
          </cell>
          <cell r="K25">
            <v>7.0845132699214095E-2</v>
          </cell>
          <cell r="L25">
            <v>3.8432458532766021E-3</v>
          </cell>
          <cell r="M25">
            <v>0</v>
          </cell>
          <cell r="N25">
            <v>0</v>
          </cell>
          <cell r="O25">
            <v>1</v>
          </cell>
        </row>
        <row r="26">
          <cell r="A26" t="str">
            <v>F21</v>
          </cell>
          <cell r="B26" t="str">
            <v>Transformers      - NCP</v>
          </cell>
          <cell r="F26">
            <v>0.60356207368247716</v>
          </cell>
          <cell r="G26">
            <v>0.13767505391972143</v>
          </cell>
          <cell r="H26">
            <v>0.155230232775421</v>
          </cell>
          <cell r="I26">
            <v>4.5750191056818122E-2</v>
          </cell>
          <cell r="J26">
            <v>0</v>
          </cell>
          <cell r="K26">
            <v>5.5625913022576752E-2</v>
          </cell>
          <cell r="L26">
            <v>2.1565355429856636E-3</v>
          </cell>
          <cell r="M26">
            <v>0</v>
          </cell>
          <cell r="N26">
            <v>0</v>
          </cell>
          <cell r="O26">
            <v>1</v>
          </cell>
        </row>
        <row r="27">
          <cell r="A27" t="str">
            <v>F22</v>
          </cell>
          <cell r="B27" t="str">
            <v>Secondary Lines - NCP</v>
          </cell>
          <cell r="F27">
            <v>0.81426314361089602</v>
          </cell>
          <cell r="G27">
            <v>0.18573685638910387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</v>
          </cell>
        </row>
        <row r="28">
          <cell r="A28" t="str">
            <v>F30</v>
          </cell>
          <cell r="B28" t="str">
            <v>MWH @ Input</v>
          </cell>
          <cell r="F28">
            <v>0.40187937389544232</v>
          </cell>
          <cell r="G28">
            <v>0.13482783991715858</v>
          </cell>
          <cell r="H28">
            <v>0.2158470568748635</v>
          </cell>
          <cell r="I28">
            <v>8.9529162272749846E-2</v>
          </cell>
          <cell r="J28">
            <v>0.11609628729581206</v>
          </cell>
          <cell r="K28">
            <v>3.8525604713177057E-2</v>
          </cell>
          <cell r="L28">
            <v>3.2946750307966226E-3</v>
          </cell>
          <cell r="M28">
            <v>0</v>
          </cell>
          <cell r="N28">
            <v>0</v>
          </cell>
          <cell r="O28">
            <v>1</v>
          </cell>
        </row>
        <row r="29">
          <cell r="A29" t="str">
            <v>F32</v>
          </cell>
          <cell r="B29" t="str">
            <v>Seasonal System Energy Combustion Turbine</v>
          </cell>
          <cell r="C29" t="str">
            <v>SSECT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>
            <v>0</v>
          </cell>
          <cell r="N29">
            <v>0</v>
          </cell>
          <cell r="O29">
            <v>1</v>
          </cell>
        </row>
        <row r="30">
          <cell r="A30" t="str">
            <v>F33</v>
          </cell>
          <cell r="B30" t="str">
            <v>Seasonal System Energy Cholla</v>
          </cell>
          <cell r="C30" t="str">
            <v>SSECH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>
            <v>0</v>
          </cell>
          <cell r="N30">
            <v>0</v>
          </cell>
          <cell r="O30">
            <v>1</v>
          </cell>
        </row>
        <row r="31">
          <cell r="A31" t="str">
            <v>F34</v>
          </cell>
          <cell r="B31" t="str">
            <v>Seasonal System Energy Purchase</v>
          </cell>
          <cell r="C31" t="str">
            <v>SSEP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>
            <v>0</v>
          </cell>
          <cell r="N31">
            <v>0</v>
          </cell>
          <cell r="O31">
            <v>1</v>
          </cell>
        </row>
        <row r="32">
          <cell r="A32" t="str">
            <v>F40</v>
          </cell>
          <cell r="B32" t="str">
            <v>Average Customers</v>
          </cell>
          <cell r="F32">
            <v>0.7878753626124787</v>
          </cell>
          <cell r="G32">
            <v>0.14086072347404208</v>
          </cell>
          <cell r="H32">
            <v>7.8902711919110347E-3</v>
          </cell>
          <cell r="I32">
            <v>4.3747322841918143E-4</v>
          </cell>
          <cell r="J32">
            <v>7.5541533359785308E-6</v>
          </cell>
          <cell r="K32">
            <v>3.9734846547247071E-2</v>
          </cell>
          <cell r="L32">
            <v>2.3193768792566086E-2</v>
          </cell>
          <cell r="M32">
            <v>0</v>
          </cell>
          <cell r="N32">
            <v>0</v>
          </cell>
          <cell r="O32">
            <v>1</v>
          </cell>
        </row>
        <row r="33">
          <cell r="A33" t="str">
            <v>F41</v>
          </cell>
          <cell r="B33" t="str">
            <v>Weighted Customers Acct 902</v>
          </cell>
          <cell r="F33">
            <v>0.81034964418396394</v>
          </cell>
          <cell r="G33">
            <v>0.14487880007847048</v>
          </cell>
          <cell r="H33">
            <v>1.2659934375177222E-2</v>
          </cell>
          <cell r="I33">
            <v>6.195842182980341E-3</v>
          </cell>
          <cell r="J33">
            <v>1.0698789972791227E-4</v>
          </cell>
          <cell r="K33">
            <v>2.5808791279679926E-2</v>
          </cell>
          <cell r="L33">
            <v>0</v>
          </cell>
          <cell r="M33">
            <v>0</v>
          </cell>
          <cell r="N33">
            <v>0</v>
          </cell>
          <cell r="O33">
            <v>1</v>
          </cell>
        </row>
        <row r="34">
          <cell r="A34" t="str">
            <v>F42</v>
          </cell>
          <cell r="B34" t="str">
            <v>Weighted Customers Acct 903</v>
          </cell>
          <cell r="F34">
            <v>0.80686883588972269</v>
          </cell>
          <cell r="G34">
            <v>0.13704365778802449</v>
          </cell>
          <cell r="H34">
            <v>8.3228980884390413E-3</v>
          </cell>
          <cell r="I34">
            <v>1.7069542395216008E-3</v>
          </cell>
          <cell r="J34">
            <v>2.947516150745882E-5</v>
          </cell>
          <cell r="K34">
            <v>2.4413034606438653E-2</v>
          </cell>
          <cell r="L34">
            <v>2.1615144226346014E-2</v>
          </cell>
          <cell r="M34">
            <v>0</v>
          </cell>
          <cell r="N34">
            <v>0</v>
          </cell>
          <cell r="O34">
            <v>1</v>
          </cell>
        </row>
        <row r="35">
          <cell r="A35" t="str">
            <v>F50</v>
          </cell>
          <cell r="B35" t="str">
            <v>Contribution in Aid of Construction</v>
          </cell>
          <cell r="F35">
            <v>0.36831332463123317</v>
          </cell>
          <cell r="G35">
            <v>0.57226113654330524</v>
          </cell>
          <cell r="H35">
            <v>0</v>
          </cell>
          <cell r="I35">
            <v>0</v>
          </cell>
          <cell r="J35">
            <v>0</v>
          </cell>
          <cell r="K35">
            <v>5.9425538825461609E-2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</row>
        <row r="36">
          <cell r="A36" t="str">
            <v>F51</v>
          </cell>
          <cell r="B36" t="str">
            <v>Security Deposits</v>
          </cell>
          <cell r="F36">
            <v>0.86146399395804507</v>
          </cell>
          <cell r="G36">
            <v>9.6795602677749393E-2</v>
          </cell>
          <cell r="H36">
            <v>2.1722150510672493E-2</v>
          </cell>
          <cell r="I36">
            <v>0</v>
          </cell>
          <cell r="J36">
            <v>0</v>
          </cell>
          <cell r="K36">
            <v>1.9289872822153803E-2</v>
          </cell>
          <cell r="L36">
            <v>7.2838003137931184E-4</v>
          </cell>
          <cell r="M36">
            <v>0</v>
          </cell>
          <cell r="N36">
            <v>0</v>
          </cell>
          <cell r="O36">
            <v>1</v>
          </cell>
        </row>
        <row r="37">
          <cell r="A37" t="str">
            <v>F60</v>
          </cell>
          <cell r="B37" t="str">
            <v>Meters</v>
          </cell>
          <cell r="F37">
            <v>0.68626408490926871</v>
          </cell>
          <cell r="G37">
            <v>0.16380388855249758</v>
          </cell>
          <cell r="H37">
            <v>7.7099520727939644E-2</v>
          </cell>
          <cell r="I37">
            <v>1.2395002305347942E-2</v>
          </cell>
          <cell r="J37">
            <v>7.3844770530033955E-4</v>
          </cell>
          <cell r="K37">
            <v>5.9699055799645864E-2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</row>
        <row r="38">
          <cell r="A38" t="str">
            <v>F60A</v>
          </cell>
          <cell r="B38" t="str">
            <v>Meters Excluding Sch 60</v>
          </cell>
          <cell r="F38">
            <v>0.68677122954779457</v>
          </cell>
          <cell r="G38">
            <v>0.16392493854720927</v>
          </cell>
          <cell r="H38">
            <v>7.7156496765925453E-2</v>
          </cell>
          <cell r="I38">
            <v>1.2404162130409315E-2</v>
          </cell>
          <cell r="J38">
            <v>0</v>
          </cell>
          <cell r="K38">
            <v>5.9743173008661471E-2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</row>
        <row r="39">
          <cell r="A39" t="str">
            <v>F70</v>
          </cell>
          <cell r="B39" t="str">
            <v>Services</v>
          </cell>
          <cell r="F39">
            <v>0.73667592328284026</v>
          </cell>
          <cell r="G39">
            <v>0.20129126522181176</v>
          </cell>
          <cell r="H39">
            <v>5.023620474936058E-2</v>
          </cell>
          <cell r="I39">
            <v>1.1796606745987464E-2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</row>
        <row r="40">
          <cell r="A40" t="str">
            <v>F80</v>
          </cell>
          <cell r="B40" t="str">
            <v>Uncollectables</v>
          </cell>
          <cell r="F40">
            <v>0.86388736084505469</v>
          </cell>
          <cell r="G40">
            <v>3.9035314661244519E-2</v>
          </cell>
          <cell r="H40">
            <v>5.0808307686523314E-2</v>
          </cell>
          <cell r="I40">
            <v>1.9121889873938092E-2</v>
          </cell>
          <cell r="J40">
            <v>2.0770314299985736E-2</v>
          </cell>
          <cell r="K40">
            <v>6.3768126332536344E-3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</row>
        <row r="41">
          <cell r="A41" t="str">
            <v>F90</v>
          </cell>
          <cell r="B41" t="str">
            <v>Customer Service / DSM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</row>
        <row r="42">
          <cell r="A42" t="str">
            <v>F91</v>
          </cell>
          <cell r="B42" t="str">
            <v>Sales Expense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</row>
        <row r="43">
          <cell r="A43" t="str">
            <v>F101</v>
          </cell>
          <cell r="B43" t="str">
            <v>Rate Base</v>
          </cell>
          <cell r="F43">
            <v>0.46360707871731593</v>
          </cell>
          <cell r="G43">
            <v>0.13884858270304579</v>
          </cell>
          <cell r="H43">
            <v>0.19645067460725676</v>
          </cell>
          <cell r="I43">
            <v>7.6056132415544125E-2</v>
          </cell>
          <cell r="J43">
            <v>8.1977774892099314E-2</v>
          </cell>
          <cell r="K43">
            <v>3.8434327321641287E-2</v>
          </cell>
          <cell r="L43">
            <v>4.6254293430967311E-3</v>
          </cell>
          <cell r="M43">
            <v>0</v>
          </cell>
          <cell r="N43">
            <v>0</v>
          </cell>
          <cell r="O43">
            <v>1</v>
          </cell>
        </row>
        <row r="44">
          <cell r="A44" t="str">
            <v>F101G</v>
          </cell>
          <cell r="B44" t="str">
            <v>Generation Rate Base</v>
          </cell>
          <cell r="F44">
            <v>0.42357886353261187</v>
          </cell>
          <cell r="G44">
            <v>0.13494594207828411</v>
          </cell>
          <cell r="H44">
            <v>0.21418926334137806</v>
          </cell>
          <cell r="I44">
            <v>8.4642735591630144E-2</v>
          </cell>
          <cell r="J44">
            <v>0.10466105725642498</v>
          </cell>
          <cell r="K44">
            <v>3.5618288075709457E-2</v>
          </cell>
          <cell r="L44">
            <v>2.3638501239612391E-3</v>
          </cell>
          <cell r="M44">
            <v>0</v>
          </cell>
          <cell r="N44">
            <v>0</v>
          </cell>
          <cell r="O44">
            <v>1</v>
          </cell>
        </row>
        <row r="45">
          <cell r="A45" t="str">
            <v>F101T</v>
          </cell>
          <cell r="B45" t="str">
            <v>Transmission Rate Base</v>
          </cell>
          <cell r="F45">
            <v>0.42412752867492826</v>
          </cell>
          <cell r="G45">
            <v>0.13499950697169094</v>
          </cell>
          <cell r="H45">
            <v>0.21385187535494996</v>
          </cell>
          <cell r="I45">
            <v>8.4510070698145742E-2</v>
          </cell>
          <cell r="J45">
            <v>0.10452558309350464</v>
          </cell>
          <cell r="K45">
            <v>3.5595212811478254E-2</v>
          </cell>
          <cell r="L45">
            <v>2.3902223953021461E-3</v>
          </cell>
          <cell r="M45">
            <v>0</v>
          </cell>
          <cell r="N45">
            <v>0</v>
          </cell>
          <cell r="O45">
            <v>1</v>
          </cell>
        </row>
        <row r="46">
          <cell r="A46" t="str">
            <v>F101D</v>
          </cell>
          <cell r="B46" t="str">
            <v>Distribution Rate Base</v>
          </cell>
          <cell r="F46">
            <v>0.59604493403444692</v>
          </cell>
          <cell r="G46">
            <v>0.15091104901414498</v>
          </cell>
          <cell r="H46">
            <v>0.13811625553241474</v>
          </cell>
          <cell r="I46">
            <v>4.7777651006828729E-2</v>
          </cell>
          <cell r="J46">
            <v>7.9869668126957526E-3</v>
          </cell>
          <cell r="K46">
            <v>4.7415650827084786E-2</v>
          </cell>
          <cell r="L46">
            <v>1.1747492772384393E-2</v>
          </cell>
          <cell r="M46">
            <v>0</v>
          </cell>
          <cell r="N46">
            <v>0</v>
          </cell>
          <cell r="O46">
            <v>1</v>
          </cell>
        </row>
        <row r="47">
          <cell r="A47" t="str">
            <v>F101R</v>
          </cell>
          <cell r="B47" t="str">
            <v>Retail Rate Base</v>
          </cell>
          <cell r="F47">
            <v>0.90830688136061488</v>
          </cell>
          <cell r="G47">
            <v>6.1599132210173581E-2</v>
          </cell>
          <cell r="H47">
            <v>4.0304940925861045E-2</v>
          </cell>
          <cell r="I47">
            <v>-2.6853094809411982E-3</v>
          </cell>
          <cell r="J47">
            <v>-5.5364359362747881E-4</v>
          </cell>
          <cell r="K47">
            <v>1.5452864240486653E-2</v>
          </cell>
          <cell r="L47">
            <v>-2.2424865662567288E-2</v>
          </cell>
          <cell r="M47">
            <v>0</v>
          </cell>
          <cell r="N47">
            <v>0</v>
          </cell>
          <cell r="O47">
            <v>1</v>
          </cell>
        </row>
        <row r="48">
          <cell r="A48" t="str">
            <v>F101M</v>
          </cell>
          <cell r="B48" t="str">
            <v>Misc Rate Base</v>
          </cell>
          <cell r="F48">
            <v>0.4261938303409481</v>
          </cell>
          <cell r="G48">
            <v>0.13643970771721572</v>
          </cell>
          <cell r="H48">
            <v>0.21264560471858923</v>
          </cell>
          <cell r="I48">
            <v>8.362688774644543E-2</v>
          </cell>
          <cell r="J48">
            <v>0.10221286618557855</v>
          </cell>
          <cell r="K48">
            <v>3.6163995940406923E-2</v>
          </cell>
          <cell r="L48">
            <v>2.717107350815959E-3</v>
          </cell>
          <cell r="M48">
            <v>0</v>
          </cell>
          <cell r="N48">
            <v>0</v>
          </cell>
          <cell r="O48">
            <v>1</v>
          </cell>
        </row>
        <row r="49">
          <cell r="A49" t="str">
            <v>F102</v>
          </cell>
          <cell r="B49" t="str">
            <v>SGP - System Gross Plant</v>
          </cell>
          <cell r="F49">
            <v>0.47285758605720213</v>
          </cell>
          <cell r="G49">
            <v>0.13935328778756348</v>
          </cell>
          <cell r="H49">
            <v>0.19258670116674023</v>
          </cell>
          <cell r="I49">
            <v>7.4222958586347962E-2</v>
          </cell>
          <cell r="J49">
            <v>7.6180001817140117E-2</v>
          </cell>
          <cell r="K49">
            <v>3.9208629139019131E-2</v>
          </cell>
          <cell r="L49">
            <v>5.5908354459870326E-3</v>
          </cell>
          <cell r="M49">
            <v>0</v>
          </cell>
          <cell r="N49">
            <v>0</v>
          </cell>
          <cell r="O49">
            <v>1</v>
          </cell>
        </row>
        <row r="50">
          <cell r="A50" t="str">
            <v>F102G</v>
          </cell>
          <cell r="B50" t="str">
            <v>SGGP - System Gross Generation Plant</v>
          </cell>
          <cell r="F50">
            <v>0.42427502206463619</v>
          </cell>
          <cell r="G50">
            <v>0.13495083866985857</v>
          </cell>
          <cell r="H50">
            <v>0.21381795330374387</v>
          </cell>
          <cell r="I50">
            <v>8.4492543233334175E-2</v>
          </cell>
          <cell r="J50">
            <v>0.10446451143427474</v>
          </cell>
          <cell r="K50">
            <v>3.5600085140002839E-2</v>
          </cell>
          <cell r="L50">
            <v>2.3990461541496667E-3</v>
          </cell>
          <cell r="M50">
            <v>0</v>
          </cell>
          <cell r="N50">
            <v>0</v>
          </cell>
          <cell r="O50">
            <v>1</v>
          </cell>
        </row>
        <row r="51">
          <cell r="A51" t="str">
            <v>F102T</v>
          </cell>
          <cell r="B51" t="str">
            <v>SGTP - System Gross Transmission Plant</v>
          </cell>
          <cell r="F51">
            <v>0.42427502206463635</v>
          </cell>
          <cell r="G51">
            <v>0.13495083866985863</v>
          </cell>
          <cell r="H51">
            <v>0.21381795330374387</v>
          </cell>
          <cell r="I51">
            <v>8.4492543233334175E-2</v>
          </cell>
          <cell r="J51">
            <v>0.10446451143427476</v>
          </cell>
          <cell r="K51">
            <v>3.5600085140002832E-2</v>
          </cell>
          <cell r="L51">
            <v>2.399046154149668E-3</v>
          </cell>
          <cell r="M51">
            <v>0</v>
          </cell>
          <cell r="N51">
            <v>0</v>
          </cell>
          <cell r="O51">
            <v>1</v>
          </cell>
        </row>
        <row r="52">
          <cell r="A52" t="str">
            <v>F102D</v>
          </cell>
          <cell r="B52" t="str">
            <v>SGDP - System Gross Distribution Plant</v>
          </cell>
          <cell r="F52">
            <v>0.59203175231402783</v>
          </cell>
          <cell r="G52">
            <v>0.15015259848616852</v>
          </cell>
          <cell r="H52">
            <v>0.14050594288475593</v>
          </cell>
          <cell r="I52">
            <v>4.9031427149354288E-2</v>
          </cell>
          <cell r="J52">
            <v>6.7974378972738957E-3</v>
          </cell>
          <cell r="K52">
            <v>4.8060472004900892E-2</v>
          </cell>
          <cell r="L52">
            <v>1.342036926351853E-2</v>
          </cell>
          <cell r="M52">
            <v>0</v>
          </cell>
          <cell r="N52">
            <v>0</v>
          </cell>
          <cell r="O52">
            <v>1</v>
          </cell>
        </row>
        <row r="53">
          <cell r="A53" t="str">
            <v>F102R</v>
          </cell>
          <cell r="B53" t="str">
            <v>SGTP - System Gross Retail Plant</v>
          </cell>
          <cell r="F53">
            <v>0.47285758605720213</v>
          </cell>
          <cell r="G53">
            <v>0.13935328778756348</v>
          </cell>
          <cell r="H53">
            <v>0.19258670116674023</v>
          </cell>
          <cell r="I53">
            <v>7.4222958586347962E-2</v>
          </cell>
          <cell r="J53">
            <v>7.6180001817140117E-2</v>
          </cell>
          <cell r="K53">
            <v>3.9208629139019131E-2</v>
          </cell>
          <cell r="L53">
            <v>5.5908354459870326E-3</v>
          </cell>
          <cell r="M53">
            <v>0</v>
          </cell>
          <cell r="N53">
            <v>0</v>
          </cell>
          <cell r="O53">
            <v>1</v>
          </cell>
        </row>
        <row r="54">
          <cell r="A54" t="str">
            <v>F102M</v>
          </cell>
          <cell r="B54" t="str">
            <v>SGDP - System Gross Misc Plant</v>
          </cell>
          <cell r="F54">
            <v>0.47285758605720213</v>
          </cell>
          <cell r="G54">
            <v>0.13935328778756348</v>
          </cell>
          <cell r="H54">
            <v>0.19258670116674023</v>
          </cell>
          <cell r="I54">
            <v>7.4222958586347962E-2</v>
          </cell>
          <cell r="J54">
            <v>7.6180001817140117E-2</v>
          </cell>
          <cell r="K54">
            <v>3.9208629139019131E-2</v>
          </cell>
          <cell r="L54">
            <v>5.5908354459870326E-3</v>
          </cell>
          <cell r="M54">
            <v>0</v>
          </cell>
          <cell r="N54">
            <v>0</v>
          </cell>
          <cell r="O54">
            <v>1</v>
          </cell>
        </row>
        <row r="55">
          <cell r="A55" t="str">
            <v>F104</v>
          </cell>
          <cell r="B55" t="str">
            <v>SNP - System Net Plant</v>
          </cell>
          <cell r="F55">
            <v>0.46775866954862472</v>
          </cell>
          <cell r="G55">
            <v>0.13900510710757305</v>
          </cell>
          <cell r="H55">
            <v>0.19454520871537848</v>
          </cell>
          <cell r="I55">
            <v>7.5184019979096878E-2</v>
          </cell>
          <cell r="J55">
            <v>8.0295490923664989E-2</v>
          </cell>
          <cell r="K55">
            <v>3.848946521342908E-2</v>
          </cell>
          <cell r="L55">
            <v>4.7220385122327983E-3</v>
          </cell>
          <cell r="M55">
            <v>0</v>
          </cell>
          <cell r="N55">
            <v>0</v>
          </cell>
          <cell r="O55">
            <v>1</v>
          </cell>
        </row>
        <row r="56">
          <cell r="A56" t="str">
            <v>F104G</v>
          </cell>
          <cell r="B56" t="str">
            <v>SNP - System Net Generation Plant</v>
          </cell>
          <cell r="F56">
            <v>0.42423852157765363</v>
          </cell>
          <cell r="G56">
            <v>0.13494781063327949</v>
          </cell>
          <cell r="H56">
            <v>0.21383423316129693</v>
          </cell>
          <cell r="I56">
            <v>8.4500275260229435E-2</v>
          </cell>
          <cell r="J56">
            <v>0.10448474655197619</v>
          </cell>
          <cell r="K56">
            <v>3.5597713879889442E-2</v>
          </cell>
          <cell r="L56">
            <v>2.3966989356747639E-3</v>
          </cell>
          <cell r="M56">
            <v>0</v>
          </cell>
          <cell r="N56">
            <v>0</v>
          </cell>
          <cell r="O56">
            <v>1</v>
          </cell>
        </row>
        <row r="57">
          <cell r="A57" t="str">
            <v>F104T</v>
          </cell>
          <cell r="B57" t="str">
            <v>SNP - System Net Transmission Plant</v>
          </cell>
          <cell r="F57">
            <v>0.42410990005850557</v>
          </cell>
          <cell r="G57">
            <v>0.13493714034646864</v>
          </cell>
          <cell r="H57">
            <v>0.21389160061535301</v>
          </cell>
          <cell r="I57">
            <v>8.4527521610280723E-2</v>
          </cell>
          <cell r="J57">
            <v>0.10455605167127936</v>
          </cell>
          <cell r="K57">
            <v>3.5589357961837584E-2</v>
          </cell>
          <cell r="L57">
            <v>2.3884277362751687E-3</v>
          </cell>
          <cell r="M57">
            <v>0</v>
          </cell>
          <cell r="N57">
            <v>0</v>
          </cell>
          <cell r="O57">
            <v>1</v>
          </cell>
        </row>
        <row r="58">
          <cell r="A58" t="str">
            <v>F104D</v>
          </cell>
          <cell r="B58" t="str">
            <v>SNP - System Net Distribution Plant</v>
          </cell>
          <cell r="F58">
            <v>0.59631992736354</v>
          </cell>
          <cell r="G58">
            <v>0.15131326218964813</v>
          </cell>
          <cell r="H58">
            <v>0.13791051685843547</v>
          </cell>
          <cell r="I58">
            <v>4.7672056074357351E-2</v>
          </cell>
          <cell r="J58">
            <v>7.7946929627862819E-3</v>
          </cell>
          <cell r="K58">
            <v>4.7384994310582955E-2</v>
          </cell>
          <cell r="L58">
            <v>1.1604550240649639E-2</v>
          </cell>
          <cell r="M58">
            <v>0</v>
          </cell>
          <cell r="N58">
            <v>0</v>
          </cell>
          <cell r="O58">
            <v>1</v>
          </cell>
        </row>
        <row r="59">
          <cell r="A59" t="str">
            <v>F104R</v>
          </cell>
          <cell r="B59" t="str">
            <v>SNP - System Net Retail Plant</v>
          </cell>
          <cell r="F59">
            <v>0.83923264768712036</v>
          </cell>
          <cell r="G59">
            <v>0.1368385392196749</v>
          </cell>
          <cell r="H59">
            <v>-9.5092786339681379E-3</v>
          </cell>
          <cell r="I59">
            <v>-5.3183433134161295E-3</v>
          </cell>
          <cell r="J59">
            <v>-7.4168917203242049E-3</v>
          </cell>
          <cell r="K59">
            <v>2.3002124269258586E-2</v>
          </cell>
          <cell r="L59">
            <v>2.3171202491654736E-2</v>
          </cell>
          <cell r="M59">
            <v>0</v>
          </cell>
          <cell r="N59">
            <v>0</v>
          </cell>
          <cell r="O59">
            <v>1</v>
          </cell>
        </row>
        <row r="60">
          <cell r="A60" t="str">
            <v>F104M</v>
          </cell>
          <cell r="B60" t="str">
            <v>SNP - System Net Misc Plant</v>
          </cell>
          <cell r="F60">
            <v>0.46775866954862472</v>
          </cell>
          <cell r="G60">
            <v>0.13900510710757305</v>
          </cell>
          <cell r="H60">
            <v>0.19454520871537848</v>
          </cell>
          <cell r="I60">
            <v>7.5184019979096878E-2</v>
          </cell>
          <cell r="J60">
            <v>8.0295490923664989E-2</v>
          </cell>
          <cell r="K60">
            <v>3.848946521342908E-2</v>
          </cell>
          <cell r="L60">
            <v>4.7220385122327983E-3</v>
          </cell>
          <cell r="M60">
            <v>0</v>
          </cell>
          <cell r="N60">
            <v>0</v>
          </cell>
          <cell r="O60">
            <v>1</v>
          </cell>
        </row>
        <row r="61">
          <cell r="A61" t="str">
            <v>F105</v>
          </cell>
          <cell r="B61" t="str">
            <v>STP - System Prod &amp; Trans Plant</v>
          </cell>
          <cell r="F61">
            <v>0.42427502206463624</v>
          </cell>
          <cell r="G61">
            <v>0.13495083866985857</v>
          </cell>
          <cell r="H61">
            <v>0.21381795330374384</v>
          </cell>
          <cell r="I61">
            <v>8.4492543233334161E-2</v>
          </cell>
          <cell r="J61">
            <v>0.10446451143427475</v>
          </cell>
          <cell r="K61">
            <v>3.5600085140002839E-2</v>
          </cell>
          <cell r="L61">
            <v>2.3990461541496672E-3</v>
          </cell>
          <cell r="M61">
            <v>0</v>
          </cell>
          <cell r="N61">
            <v>0</v>
          </cell>
          <cell r="O61">
            <v>1</v>
          </cell>
        </row>
        <row r="62">
          <cell r="A62" t="str">
            <v>F105G</v>
          </cell>
          <cell r="B62" t="str">
            <v>SGGP - System Gross Generation Plant</v>
          </cell>
          <cell r="F62">
            <v>0.42427502206463619</v>
          </cell>
          <cell r="G62">
            <v>0.13495083866985857</v>
          </cell>
          <cell r="H62">
            <v>0.21381795330374387</v>
          </cell>
          <cell r="I62">
            <v>8.4492543233334175E-2</v>
          </cell>
          <cell r="J62">
            <v>0.10446451143427474</v>
          </cell>
          <cell r="K62">
            <v>3.5600085140002839E-2</v>
          </cell>
          <cell r="L62">
            <v>2.3990461541496667E-3</v>
          </cell>
          <cell r="M62">
            <v>0</v>
          </cell>
          <cell r="N62">
            <v>0</v>
          </cell>
          <cell r="O62">
            <v>1</v>
          </cell>
        </row>
        <row r="63">
          <cell r="A63" t="str">
            <v>F105T</v>
          </cell>
          <cell r="B63" t="str">
            <v>SGTP - System Gross Transmission Plant</v>
          </cell>
          <cell r="F63">
            <v>0.42427502206463635</v>
          </cell>
          <cell r="G63">
            <v>0.13495083866985863</v>
          </cell>
          <cell r="H63">
            <v>0.21381795330374387</v>
          </cell>
          <cell r="I63">
            <v>8.4492543233334175E-2</v>
          </cell>
          <cell r="J63">
            <v>0.10446451143427476</v>
          </cell>
          <cell r="K63">
            <v>3.5600085140002832E-2</v>
          </cell>
          <cell r="L63">
            <v>2.399046154149668E-3</v>
          </cell>
          <cell r="M63">
            <v>0</v>
          </cell>
          <cell r="N63">
            <v>0</v>
          </cell>
          <cell r="O63">
            <v>1</v>
          </cell>
        </row>
        <row r="64">
          <cell r="A64" t="str">
            <v>F105D</v>
          </cell>
          <cell r="B64" t="str">
            <v>SGDP - System Gross Distribution Plant</v>
          </cell>
          <cell r="F64">
            <v>0.59203175231402783</v>
          </cell>
          <cell r="G64">
            <v>0.15015259848616852</v>
          </cell>
          <cell r="H64">
            <v>0.14050594288475593</v>
          </cell>
          <cell r="I64">
            <v>4.9031427149354288E-2</v>
          </cell>
          <cell r="J64">
            <v>6.7974378972738957E-3</v>
          </cell>
          <cell r="K64">
            <v>4.8060472004900892E-2</v>
          </cell>
          <cell r="L64">
            <v>1.342036926351853E-2</v>
          </cell>
          <cell r="M64">
            <v>0</v>
          </cell>
          <cell r="N64">
            <v>0</v>
          </cell>
          <cell r="O64">
            <v>1</v>
          </cell>
        </row>
        <row r="65">
          <cell r="A65" t="str">
            <v>F105R</v>
          </cell>
          <cell r="B65" t="str">
            <v>SGTP - System Gross Retail Plant</v>
          </cell>
          <cell r="F65">
            <v>0.59203175231402783</v>
          </cell>
          <cell r="G65">
            <v>0.15015259848616852</v>
          </cell>
          <cell r="H65">
            <v>0.14050594288475593</v>
          </cell>
          <cell r="I65">
            <v>4.9031427149354288E-2</v>
          </cell>
          <cell r="J65">
            <v>6.7974378972738957E-3</v>
          </cell>
          <cell r="K65">
            <v>4.8060472004900892E-2</v>
          </cell>
          <cell r="L65">
            <v>1.342036926351853E-2</v>
          </cell>
          <cell r="M65">
            <v>0</v>
          </cell>
          <cell r="N65">
            <v>0</v>
          </cell>
          <cell r="O65">
            <v>1</v>
          </cell>
        </row>
        <row r="66">
          <cell r="A66" t="str">
            <v>F105M</v>
          </cell>
          <cell r="B66" t="str">
            <v>SGDP - System Gross Misc Plant</v>
          </cell>
          <cell r="F66">
            <v>0.59203175231402783</v>
          </cell>
          <cell r="G66">
            <v>0.15015259848616852</v>
          </cell>
          <cell r="H66">
            <v>0.14050594288475593</v>
          </cell>
          <cell r="I66">
            <v>4.9031427149354288E-2</v>
          </cell>
          <cell r="J66">
            <v>6.7974378972738957E-3</v>
          </cell>
          <cell r="K66">
            <v>4.8060472004900892E-2</v>
          </cell>
          <cell r="L66">
            <v>1.342036926351853E-2</v>
          </cell>
          <cell r="M66">
            <v>0</v>
          </cell>
          <cell r="N66">
            <v>0</v>
          </cell>
          <cell r="O66">
            <v>1</v>
          </cell>
        </row>
        <row r="67">
          <cell r="A67" t="str">
            <v>F106</v>
          </cell>
          <cell r="B67" t="str">
            <v>STP - System Transmission Plant</v>
          </cell>
          <cell r="F67">
            <v>0.42427502206463635</v>
          </cell>
          <cell r="G67">
            <v>0.13495083866985863</v>
          </cell>
          <cell r="H67">
            <v>0.21381795330374387</v>
          </cell>
          <cell r="I67">
            <v>8.4492543233334175E-2</v>
          </cell>
          <cell r="J67">
            <v>0.10446451143427476</v>
          </cell>
          <cell r="K67">
            <v>3.5600085140002832E-2</v>
          </cell>
          <cell r="L67">
            <v>2.399046154149668E-3</v>
          </cell>
          <cell r="M67">
            <v>0</v>
          </cell>
          <cell r="N67">
            <v>0</v>
          </cell>
          <cell r="O67">
            <v>1</v>
          </cell>
        </row>
        <row r="68">
          <cell r="A68" t="str">
            <v>F107</v>
          </cell>
          <cell r="B68" t="str">
            <v>STP - System Trans &amp; Dist Plant</v>
          </cell>
          <cell r="F68">
            <v>0.52482176052197604</v>
          </cell>
          <cell r="G68">
            <v>0.14406217128864249</v>
          </cell>
          <cell r="H68">
            <v>0.16987763850134283</v>
          </cell>
          <cell r="I68">
            <v>6.3238555038638677E-2</v>
          </cell>
          <cell r="J68">
            <v>4.5926736620592129E-2</v>
          </cell>
          <cell r="K68">
            <v>4.306834741073054E-2</v>
          </cell>
          <cell r="L68">
            <v>9.004790618077449E-3</v>
          </cell>
          <cell r="M68">
            <v>0</v>
          </cell>
          <cell r="N68">
            <v>0</v>
          </cell>
          <cell r="O68">
            <v>1</v>
          </cell>
        </row>
        <row r="69">
          <cell r="A69" t="str">
            <v>F107G</v>
          </cell>
          <cell r="B69" t="str">
            <v>SGGP - System Gross Generation Plant</v>
          </cell>
          <cell r="F69">
            <v>0.42427502206463619</v>
          </cell>
          <cell r="G69">
            <v>0.13495083866985857</v>
          </cell>
          <cell r="H69">
            <v>0.21381795330374387</v>
          </cell>
          <cell r="I69">
            <v>8.4492543233334175E-2</v>
          </cell>
          <cell r="J69">
            <v>0.10446451143427474</v>
          </cell>
          <cell r="K69">
            <v>3.5600085140002839E-2</v>
          </cell>
          <cell r="L69">
            <v>2.3990461541496667E-3</v>
          </cell>
          <cell r="M69">
            <v>0</v>
          </cell>
          <cell r="N69">
            <v>0</v>
          </cell>
          <cell r="O69">
            <v>1</v>
          </cell>
        </row>
        <row r="70">
          <cell r="A70" t="str">
            <v>F107T</v>
          </cell>
          <cell r="B70" t="str">
            <v>SGTP - System Gross Transmission Plant</v>
          </cell>
          <cell r="F70">
            <v>0.42427502206463635</v>
          </cell>
          <cell r="G70">
            <v>0.13495083866985863</v>
          </cell>
          <cell r="H70">
            <v>0.21381795330374387</v>
          </cell>
          <cell r="I70">
            <v>8.4492543233334175E-2</v>
          </cell>
          <cell r="J70">
            <v>0.10446451143427476</v>
          </cell>
          <cell r="K70">
            <v>3.5600085140002832E-2</v>
          </cell>
          <cell r="L70">
            <v>2.399046154149668E-3</v>
          </cell>
          <cell r="M70">
            <v>0</v>
          </cell>
          <cell r="N70">
            <v>0</v>
          </cell>
          <cell r="O70">
            <v>1</v>
          </cell>
        </row>
        <row r="71">
          <cell r="A71" t="str">
            <v>F107D</v>
          </cell>
          <cell r="B71" t="str">
            <v>SGDP - System Gross Distribution Plant</v>
          </cell>
          <cell r="F71">
            <v>0.59203175231402783</v>
          </cell>
          <cell r="G71">
            <v>0.15015259848616852</v>
          </cell>
          <cell r="H71">
            <v>0.14050594288475593</v>
          </cell>
          <cell r="I71">
            <v>4.9031427149354288E-2</v>
          </cell>
          <cell r="J71">
            <v>6.7974378972738957E-3</v>
          </cell>
          <cell r="K71">
            <v>4.8060472004900892E-2</v>
          </cell>
          <cell r="L71">
            <v>1.342036926351853E-2</v>
          </cell>
          <cell r="M71">
            <v>0</v>
          </cell>
          <cell r="N71">
            <v>0</v>
          </cell>
          <cell r="O71">
            <v>1</v>
          </cell>
        </row>
        <row r="72">
          <cell r="A72" t="str">
            <v>F107R</v>
          </cell>
          <cell r="B72" t="str">
            <v>SGTP - System Gross Retail Plant</v>
          </cell>
          <cell r="F72">
            <v>0.59203175231402783</v>
          </cell>
          <cell r="G72">
            <v>0.15015259848616852</v>
          </cell>
          <cell r="H72">
            <v>0.14050594288475593</v>
          </cell>
          <cell r="I72">
            <v>4.9031427149354288E-2</v>
          </cell>
          <cell r="J72">
            <v>6.7974378972738957E-3</v>
          </cell>
          <cell r="K72">
            <v>4.8060472004900892E-2</v>
          </cell>
          <cell r="L72">
            <v>1.342036926351853E-2</v>
          </cell>
          <cell r="M72">
            <v>0</v>
          </cell>
          <cell r="N72">
            <v>0</v>
          </cell>
          <cell r="O72">
            <v>1</v>
          </cell>
        </row>
        <row r="73">
          <cell r="A73" t="str">
            <v>F107M</v>
          </cell>
          <cell r="B73" t="str">
            <v>SGDP - System Gross Misc Plant</v>
          </cell>
          <cell r="F73">
            <v>0.59203175231402783</v>
          </cell>
          <cell r="G73">
            <v>0.15015259848616852</v>
          </cell>
          <cell r="H73">
            <v>0.14050594288475593</v>
          </cell>
          <cell r="I73">
            <v>4.9031427149354288E-2</v>
          </cell>
          <cell r="J73">
            <v>6.7974378972738957E-3</v>
          </cell>
          <cell r="K73">
            <v>4.8060472004900892E-2</v>
          </cell>
          <cell r="L73">
            <v>1.342036926351853E-2</v>
          </cell>
          <cell r="M73">
            <v>0</v>
          </cell>
          <cell r="N73">
            <v>0</v>
          </cell>
          <cell r="O73">
            <v>1</v>
          </cell>
        </row>
        <row r="74">
          <cell r="A74" t="str">
            <v>F108</v>
          </cell>
          <cell r="B74" t="str">
            <v>SGP - System General Plant</v>
          </cell>
          <cell r="F74">
            <v>0.47486659068647202</v>
          </cell>
          <cell r="G74">
            <v>0.13914785446458602</v>
          </cell>
          <cell r="H74">
            <v>0.19125322612774615</v>
          </cell>
          <cell r="I74">
            <v>7.3775552814915185E-2</v>
          </cell>
          <cell r="J74">
            <v>7.6417588491657279E-2</v>
          </cell>
          <cell r="K74">
            <v>3.8886774679353156E-2</v>
          </cell>
          <cell r="L74">
            <v>5.6524127352700704E-3</v>
          </cell>
          <cell r="M74">
            <v>0</v>
          </cell>
          <cell r="N74">
            <v>0</v>
          </cell>
          <cell r="O74">
            <v>1</v>
          </cell>
        </row>
        <row r="75">
          <cell r="A75" t="str">
            <v>F110</v>
          </cell>
          <cell r="B75" t="str">
            <v>SIP - System Intangible Plant</v>
          </cell>
          <cell r="F75">
            <v>0.47436743963693945</v>
          </cell>
          <cell r="G75">
            <v>0.13652196772818054</v>
          </cell>
          <cell r="H75">
            <v>0.18843764562647192</v>
          </cell>
          <cell r="I75">
            <v>7.3729656701132379E-2</v>
          </cell>
          <cell r="J75">
            <v>8.6080281570315539E-2</v>
          </cell>
          <cell r="K75">
            <v>3.5712325988774329E-2</v>
          </cell>
          <cell r="L75">
            <v>5.1506827481859847E-3</v>
          </cell>
          <cell r="M75">
            <v>0</v>
          </cell>
          <cell r="N75">
            <v>0</v>
          </cell>
          <cell r="O75">
            <v>1</v>
          </cell>
        </row>
        <row r="76">
          <cell r="A76" t="str">
            <v>F118</v>
          </cell>
          <cell r="B76" t="str">
            <v>Account 360</v>
          </cell>
          <cell r="F76">
            <v>0.5062900491293012</v>
          </cell>
          <cell r="G76">
            <v>0.13839839251722336</v>
          </cell>
          <cell r="H76">
            <v>0.20299382544814365</v>
          </cell>
          <cell r="I76">
            <v>7.7629354352841087E-2</v>
          </cell>
          <cell r="J76">
            <v>0</v>
          </cell>
          <cell r="K76">
            <v>7.0845132699214095E-2</v>
          </cell>
          <cell r="L76">
            <v>3.8432458532766021E-3</v>
          </cell>
          <cell r="M76">
            <v>0</v>
          </cell>
          <cell r="N76">
            <v>0</v>
          </cell>
          <cell r="O76">
            <v>1</v>
          </cell>
        </row>
        <row r="77">
          <cell r="A77" t="str">
            <v>F119</v>
          </cell>
          <cell r="B77" t="str">
            <v>Account 361</v>
          </cell>
          <cell r="F77">
            <v>0.47201803477697701</v>
          </cell>
          <cell r="G77">
            <v>0.12902986611057948</v>
          </cell>
          <cell r="H77">
            <v>0.18925267586174277</v>
          </cell>
          <cell r="I77">
            <v>7.2374433085639234E-2</v>
          </cell>
          <cell r="J77">
            <v>6.7692451019458075E-2</v>
          </cell>
          <cell r="K77">
            <v>6.6049452024005528E-2</v>
          </cell>
          <cell r="L77">
            <v>3.5830871215979405E-3</v>
          </cell>
          <cell r="M77">
            <v>0</v>
          </cell>
          <cell r="N77">
            <v>0</v>
          </cell>
          <cell r="O77">
            <v>1</v>
          </cell>
        </row>
        <row r="78">
          <cell r="A78" t="str">
            <v>F120</v>
          </cell>
          <cell r="B78" t="str">
            <v>Account 362</v>
          </cell>
          <cell r="F78">
            <v>0.47958240334586782</v>
          </cell>
          <cell r="G78">
            <v>0.13109764613537497</v>
          </cell>
          <cell r="H78">
            <v>0.19228556208089637</v>
          </cell>
          <cell r="I78">
            <v>7.3534276240960567E-2</v>
          </cell>
          <cell r="J78">
            <v>5.2751670370302907E-2</v>
          </cell>
          <cell r="K78">
            <v>6.710793361172479E-2</v>
          </cell>
          <cell r="L78">
            <v>3.640508214872521E-3</v>
          </cell>
          <cell r="M78">
            <v>0</v>
          </cell>
          <cell r="N78">
            <v>0</v>
          </cell>
          <cell r="O78">
            <v>1</v>
          </cell>
        </row>
        <row r="79">
          <cell r="A79" t="str">
            <v>F121</v>
          </cell>
          <cell r="B79" t="str">
            <v>Account 364</v>
          </cell>
          <cell r="F79">
            <v>0.51371070799384333</v>
          </cell>
          <cell r="G79">
            <v>0.1395390200520929</v>
          </cell>
          <cell r="H79">
            <v>0.19810265814408193</v>
          </cell>
          <cell r="I79">
            <v>7.5758863174068589E-2</v>
          </cell>
          <cell r="J79">
            <v>0</v>
          </cell>
          <cell r="K79">
            <v>6.9138108379901336E-2</v>
          </cell>
          <cell r="L79">
            <v>3.7506422560119189E-3</v>
          </cell>
          <cell r="M79">
            <v>0</v>
          </cell>
          <cell r="N79">
            <v>0</v>
          </cell>
          <cell r="O79">
            <v>1</v>
          </cell>
        </row>
        <row r="80">
          <cell r="A80" t="str">
            <v>F122</v>
          </cell>
          <cell r="B80" t="str">
            <v>Account 365</v>
          </cell>
          <cell r="F80">
            <v>0.63728017270084414</v>
          </cell>
          <cell r="G80">
            <v>0.15853285018048921</v>
          </cell>
          <cell r="H80">
            <v>0.11665450959176564</v>
          </cell>
          <cell r="I80">
            <v>4.4611279392187481E-2</v>
          </cell>
          <cell r="J80">
            <v>0</v>
          </cell>
          <cell r="K80">
            <v>4.0712589132922111E-2</v>
          </cell>
          <cell r="L80">
            <v>2.208599001791307E-3</v>
          </cell>
          <cell r="M80">
            <v>0</v>
          </cell>
          <cell r="N80">
            <v>0</v>
          </cell>
          <cell r="O80">
            <v>1</v>
          </cell>
        </row>
        <row r="81">
          <cell r="A81" t="str">
            <v>F123</v>
          </cell>
          <cell r="B81" t="str">
            <v>Account 366</v>
          </cell>
          <cell r="F81">
            <v>0.65909449393796748</v>
          </cell>
          <cell r="G81">
            <v>0.16188592379723296</v>
          </cell>
          <cell r="H81">
            <v>0.10227607005654517</v>
          </cell>
          <cell r="I81">
            <v>3.9112644272344052E-2</v>
          </cell>
          <cell r="J81">
            <v>0</v>
          </cell>
          <cell r="K81">
            <v>3.5694493362612385E-2</v>
          </cell>
          <cell r="L81">
            <v>1.9363745732978355E-3</v>
          </cell>
          <cell r="M81">
            <v>0</v>
          </cell>
          <cell r="N81">
            <v>0</v>
          </cell>
          <cell r="O81">
            <v>1</v>
          </cell>
        </row>
        <row r="82">
          <cell r="A82" t="str">
            <v>F124</v>
          </cell>
          <cell r="B82" t="str">
            <v>Account 367</v>
          </cell>
          <cell r="F82">
            <v>0.68321286986499619</v>
          </cell>
          <cell r="G82">
            <v>0.16559315305825628</v>
          </cell>
          <cell r="H82">
            <v>8.6378962546991206E-2</v>
          </cell>
          <cell r="I82">
            <v>3.3033236737065937E-2</v>
          </cell>
          <cell r="J82">
            <v>0</v>
          </cell>
          <cell r="K82">
            <v>3.0146380317490586E-2</v>
          </cell>
          <cell r="L82">
            <v>1.6353974751998782E-3</v>
          </cell>
          <cell r="M82">
            <v>0</v>
          </cell>
          <cell r="N82">
            <v>0</v>
          </cell>
          <cell r="O82">
            <v>1</v>
          </cell>
        </row>
        <row r="83">
          <cell r="A83" t="str">
            <v>F125</v>
          </cell>
          <cell r="B83" t="str">
            <v>Account 368</v>
          </cell>
          <cell r="F83">
            <v>0.60356207368247716</v>
          </cell>
          <cell r="G83">
            <v>0.13767505391972143</v>
          </cell>
          <cell r="H83">
            <v>0.155230232775421</v>
          </cell>
          <cell r="I83">
            <v>4.5750191056818122E-2</v>
          </cell>
          <cell r="J83">
            <v>0</v>
          </cell>
          <cell r="K83">
            <v>5.5625913022576752E-2</v>
          </cell>
          <cell r="L83">
            <v>2.1565355429856636E-3</v>
          </cell>
          <cell r="M83">
            <v>0</v>
          </cell>
          <cell r="N83">
            <v>0</v>
          </cell>
          <cell r="O83">
            <v>1</v>
          </cell>
        </row>
        <row r="84">
          <cell r="A84" t="str">
            <v>F126</v>
          </cell>
          <cell r="B84" t="str">
            <v>Account 369</v>
          </cell>
          <cell r="F84">
            <v>0.73667592328284026</v>
          </cell>
          <cell r="G84">
            <v>0.20129126522181176</v>
          </cell>
          <cell r="H84">
            <v>5.023620474936058E-2</v>
          </cell>
          <cell r="I84">
            <v>1.1796606745987464E-2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</row>
        <row r="85">
          <cell r="A85" t="str">
            <v>F127</v>
          </cell>
          <cell r="B85" t="str">
            <v>Account 370</v>
          </cell>
          <cell r="F85">
            <v>0.6801272623105511</v>
          </cell>
          <cell r="G85">
            <v>0.16233909471127583</v>
          </cell>
          <cell r="H85">
            <v>7.6410068822240579E-2</v>
          </cell>
          <cell r="I85">
            <v>1.2284161694668639E-2</v>
          </cell>
          <cell r="J85">
            <v>9.674207292606242E-3</v>
          </cell>
          <cell r="K85">
            <v>5.9165205168657642E-2</v>
          </cell>
          <cell r="L85">
            <v>0</v>
          </cell>
          <cell r="M85">
            <v>0</v>
          </cell>
          <cell r="N85">
            <v>0</v>
          </cell>
          <cell r="O85">
            <v>1</v>
          </cell>
        </row>
        <row r="86">
          <cell r="A86" t="str">
            <v>F128</v>
          </cell>
          <cell r="B86" t="str">
            <v>Account 371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1</v>
          </cell>
        </row>
        <row r="87">
          <cell r="A87" t="str">
            <v>F129</v>
          </cell>
          <cell r="B87" t="str">
            <v>Account 372</v>
          </cell>
          <cell r="F87">
            <v>0.14285714285714285</v>
          </cell>
          <cell r="G87">
            <v>0.14285714285714285</v>
          </cell>
          <cell r="H87">
            <v>0.14285714285714285</v>
          </cell>
          <cell r="I87">
            <v>0.14285714285714285</v>
          </cell>
          <cell r="J87">
            <v>0.14285714285714285</v>
          </cell>
          <cell r="K87">
            <v>0.14285714285714285</v>
          </cell>
          <cell r="L87">
            <v>0.14285714285714285</v>
          </cell>
          <cell r="M87">
            <v>0</v>
          </cell>
          <cell r="N87">
            <v>0</v>
          </cell>
          <cell r="O87">
            <v>1</v>
          </cell>
        </row>
        <row r="88">
          <cell r="A88" t="str">
            <v>F130</v>
          </cell>
          <cell r="B88" t="str">
            <v>Account 373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</v>
          </cell>
          <cell r="M88">
            <v>0</v>
          </cell>
          <cell r="N88">
            <v>0</v>
          </cell>
          <cell r="O88">
            <v>1</v>
          </cell>
        </row>
        <row r="89">
          <cell r="A89" t="str">
            <v>F131</v>
          </cell>
          <cell r="B89" t="str">
            <v>Account 581 thru 587 &amp; 591 thru 597</v>
          </cell>
          <cell r="F89">
            <v>0.56340055257381294</v>
          </cell>
          <cell r="G89">
            <v>0.14746860416093852</v>
          </cell>
          <cell r="H89">
            <v>0.14254337870417783</v>
          </cell>
          <cell r="I89">
            <v>5.1792195722871325E-2</v>
          </cell>
          <cell r="J89">
            <v>1.9942506834469156E-2</v>
          </cell>
          <cell r="K89">
            <v>5.1390436668394261E-2</v>
          </cell>
          <cell r="L89">
            <v>2.3462325335336081E-2</v>
          </cell>
          <cell r="M89">
            <v>0</v>
          </cell>
          <cell r="N89">
            <v>0</v>
          </cell>
          <cell r="O89">
            <v>1</v>
          </cell>
        </row>
        <row r="90">
          <cell r="A90" t="str">
            <v>F132</v>
          </cell>
          <cell r="B90" t="str">
            <v>Account 364 + 365</v>
          </cell>
          <cell r="F90">
            <v>0.56160503361528979</v>
          </cell>
          <cell r="G90">
            <v>0.1469008443274093</v>
          </cell>
          <cell r="H90">
            <v>0.16653414599362371</v>
          </cell>
          <cell r="I90">
            <v>6.3686361901137384E-2</v>
          </cell>
          <cell r="J90">
            <v>0</v>
          </cell>
          <cell r="K90">
            <v>5.812065291061027E-2</v>
          </cell>
          <cell r="L90">
            <v>3.152961251929585E-3</v>
          </cell>
          <cell r="M90">
            <v>0</v>
          </cell>
          <cell r="N90">
            <v>0</v>
          </cell>
          <cell r="O90">
            <v>1</v>
          </cell>
        </row>
        <row r="91">
          <cell r="A91" t="str">
            <v>F133</v>
          </cell>
          <cell r="B91" t="str">
            <v>Account 366 + 367</v>
          </cell>
          <cell r="F91">
            <v>0.67312598262329426</v>
          </cell>
          <cell r="G91">
            <v>0.16404270025628409</v>
          </cell>
          <cell r="H91">
            <v>9.3027516803017268E-2</v>
          </cell>
          <cell r="I91">
            <v>3.5575791778509724E-2</v>
          </cell>
          <cell r="J91">
            <v>0</v>
          </cell>
          <cell r="K91">
            <v>3.2466735173044631E-2</v>
          </cell>
          <cell r="L91">
            <v>1.7612733658499812E-3</v>
          </cell>
          <cell r="M91">
            <v>0</v>
          </cell>
          <cell r="N91">
            <v>0</v>
          </cell>
          <cell r="O91">
            <v>1</v>
          </cell>
        </row>
        <row r="92">
          <cell r="A92" t="str">
            <v>F134</v>
          </cell>
          <cell r="B92" t="str">
            <v>Account 364 + 365 + 369  (OH)</v>
          </cell>
          <cell r="F92">
            <v>0.59909048034771484</v>
          </cell>
          <cell r="G92">
            <v>0.15993105284811515</v>
          </cell>
          <cell r="H92">
            <v>0.14016157274244298</v>
          </cell>
          <cell r="I92">
            <v>5.1381741604143188E-2</v>
          </cell>
          <cell r="J92">
            <v>0</v>
          </cell>
          <cell r="K92">
            <v>4.6891363873993501E-2</v>
          </cell>
          <cell r="L92">
            <v>2.5437885835904294E-3</v>
          </cell>
          <cell r="M92">
            <v>0</v>
          </cell>
          <cell r="N92">
            <v>0</v>
          </cell>
          <cell r="O92">
            <v>1</v>
          </cell>
        </row>
        <row r="93">
          <cell r="A93" t="str">
            <v>F135</v>
          </cell>
          <cell r="B93" t="str">
            <v>Account 366 + 367 + 369  (UG)</v>
          </cell>
          <cell r="F93">
            <v>0.67912640217993103</v>
          </cell>
          <cell r="G93">
            <v>0.16628094456280978</v>
          </cell>
          <cell r="H93">
            <v>9.3878054478384015E-2</v>
          </cell>
          <cell r="I93">
            <v>3.6423370414347456E-2</v>
          </cell>
          <cell r="J93">
            <v>0</v>
          </cell>
          <cell r="K93">
            <v>2.3041272688794967E-2</v>
          </cell>
          <cell r="L93">
            <v>1.249955675732809E-3</v>
          </cell>
          <cell r="M93">
            <v>0</v>
          </cell>
          <cell r="N93">
            <v>0</v>
          </cell>
          <cell r="O93">
            <v>1</v>
          </cell>
        </row>
        <row r="94">
          <cell r="A94" t="str">
            <v>F136</v>
          </cell>
          <cell r="B94" t="str">
            <v>Account 902 + 903 + 904</v>
          </cell>
          <cell r="F94">
            <v>0.82504536546651941</v>
          </cell>
          <cell r="G94">
            <v>0.10764256755620748</v>
          </cell>
          <cell r="H94">
            <v>2.2098958763555863E-2</v>
          </cell>
          <cell r="I94">
            <v>7.7152701223128948E-3</v>
          </cell>
          <cell r="J94">
            <v>6.4828248091378902E-3</v>
          </cell>
          <cell r="K94">
            <v>1.8996278559192458E-2</v>
          </cell>
          <cell r="L94">
            <v>1.2018734723073828E-2</v>
          </cell>
          <cell r="M94">
            <v>0</v>
          </cell>
          <cell r="N94">
            <v>0</v>
          </cell>
          <cell r="O94">
            <v>1</v>
          </cell>
        </row>
        <row r="95">
          <cell r="A95" t="str">
            <v>F137</v>
          </cell>
          <cell r="B95" t="str">
            <v>Total O &amp; M Expense</v>
          </cell>
          <cell r="F95">
            <v>0.44878660596338427</v>
          </cell>
          <cell r="G95">
            <v>0.13503228306973492</v>
          </cell>
          <cell r="H95">
            <v>0.20175389592317294</v>
          </cell>
          <cell r="I95">
            <v>7.9325799228161867E-2</v>
          </cell>
          <cell r="J95">
            <v>9.4893926908733439E-2</v>
          </cell>
          <cell r="K95">
            <v>3.6104701095798782E-2</v>
          </cell>
          <cell r="L95">
            <v>4.1027878110136574E-3</v>
          </cell>
          <cell r="M95">
            <v>0</v>
          </cell>
          <cell r="N95">
            <v>0</v>
          </cell>
          <cell r="O95">
            <v>1</v>
          </cell>
        </row>
        <row r="96">
          <cell r="A96" t="str">
            <v>F137G</v>
          </cell>
          <cell r="B96" t="str">
            <v>Generation O &amp; M Exp</v>
          </cell>
          <cell r="F96">
            <v>0.42416013959464954</v>
          </cell>
          <cell r="G96">
            <v>0.13498885395379023</v>
          </cell>
          <cell r="H96">
            <v>0.21389235284384081</v>
          </cell>
          <cell r="I96">
            <v>8.4510313706120721E-2</v>
          </cell>
          <cell r="J96">
            <v>0.10441893653272384</v>
          </cell>
          <cell r="K96">
            <v>3.562992287389101E-2</v>
          </cell>
          <cell r="L96">
            <v>2.399480494983721E-3</v>
          </cell>
          <cell r="M96">
            <v>0</v>
          </cell>
          <cell r="N96">
            <v>0</v>
          </cell>
          <cell r="O96">
            <v>1</v>
          </cell>
        </row>
        <row r="97">
          <cell r="A97" t="str">
            <v>F137T</v>
          </cell>
          <cell r="B97" t="str">
            <v>Transmission O &amp; M Exp</v>
          </cell>
          <cell r="F97">
            <v>0.42487629683170502</v>
          </cell>
          <cell r="G97">
            <v>0.13510657033397719</v>
          </cell>
          <cell r="H97">
            <v>0.21352457690907159</v>
          </cell>
          <cell r="I97">
            <v>8.4328619143296132E-2</v>
          </cell>
          <cell r="J97">
            <v>0.10403661371553211</v>
          </cell>
          <cell r="K97">
            <v>3.5674114252565066E-2</v>
          </cell>
          <cell r="L97">
            <v>2.4532088138529461E-3</v>
          </cell>
          <cell r="M97">
            <v>0</v>
          </cell>
          <cell r="N97">
            <v>0</v>
          </cell>
          <cell r="O97">
            <v>1</v>
          </cell>
        </row>
        <row r="98">
          <cell r="A98" t="str">
            <v>F137D</v>
          </cell>
          <cell r="B98" t="str">
            <v xml:space="preserve">Distribution O &amp; M Exp </v>
          </cell>
          <cell r="F98">
            <v>0.56253380723623592</v>
          </cell>
          <cell r="G98">
            <v>0.14738630667514954</v>
          </cell>
          <cell r="H98">
            <v>0.14469183107188208</v>
          </cell>
          <cell r="I98">
            <v>5.2537406730043798E-2</v>
          </cell>
          <cell r="J98">
            <v>2.1119245862861031E-2</v>
          </cell>
          <cell r="K98">
            <v>5.0369334487968528E-2</v>
          </cell>
          <cell r="L98">
            <v>2.1362067935859458E-2</v>
          </cell>
          <cell r="M98">
            <v>0</v>
          </cell>
          <cell r="N98">
            <v>0</v>
          </cell>
          <cell r="O98">
            <v>1</v>
          </cell>
        </row>
        <row r="99">
          <cell r="A99" t="str">
            <v>F137R</v>
          </cell>
          <cell r="B99" t="str">
            <v>Retail O &amp; M Exp  (Customer)</v>
          </cell>
          <cell r="F99">
            <v>0.81926722901273963</v>
          </cell>
          <cell r="G99">
            <v>0.11144577904712072</v>
          </cell>
          <cell r="H99">
            <v>2.1359398676464129E-2</v>
          </cell>
          <cell r="I99">
            <v>7.2370119224949795E-3</v>
          </cell>
          <cell r="J99">
            <v>6.1109065905392678E-3</v>
          </cell>
          <cell r="K99">
            <v>2.136414412626347E-2</v>
          </cell>
          <cell r="L99">
            <v>1.3215530624377881E-2</v>
          </cell>
          <cell r="M99">
            <v>0</v>
          </cell>
          <cell r="N99">
            <v>0</v>
          </cell>
          <cell r="O99">
            <v>1</v>
          </cell>
        </row>
        <row r="100">
          <cell r="A100" t="str">
            <v>F137M</v>
          </cell>
          <cell r="B100" t="str">
            <v xml:space="preserve">Misc &amp; Customer O &amp; M Exp </v>
          </cell>
          <cell r="F100">
            <v>0.44300119277721833</v>
          </cell>
          <cell r="G100">
            <v>0.14948111576616038</v>
          </cell>
          <cell r="H100">
            <v>0.20237668529834696</v>
          </cell>
          <cell r="I100">
            <v>7.60443764071419E-2</v>
          </cell>
          <cell r="J100">
            <v>8.2490094379798484E-2</v>
          </cell>
          <cell r="K100">
            <v>4.1103443680509312E-2</v>
          </cell>
          <cell r="L100">
            <v>5.5030916908246769E-3</v>
          </cell>
          <cell r="M100">
            <v>0</v>
          </cell>
          <cell r="N100">
            <v>0</v>
          </cell>
          <cell r="O100">
            <v>1</v>
          </cell>
        </row>
        <row r="101">
          <cell r="A101" t="str">
            <v>F138</v>
          </cell>
          <cell r="B101" t="str">
            <v>GTD O&amp;M Exp  (less fuel, purchased p &amp; wheeling)</v>
          </cell>
          <cell r="F101">
            <v>0.44790161447788868</v>
          </cell>
          <cell r="G101">
            <v>0.13472000615747398</v>
          </cell>
          <cell r="H101">
            <v>0.20210870418152285</v>
          </cell>
          <cell r="I101">
            <v>7.9561134937925243E-2</v>
          </cell>
          <cell r="J101">
            <v>9.5761453763161281E-2</v>
          </cell>
          <cell r="K101">
            <v>3.5925058542554338E-2</v>
          </cell>
          <cell r="L101">
            <v>4.0220279394736491E-3</v>
          </cell>
          <cell r="M101">
            <v>0</v>
          </cell>
          <cell r="N101">
            <v>0</v>
          </cell>
          <cell r="O101">
            <v>1</v>
          </cell>
        </row>
        <row r="102">
          <cell r="A102" t="str">
            <v>F138G</v>
          </cell>
          <cell r="B102" t="str">
            <v xml:space="preserve">Generation O &amp; M Exp (less fuel &amp; purchased power) </v>
          </cell>
          <cell r="F102">
            <v>0.42427502206463619</v>
          </cell>
          <cell r="G102">
            <v>0.13495083866985855</v>
          </cell>
          <cell r="H102">
            <v>0.21381795330374381</v>
          </cell>
          <cell r="I102">
            <v>8.4492543233334147E-2</v>
          </cell>
          <cell r="J102">
            <v>0.10446451143427474</v>
          </cell>
          <cell r="K102">
            <v>3.5600085140002832E-2</v>
          </cell>
          <cell r="L102">
            <v>2.3990461541496667E-3</v>
          </cell>
          <cell r="M102">
            <v>0</v>
          </cell>
          <cell r="N102">
            <v>0</v>
          </cell>
          <cell r="O102">
            <v>1</v>
          </cell>
        </row>
        <row r="103">
          <cell r="A103" t="str">
            <v>F138T</v>
          </cell>
          <cell r="B103" t="str">
            <v>Transmission O &amp; M Exp - (less wheeling exp)</v>
          </cell>
          <cell r="F103">
            <v>0.42427502206463619</v>
          </cell>
          <cell r="G103">
            <v>0.1349508386698586</v>
          </cell>
          <cell r="H103">
            <v>0.21381795330374387</v>
          </cell>
          <cell r="I103">
            <v>8.4492543233334175E-2</v>
          </cell>
          <cell r="J103">
            <v>0.10446451143427472</v>
          </cell>
          <cell r="K103">
            <v>3.5600085140002825E-2</v>
          </cell>
          <cell r="L103">
            <v>2.3990461541496667E-3</v>
          </cell>
          <cell r="M103">
            <v>0</v>
          </cell>
          <cell r="N103">
            <v>0</v>
          </cell>
          <cell r="O103">
            <v>1</v>
          </cell>
        </row>
        <row r="104">
          <cell r="A104" t="str">
            <v>F138D</v>
          </cell>
          <cell r="B104" t="str">
            <v xml:space="preserve">Distribution O &amp; M Exp </v>
          </cell>
          <cell r="F104">
            <v>0.56340055257381316</v>
          </cell>
          <cell r="G104">
            <v>0.14746860416093849</v>
          </cell>
          <cell r="H104">
            <v>0.14254337870417785</v>
          </cell>
          <cell r="I104">
            <v>5.1792195722871325E-2</v>
          </cell>
          <cell r="J104">
            <v>1.9942506834469159E-2</v>
          </cell>
          <cell r="K104">
            <v>5.1390436668394289E-2</v>
          </cell>
          <cell r="L104">
            <v>2.3462325335336091E-2</v>
          </cell>
          <cell r="M104">
            <v>0</v>
          </cell>
          <cell r="N104">
            <v>0</v>
          </cell>
          <cell r="O104">
            <v>1</v>
          </cell>
        </row>
        <row r="105">
          <cell r="A105" t="str">
            <v>F138R</v>
          </cell>
          <cell r="B105" t="str">
            <v>Retail O &amp; M Exp  (Customer)</v>
          </cell>
          <cell r="F105">
            <v>0.82095816989751813</v>
          </cell>
          <cell r="G105">
            <v>0.11129521994396521</v>
          </cell>
          <cell r="H105">
            <v>2.0536578337807795E-2</v>
          </cell>
          <cell r="I105">
            <v>6.9150070894145425E-3</v>
          </cell>
          <cell r="J105">
            <v>5.7708071739387638E-3</v>
          </cell>
          <cell r="K105">
            <v>2.1276681483051754E-2</v>
          </cell>
          <cell r="L105">
            <v>1.3247536074303859E-2</v>
          </cell>
          <cell r="M105">
            <v>0</v>
          </cell>
          <cell r="N105">
            <v>0</v>
          </cell>
          <cell r="O105">
            <v>1</v>
          </cell>
        </row>
        <row r="106">
          <cell r="A106" t="str">
            <v>F138M</v>
          </cell>
          <cell r="B106" t="str">
            <v xml:space="preserve">Misc &amp; Customer O &amp; M Exp 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O106">
            <v>1</v>
          </cell>
        </row>
        <row r="107">
          <cell r="A107" t="str">
            <v>F140</v>
          </cell>
          <cell r="B107" t="str">
            <v>Revenue Requirement Before Rev Credits</v>
          </cell>
          <cell r="F107">
            <v>0.45726871152802934</v>
          </cell>
          <cell r="G107">
            <v>0.13638207169047195</v>
          </cell>
          <cell r="H107">
            <v>0.19840771714372615</v>
          </cell>
          <cell r="I107">
            <v>7.7502634244180635E-2</v>
          </cell>
          <cell r="J107">
            <v>8.8911607683716823E-2</v>
          </cell>
          <cell r="K107">
            <v>3.7005511027669212E-2</v>
          </cell>
          <cell r="L107">
            <v>4.5217466822057304E-3</v>
          </cell>
          <cell r="M107">
            <v>0</v>
          </cell>
          <cell r="N107">
            <v>0</v>
          </cell>
          <cell r="O107">
            <v>1</v>
          </cell>
        </row>
        <row r="108">
          <cell r="A108" t="str">
            <v>F140G</v>
          </cell>
          <cell r="B108" t="str">
            <v>Revenue Requirement Before Rev Credits</v>
          </cell>
          <cell r="F108">
            <v>0.42417065804737625</v>
          </cell>
          <cell r="G108">
            <v>0.1349804743946672</v>
          </cell>
          <cell r="H108">
            <v>0.21388546403425476</v>
          </cell>
          <cell r="I108">
            <v>8.4510023176866428E-2</v>
          </cell>
          <cell r="J108">
            <v>0.10442989382437029</v>
          </cell>
          <cell r="K108">
            <v>3.562479406213765E-2</v>
          </cell>
          <cell r="L108">
            <v>2.3986924603272525E-3</v>
          </cell>
          <cell r="M108">
            <v>0</v>
          </cell>
          <cell r="N108">
            <v>0</v>
          </cell>
          <cell r="O108">
            <v>1</v>
          </cell>
        </row>
        <row r="109">
          <cell r="A109" t="str">
            <v>F140T</v>
          </cell>
          <cell r="B109" t="str">
            <v>Revenue Requirement Before Rev Credits</v>
          </cell>
          <cell r="F109">
            <v>0.42461572477550452</v>
          </cell>
          <cell r="G109">
            <v>0.13506082954583543</v>
          </cell>
          <cell r="H109">
            <v>0.21364219196546522</v>
          </cell>
          <cell r="I109">
            <v>8.4393979443245004E-2</v>
          </cell>
          <cell r="J109">
            <v>0.1042110615225479</v>
          </cell>
          <cell r="K109">
            <v>3.5645359014244399E-2</v>
          </cell>
          <cell r="L109">
            <v>2.4308537331576428E-3</v>
          </cell>
          <cell r="M109">
            <v>0</v>
          </cell>
          <cell r="N109">
            <v>0</v>
          </cell>
          <cell r="O109">
            <v>1</v>
          </cell>
        </row>
        <row r="110">
          <cell r="A110" t="str">
            <v>F140D</v>
          </cell>
          <cell r="B110" t="str">
            <v>Revenue Requirement Before Rev Credits</v>
          </cell>
          <cell r="F110">
            <v>0.58447761307691393</v>
          </cell>
          <cell r="G110">
            <v>0.14948657220951392</v>
          </cell>
          <cell r="H110">
            <v>0.14054329720903647</v>
          </cell>
          <cell r="I110">
            <v>4.9497217681511517E-2</v>
          </cell>
          <cell r="J110">
            <v>1.1768006866230007E-2</v>
          </cell>
          <cell r="K110">
            <v>4.8493683725444603E-2</v>
          </cell>
          <cell r="L110">
            <v>1.5733609231349633E-2</v>
          </cell>
          <cell r="M110">
            <v>0</v>
          </cell>
          <cell r="N110">
            <v>0</v>
          </cell>
          <cell r="O110">
            <v>1</v>
          </cell>
        </row>
        <row r="111">
          <cell r="A111" t="str">
            <v>F140R</v>
          </cell>
          <cell r="B111" t="str">
            <v>Revenue Requirement Before Rev Credits</v>
          </cell>
          <cell r="F111">
            <v>0.82106463438304766</v>
          </cell>
          <cell r="G111">
            <v>0.11153239256428928</v>
          </cell>
          <cell r="H111">
            <v>2.112797599309368E-2</v>
          </cell>
          <cell r="I111">
            <v>6.6313297148707937E-3</v>
          </cell>
          <cell r="J111">
            <v>5.5659201769461932E-3</v>
          </cell>
          <cell r="K111">
            <v>2.1370503890045044E-2</v>
          </cell>
          <cell r="L111">
            <v>1.2707243277707449E-2</v>
          </cell>
          <cell r="M111">
            <v>0</v>
          </cell>
          <cell r="N111">
            <v>0</v>
          </cell>
          <cell r="O111">
            <v>1</v>
          </cell>
        </row>
        <row r="112">
          <cell r="A112" t="str">
            <v>F140M</v>
          </cell>
          <cell r="B112" t="str">
            <v>Revenue Requirement Before Rev Credits</v>
          </cell>
          <cell r="F112">
            <v>0.44123826514450487</v>
          </cell>
          <cell r="G112">
            <v>0.14811319984799337</v>
          </cell>
          <cell r="H112">
            <v>0.20345379432557811</v>
          </cell>
          <cell r="I112">
            <v>7.6839707549437877E-2</v>
          </cell>
          <cell r="J112">
            <v>8.4558819888750331E-2</v>
          </cell>
          <cell r="K112">
            <v>4.0585344011724943E-2</v>
          </cell>
          <cell r="L112">
            <v>5.2108692320104776E-3</v>
          </cell>
          <cell r="M112">
            <v>0</v>
          </cell>
          <cell r="N112">
            <v>0</v>
          </cell>
          <cell r="O112">
            <v>1</v>
          </cell>
        </row>
        <row r="113">
          <cell r="A113" t="str">
            <v>F141</v>
          </cell>
          <cell r="B113" t="str">
            <v>Firm Revenues</v>
          </cell>
          <cell r="F113">
            <v>0.44300119277721833</v>
          </cell>
          <cell r="G113">
            <v>0.14948111576616038</v>
          </cell>
          <cell r="H113">
            <v>0.20237668529834696</v>
          </cell>
          <cell r="I113">
            <v>7.60443764071419E-2</v>
          </cell>
          <cell r="J113">
            <v>8.2490094379798498E-2</v>
          </cell>
          <cell r="K113">
            <v>4.1103443680509312E-2</v>
          </cell>
          <cell r="L113">
            <v>5.5030916908246769E-3</v>
          </cell>
          <cell r="M113">
            <v>0</v>
          </cell>
          <cell r="N113">
            <v>0</v>
          </cell>
          <cell r="O113">
            <v>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Report"/>
      <sheetName val="AdjSummary"/>
      <sheetName val="Factors"/>
      <sheetName val="Help"/>
      <sheetName val="UnadjData "/>
      <sheetName val="Extract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MONTANA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UTAH</v>
          </cell>
          <cell r="AL15">
            <v>6</v>
          </cell>
        </row>
        <row r="42">
          <cell r="AK42" t="str">
            <v>Account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182</v>
          </cell>
        </row>
        <row r="55">
          <cell r="AK55">
            <v>190</v>
          </cell>
        </row>
        <row r="56">
          <cell r="AK56">
            <v>228</v>
          </cell>
        </row>
        <row r="57">
          <cell r="AK57">
            <v>235</v>
          </cell>
        </row>
        <row r="58">
          <cell r="AK58">
            <v>252</v>
          </cell>
        </row>
        <row r="59">
          <cell r="AK59">
            <v>255</v>
          </cell>
        </row>
        <row r="60">
          <cell r="AK60">
            <v>281</v>
          </cell>
        </row>
        <row r="61">
          <cell r="AK61">
            <v>282</v>
          </cell>
        </row>
        <row r="62">
          <cell r="AK62">
            <v>283</v>
          </cell>
        </row>
        <row r="63">
          <cell r="AK63">
            <v>301</v>
          </cell>
        </row>
        <row r="64">
          <cell r="AK64">
            <v>302</v>
          </cell>
        </row>
        <row r="65">
          <cell r="AK65">
            <v>303</v>
          </cell>
        </row>
        <row r="66">
          <cell r="AK66">
            <v>303</v>
          </cell>
        </row>
        <row r="67">
          <cell r="AK67">
            <v>310</v>
          </cell>
        </row>
        <row r="68">
          <cell r="AK68">
            <v>311</v>
          </cell>
        </row>
        <row r="69">
          <cell r="AK69">
            <v>312</v>
          </cell>
        </row>
        <row r="70">
          <cell r="AK70">
            <v>314</v>
          </cell>
        </row>
        <row r="71">
          <cell r="AK71">
            <v>315</v>
          </cell>
        </row>
        <row r="72">
          <cell r="AK72">
            <v>316</v>
          </cell>
        </row>
        <row r="73">
          <cell r="AK73">
            <v>320</v>
          </cell>
        </row>
        <row r="74">
          <cell r="AK74">
            <v>321</v>
          </cell>
        </row>
        <row r="75">
          <cell r="AK75">
            <v>322</v>
          </cell>
        </row>
        <row r="76">
          <cell r="AK76">
            <v>323</v>
          </cell>
        </row>
        <row r="77">
          <cell r="AK77">
            <v>324</v>
          </cell>
        </row>
        <row r="78">
          <cell r="AK78">
            <v>325</v>
          </cell>
        </row>
        <row r="79">
          <cell r="AK79">
            <v>330</v>
          </cell>
        </row>
        <row r="80">
          <cell r="AK80">
            <v>331</v>
          </cell>
        </row>
        <row r="81">
          <cell r="AK81">
            <v>332</v>
          </cell>
        </row>
        <row r="82">
          <cell r="AK82">
            <v>333</v>
          </cell>
        </row>
        <row r="83">
          <cell r="AK83">
            <v>334</v>
          </cell>
        </row>
        <row r="84">
          <cell r="AK84">
            <v>335</v>
          </cell>
        </row>
        <row r="85">
          <cell r="AK85">
            <v>336</v>
          </cell>
        </row>
        <row r="86">
          <cell r="AK86">
            <v>340</v>
          </cell>
        </row>
        <row r="87">
          <cell r="AK87">
            <v>341</v>
          </cell>
        </row>
        <row r="88">
          <cell r="AK88">
            <v>342</v>
          </cell>
        </row>
        <row r="89">
          <cell r="AK89">
            <v>343</v>
          </cell>
        </row>
        <row r="90">
          <cell r="AK90">
            <v>344</v>
          </cell>
        </row>
        <row r="91">
          <cell r="AK91">
            <v>345</v>
          </cell>
        </row>
        <row r="92">
          <cell r="AK92">
            <v>346</v>
          </cell>
        </row>
        <row r="93">
          <cell r="AK93">
            <v>350</v>
          </cell>
        </row>
        <row r="94">
          <cell r="AK94">
            <v>352</v>
          </cell>
        </row>
        <row r="95">
          <cell r="AK95">
            <v>353</v>
          </cell>
        </row>
        <row r="96">
          <cell r="AK96">
            <v>354</v>
          </cell>
        </row>
        <row r="97">
          <cell r="AK97">
            <v>355</v>
          </cell>
        </row>
        <row r="98">
          <cell r="AK98">
            <v>356</v>
          </cell>
        </row>
        <row r="99">
          <cell r="AK99">
            <v>357</v>
          </cell>
        </row>
        <row r="100">
          <cell r="AK100">
            <v>358</v>
          </cell>
        </row>
        <row r="101">
          <cell r="AK101">
            <v>359</v>
          </cell>
        </row>
        <row r="102">
          <cell r="AK102">
            <v>360</v>
          </cell>
        </row>
        <row r="103">
          <cell r="AK103">
            <v>361</v>
          </cell>
        </row>
        <row r="104">
          <cell r="AK104">
            <v>362</v>
          </cell>
        </row>
        <row r="105">
          <cell r="AK105">
            <v>364</v>
          </cell>
        </row>
        <row r="106">
          <cell r="AK106">
            <v>365</v>
          </cell>
        </row>
        <row r="107">
          <cell r="AK107">
            <v>366</v>
          </cell>
        </row>
        <row r="108">
          <cell r="AK108">
            <v>367</v>
          </cell>
        </row>
        <row r="109">
          <cell r="AK109">
            <v>368</v>
          </cell>
        </row>
        <row r="110">
          <cell r="AK110">
            <v>369</v>
          </cell>
        </row>
        <row r="111">
          <cell r="AK111">
            <v>370</v>
          </cell>
        </row>
        <row r="112">
          <cell r="AK112">
            <v>371</v>
          </cell>
        </row>
        <row r="113">
          <cell r="AK113">
            <v>372</v>
          </cell>
        </row>
        <row r="114">
          <cell r="AK114">
            <v>373</v>
          </cell>
        </row>
        <row r="115">
          <cell r="AK115">
            <v>389</v>
          </cell>
        </row>
        <row r="116">
          <cell r="AK116">
            <v>390</v>
          </cell>
        </row>
        <row r="117">
          <cell r="AK117">
            <v>391</v>
          </cell>
        </row>
        <row r="118">
          <cell r="AK118">
            <v>392</v>
          </cell>
        </row>
        <row r="119">
          <cell r="AK119">
            <v>393</v>
          </cell>
        </row>
        <row r="120">
          <cell r="AK120">
            <v>394</v>
          </cell>
        </row>
        <row r="121">
          <cell r="AK121">
            <v>395</v>
          </cell>
        </row>
        <row r="122">
          <cell r="AK122">
            <v>396</v>
          </cell>
        </row>
        <row r="123">
          <cell r="AK123">
            <v>397</v>
          </cell>
        </row>
        <row r="124">
          <cell r="AK124">
            <v>398</v>
          </cell>
        </row>
        <row r="125">
          <cell r="AK125">
            <v>399</v>
          </cell>
        </row>
        <row r="126">
          <cell r="AK126">
            <v>405</v>
          </cell>
        </row>
        <row r="127">
          <cell r="AK127">
            <v>406</v>
          </cell>
        </row>
        <row r="128">
          <cell r="AK128">
            <v>407</v>
          </cell>
        </row>
        <row r="129">
          <cell r="AK129">
            <v>408</v>
          </cell>
        </row>
        <row r="130">
          <cell r="AK130">
            <v>419</v>
          </cell>
        </row>
        <row r="131">
          <cell r="AK131">
            <v>421</v>
          </cell>
        </row>
        <row r="132">
          <cell r="AK132">
            <v>427</v>
          </cell>
        </row>
        <row r="133">
          <cell r="AK133">
            <v>428</v>
          </cell>
        </row>
        <row r="134">
          <cell r="AK134">
            <v>429</v>
          </cell>
        </row>
        <row r="135">
          <cell r="AK135">
            <v>431</v>
          </cell>
        </row>
        <row r="136">
          <cell r="AK136">
            <v>432</v>
          </cell>
        </row>
        <row r="137">
          <cell r="AK137">
            <v>440</v>
          </cell>
        </row>
        <row r="138">
          <cell r="AK138">
            <v>442</v>
          </cell>
        </row>
        <row r="139">
          <cell r="AK139">
            <v>444</v>
          </cell>
        </row>
        <row r="140">
          <cell r="AK140">
            <v>445</v>
          </cell>
        </row>
        <row r="141">
          <cell r="AK141">
            <v>447</v>
          </cell>
        </row>
        <row r="142">
          <cell r="AK142">
            <v>448</v>
          </cell>
        </row>
        <row r="143">
          <cell r="AK143">
            <v>449</v>
          </cell>
        </row>
        <row r="144">
          <cell r="AK144">
            <v>450</v>
          </cell>
        </row>
        <row r="145">
          <cell r="AK145">
            <v>451</v>
          </cell>
        </row>
        <row r="146">
          <cell r="AK146">
            <v>453</v>
          </cell>
        </row>
        <row r="147">
          <cell r="AK147">
            <v>454</v>
          </cell>
        </row>
        <row r="148">
          <cell r="AK148">
            <v>456</v>
          </cell>
        </row>
        <row r="149">
          <cell r="AK149">
            <v>500</v>
          </cell>
        </row>
        <row r="150">
          <cell r="AK150">
            <v>501</v>
          </cell>
        </row>
        <row r="151">
          <cell r="AK151">
            <v>502</v>
          </cell>
        </row>
        <row r="152">
          <cell r="AK152">
            <v>503</v>
          </cell>
        </row>
        <row r="153">
          <cell r="AK153">
            <v>505</v>
          </cell>
        </row>
        <row r="154">
          <cell r="AK154">
            <v>506</v>
          </cell>
        </row>
        <row r="155">
          <cell r="AK155">
            <v>507</v>
          </cell>
        </row>
        <row r="156">
          <cell r="AK156">
            <v>510</v>
          </cell>
        </row>
        <row r="157">
          <cell r="AK157">
            <v>511</v>
          </cell>
        </row>
        <row r="158">
          <cell r="AK158">
            <v>512</v>
          </cell>
        </row>
        <row r="159">
          <cell r="AK159">
            <v>513</v>
          </cell>
        </row>
        <row r="160">
          <cell r="AK160">
            <v>514</v>
          </cell>
        </row>
        <row r="161">
          <cell r="AK161">
            <v>517</v>
          </cell>
        </row>
        <row r="162">
          <cell r="AK162">
            <v>518</v>
          </cell>
        </row>
        <row r="163">
          <cell r="AK163">
            <v>519</v>
          </cell>
        </row>
        <row r="164">
          <cell r="AK164">
            <v>520</v>
          </cell>
        </row>
        <row r="165">
          <cell r="AK165">
            <v>523</v>
          </cell>
        </row>
        <row r="166">
          <cell r="AK166">
            <v>524</v>
          </cell>
        </row>
        <row r="167">
          <cell r="AK167">
            <v>528</v>
          </cell>
        </row>
        <row r="168">
          <cell r="AK168">
            <v>529</v>
          </cell>
        </row>
        <row r="169">
          <cell r="AK169">
            <v>530</v>
          </cell>
        </row>
        <row r="170">
          <cell r="AK170">
            <v>531</v>
          </cell>
        </row>
        <row r="171">
          <cell r="AK171">
            <v>532</v>
          </cell>
        </row>
        <row r="172">
          <cell r="AK172">
            <v>535</v>
          </cell>
        </row>
        <row r="173">
          <cell r="AK173">
            <v>536</v>
          </cell>
        </row>
        <row r="174">
          <cell r="AK174">
            <v>537</v>
          </cell>
        </row>
        <row r="175">
          <cell r="AK175">
            <v>538</v>
          </cell>
        </row>
        <row r="176">
          <cell r="AK176">
            <v>539</v>
          </cell>
        </row>
        <row r="177">
          <cell r="AK177">
            <v>540</v>
          </cell>
        </row>
        <row r="178">
          <cell r="AK178">
            <v>541</v>
          </cell>
        </row>
        <row r="179">
          <cell r="AK179">
            <v>542</v>
          </cell>
        </row>
        <row r="180">
          <cell r="AK180">
            <v>543</v>
          </cell>
        </row>
        <row r="181">
          <cell r="AK181">
            <v>544</v>
          </cell>
        </row>
        <row r="182">
          <cell r="AK182">
            <v>545</v>
          </cell>
        </row>
        <row r="183">
          <cell r="AK183">
            <v>546</v>
          </cell>
        </row>
        <row r="184">
          <cell r="AK184">
            <v>547</v>
          </cell>
        </row>
        <row r="185">
          <cell r="AK185">
            <v>548</v>
          </cell>
        </row>
        <row r="186">
          <cell r="AK186">
            <v>549</v>
          </cell>
        </row>
        <row r="187">
          <cell r="AK187">
            <v>551</v>
          </cell>
        </row>
        <row r="188">
          <cell r="AK188">
            <v>552</v>
          </cell>
        </row>
        <row r="189">
          <cell r="AK189">
            <v>553</v>
          </cell>
        </row>
        <row r="190">
          <cell r="AK190">
            <v>554</v>
          </cell>
        </row>
        <row r="191">
          <cell r="AK191">
            <v>555</v>
          </cell>
        </row>
        <row r="192">
          <cell r="AK192">
            <v>556</v>
          </cell>
        </row>
        <row r="193">
          <cell r="AK193">
            <v>557</v>
          </cell>
        </row>
        <row r="194">
          <cell r="AK194">
            <v>560</v>
          </cell>
        </row>
        <row r="195">
          <cell r="AK195">
            <v>561</v>
          </cell>
        </row>
        <row r="196">
          <cell r="AK196">
            <v>562</v>
          </cell>
        </row>
        <row r="197">
          <cell r="AK197">
            <v>563</v>
          </cell>
        </row>
        <row r="198">
          <cell r="AK198">
            <v>564</v>
          </cell>
        </row>
        <row r="199">
          <cell r="AK199">
            <v>565</v>
          </cell>
        </row>
        <row r="200">
          <cell r="AK200">
            <v>566</v>
          </cell>
        </row>
        <row r="201">
          <cell r="AK201">
            <v>567</v>
          </cell>
        </row>
        <row r="202">
          <cell r="AK202">
            <v>568</v>
          </cell>
        </row>
        <row r="203">
          <cell r="AK203">
            <v>569</v>
          </cell>
        </row>
        <row r="204">
          <cell r="AK204">
            <v>570</v>
          </cell>
        </row>
        <row r="205">
          <cell r="AK205">
            <v>571</v>
          </cell>
        </row>
        <row r="206">
          <cell r="AK206">
            <v>572</v>
          </cell>
        </row>
        <row r="207">
          <cell r="AK207">
            <v>573</v>
          </cell>
        </row>
        <row r="208">
          <cell r="AK208">
            <v>580</v>
          </cell>
        </row>
        <row r="209">
          <cell r="AK209">
            <v>581</v>
          </cell>
        </row>
        <row r="210">
          <cell r="AK210">
            <v>582</v>
          </cell>
        </row>
        <row r="211">
          <cell r="AK211">
            <v>583</v>
          </cell>
        </row>
        <row r="212">
          <cell r="AK212">
            <v>584</v>
          </cell>
        </row>
        <row r="213">
          <cell r="AK213">
            <v>585</v>
          </cell>
        </row>
        <row r="214">
          <cell r="AK214">
            <v>586</v>
          </cell>
        </row>
        <row r="215">
          <cell r="AK215">
            <v>587</v>
          </cell>
        </row>
        <row r="216">
          <cell r="AK216">
            <v>588</v>
          </cell>
        </row>
        <row r="217">
          <cell r="AK217">
            <v>589</v>
          </cell>
        </row>
        <row r="218">
          <cell r="AK218">
            <v>590</v>
          </cell>
        </row>
        <row r="219">
          <cell r="AK219">
            <v>591</v>
          </cell>
        </row>
        <row r="220">
          <cell r="AK220">
            <v>592</v>
          </cell>
        </row>
        <row r="221">
          <cell r="AK221">
            <v>593</v>
          </cell>
        </row>
        <row r="222">
          <cell r="AK222">
            <v>594</v>
          </cell>
        </row>
        <row r="223">
          <cell r="AK223">
            <v>595</v>
          </cell>
        </row>
        <row r="224">
          <cell r="AK224">
            <v>596</v>
          </cell>
        </row>
        <row r="225">
          <cell r="AK225">
            <v>597</v>
          </cell>
        </row>
        <row r="226">
          <cell r="AK226">
            <v>598</v>
          </cell>
        </row>
        <row r="227">
          <cell r="AK227">
            <v>901</v>
          </cell>
        </row>
        <row r="228">
          <cell r="AK228">
            <v>902</v>
          </cell>
        </row>
        <row r="229">
          <cell r="AK229">
            <v>903</v>
          </cell>
        </row>
        <row r="230">
          <cell r="AK230">
            <v>904</v>
          </cell>
        </row>
        <row r="231">
          <cell r="AK231">
            <v>905</v>
          </cell>
        </row>
        <row r="232">
          <cell r="AK232">
            <v>907</v>
          </cell>
        </row>
        <row r="233">
          <cell r="AK233">
            <v>908</v>
          </cell>
        </row>
        <row r="234">
          <cell r="AK234">
            <v>909</v>
          </cell>
        </row>
        <row r="235">
          <cell r="AK235">
            <v>910</v>
          </cell>
        </row>
        <row r="236">
          <cell r="AK236">
            <v>911</v>
          </cell>
        </row>
        <row r="237">
          <cell r="AK237">
            <v>912</v>
          </cell>
        </row>
        <row r="238">
          <cell r="AK238">
            <v>913</v>
          </cell>
        </row>
        <row r="239">
          <cell r="AK239">
            <v>916</v>
          </cell>
        </row>
        <row r="240">
          <cell r="AK240">
            <v>920</v>
          </cell>
        </row>
        <row r="241">
          <cell r="AK241">
            <v>921</v>
          </cell>
        </row>
        <row r="242">
          <cell r="AK242">
            <v>922</v>
          </cell>
        </row>
        <row r="243">
          <cell r="AK243">
            <v>923</v>
          </cell>
        </row>
        <row r="244">
          <cell r="AK244">
            <v>924</v>
          </cell>
        </row>
        <row r="245">
          <cell r="AK245">
            <v>925</v>
          </cell>
        </row>
        <row r="246">
          <cell r="AK246">
            <v>926</v>
          </cell>
        </row>
        <row r="247">
          <cell r="AK247">
            <v>927</v>
          </cell>
        </row>
        <row r="248">
          <cell r="AK248">
            <v>928</v>
          </cell>
        </row>
        <row r="249">
          <cell r="AK249">
            <v>929</v>
          </cell>
        </row>
        <row r="250">
          <cell r="AK250">
            <v>930</v>
          </cell>
        </row>
        <row r="251">
          <cell r="AK251">
            <v>931</v>
          </cell>
        </row>
        <row r="252">
          <cell r="AK252">
            <v>935</v>
          </cell>
        </row>
        <row r="253">
          <cell r="AK253">
            <v>1869</v>
          </cell>
        </row>
        <row r="254">
          <cell r="AK254">
            <v>2281</v>
          </cell>
        </row>
        <row r="255">
          <cell r="AK255">
            <v>2282</v>
          </cell>
        </row>
        <row r="256">
          <cell r="AK256">
            <v>2283</v>
          </cell>
        </row>
        <row r="257">
          <cell r="AK257">
            <v>4118</v>
          </cell>
        </row>
        <row r="258">
          <cell r="AK258">
            <v>4194</v>
          </cell>
        </row>
        <row r="259">
          <cell r="AK259">
            <v>4311</v>
          </cell>
        </row>
        <row r="260">
          <cell r="AK260">
            <v>18221</v>
          </cell>
        </row>
        <row r="261">
          <cell r="AK261">
            <v>18222</v>
          </cell>
        </row>
        <row r="262">
          <cell r="AK262">
            <v>22842</v>
          </cell>
        </row>
        <row r="263">
          <cell r="AK263">
            <v>25316</v>
          </cell>
        </row>
        <row r="264">
          <cell r="AK264">
            <v>25317</v>
          </cell>
        </row>
        <row r="265">
          <cell r="AK265">
            <v>25318</v>
          </cell>
        </row>
        <row r="266">
          <cell r="AK266">
            <v>25319</v>
          </cell>
        </row>
        <row r="267">
          <cell r="AK267">
            <v>25399</v>
          </cell>
        </row>
        <row r="268">
          <cell r="AK268">
            <v>40910</v>
          </cell>
        </row>
        <row r="269">
          <cell r="AK269">
            <v>40911</v>
          </cell>
        </row>
        <row r="270">
          <cell r="AK270">
            <v>41010</v>
          </cell>
        </row>
        <row r="271">
          <cell r="AK271">
            <v>41011</v>
          </cell>
        </row>
        <row r="272">
          <cell r="AK272">
            <v>41110</v>
          </cell>
        </row>
        <row r="273">
          <cell r="AK273">
            <v>41111</v>
          </cell>
        </row>
        <row r="274">
          <cell r="AK274">
            <v>41140</v>
          </cell>
        </row>
        <row r="275">
          <cell r="AK275">
            <v>41141</v>
          </cell>
        </row>
        <row r="276">
          <cell r="AK276">
            <v>41160</v>
          </cell>
        </row>
        <row r="277">
          <cell r="AK277">
            <v>41170</v>
          </cell>
        </row>
        <row r="278">
          <cell r="AK278">
            <v>41181</v>
          </cell>
        </row>
        <row r="279">
          <cell r="AK279">
            <v>108360</v>
          </cell>
        </row>
        <row r="280">
          <cell r="AK280">
            <v>108361</v>
          </cell>
        </row>
        <row r="281">
          <cell r="AK281">
            <v>108362</v>
          </cell>
        </row>
        <row r="282">
          <cell r="AK282">
            <v>108364</v>
          </cell>
        </row>
        <row r="283">
          <cell r="AK283">
            <v>108365</v>
          </cell>
        </row>
        <row r="284">
          <cell r="AK284">
            <v>108366</v>
          </cell>
        </row>
        <row r="285">
          <cell r="AK285">
            <v>108367</v>
          </cell>
        </row>
        <row r="286">
          <cell r="AK286">
            <v>108368</v>
          </cell>
        </row>
        <row r="287">
          <cell r="AK287">
            <v>108369</v>
          </cell>
        </row>
        <row r="288">
          <cell r="AK288">
            <v>108370</v>
          </cell>
        </row>
        <row r="289">
          <cell r="AK289">
            <v>108371</v>
          </cell>
        </row>
        <row r="290">
          <cell r="AK290">
            <v>108372</v>
          </cell>
        </row>
        <row r="291">
          <cell r="AK291">
            <v>108373</v>
          </cell>
        </row>
        <row r="292">
          <cell r="AK292">
            <v>111399</v>
          </cell>
        </row>
        <row r="293">
          <cell r="AK293">
            <v>403360</v>
          </cell>
        </row>
        <row r="294">
          <cell r="AK294">
            <v>403361</v>
          </cell>
        </row>
        <row r="295">
          <cell r="AK295">
            <v>403362</v>
          </cell>
        </row>
        <row r="296">
          <cell r="AK296">
            <v>403364</v>
          </cell>
        </row>
        <row r="297">
          <cell r="AK297">
            <v>403365</v>
          </cell>
        </row>
        <row r="298">
          <cell r="AK298">
            <v>403366</v>
          </cell>
        </row>
        <row r="299">
          <cell r="AK299">
            <v>403367</v>
          </cell>
        </row>
        <row r="300">
          <cell r="AK300">
            <v>403368</v>
          </cell>
        </row>
        <row r="301">
          <cell r="AK301">
            <v>403369</v>
          </cell>
        </row>
        <row r="302">
          <cell r="AK302">
            <v>403370</v>
          </cell>
        </row>
        <row r="303">
          <cell r="AK303">
            <v>403371</v>
          </cell>
        </row>
        <row r="304">
          <cell r="AK304">
            <v>403372</v>
          </cell>
        </row>
        <row r="305">
          <cell r="AK305">
            <v>403373</v>
          </cell>
        </row>
        <row r="306">
          <cell r="AK306">
            <v>404330</v>
          </cell>
        </row>
        <row r="307">
          <cell r="AK307">
            <v>1081390</v>
          </cell>
        </row>
        <row r="308">
          <cell r="AK308">
            <v>1081399</v>
          </cell>
        </row>
        <row r="309">
          <cell r="AK309" t="str">
            <v>108D</v>
          </cell>
        </row>
        <row r="310">
          <cell r="AK310" t="str">
            <v>108D00</v>
          </cell>
        </row>
        <row r="311">
          <cell r="AK311" t="str">
            <v>108DS</v>
          </cell>
        </row>
        <row r="312">
          <cell r="AK312" t="str">
            <v>108EP</v>
          </cell>
        </row>
        <row r="313">
          <cell r="AK313" t="str">
            <v>108GP</v>
          </cell>
        </row>
        <row r="314">
          <cell r="AK314" t="str">
            <v>108HP</v>
          </cell>
        </row>
        <row r="315">
          <cell r="AK315" t="str">
            <v>108MP</v>
          </cell>
        </row>
        <row r="316">
          <cell r="AK316" t="str">
            <v>108MP</v>
          </cell>
        </row>
        <row r="317">
          <cell r="AK317" t="str">
            <v>108NP</v>
          </cell>
        </row>
        <row r="318">
          <cell r="AK318" t="str">
            <v>108OP</v>
          </cell>
        </row>
        <row r="319">
          <cell r="AK319" t="str">
            <v>108SP</v>
          </cell>
        </row>
        <row r="320">
          <cell r="AK320" t="str">
            <v>108TP</v>
          </cell>
        </row>
        <row r="321">
          <cell r="AK321" t="str">
            <v>111CLG</v>
          </cell>
        </row>
        <row r="322">
          <cell r="AK322" t="str">
            <v>111CLH</v>
          </cell>
        </row>
        <row r="323">
          <cell r="AK323" t="str">
            <v>111CLS</v>
          </cell>
        </row>
        <row r="324">
          <cell r="AK324" t="str">
            <v>111IP</v>
          </cell>
        </row>
        <row r="325">
          <cell r="AK325" t="str">
            <v>111IP</v>
          </cell>
        </row>
        <row r="326">
          <cell r="AK326" t="str">
            <v>182M</v>
          </cell>
        </row>
        <row r="327">
          <cell r="AK327" t="str">
            <v>186M</v>
          </cell>
        </row>
        <row r="328">
          <cell r="AK328" t="str">
            <v>390L</v>
          </cell>
        </row>
        <row r="329">
          <cell r="AK329" t="str">
            <v>392L</v>
          </cell>
        </row>
        <row r="330">
          <cell r="AK330" t="str">
            <v>399G</v>
          </cell>
        </row>
        <row r="331">
          <cell r="AK331" t="str">
            <v>399L</v>
          </cell>
        </row>
        <row r="332">
          <cell r="AK332" t="str">
            <v>403EP</v>
          </cell>
        </row>
        <row r="333">
          <cell r="AK333" t="str">
            <v>403GP</v>
          </cell>
        </row>
        <row r="334">
          <cell r="AK334" t="str">
            <v>403GV0</v>
          </cell>
        </row>
        <row r="335">
          <cell r="AK335" t="str">
            <v>403HP</v>
          </cell>
        </row>
        <row r="336">
          <cell r="AK336" t="str">
            <v>403MP</v>
          </cell>
        </row>
        <row r="337">
          <cell r="AK337" t="str">
            <v>403NP</v>
          </cell>
        </row>
        <row r="338">
          <cell r="AK338" t="str">
            <v>403OP</v>
          </cell>
        </row>
        <row r="339">
          <cell r="AK339" t="str">
            <v>403SP</v>
          </cell>
        </row>
        <row r="340">
          <cell r="AK340" t="str">
            <v>403TP</v>
          </cell>
        </row>
        <row r="341">
          <cell r="AK341" t="str">
            <v>404CLG</v>
          </cell>
        </row>
        <row r="342">
          <cell r="AK342" t="str">
            <v>404CLS</v>
          </cell>
        </row>
        <row r="343">
          <cell r="AK343" t="str">
            <v>404IP</v>
          </cell>
        </row>
        <row r="344">
          <cell r="AK344" t="str">
            <v>404M</v>
          </cell>
        </row>
        <row r="345">
          <cell r="AK345" t="str">
            <v>CWC</v>
          </cell>
        </row>
        <row r="346">
          <cell r="AK346" t="str">
            <v>D00</v>
          </cell>
        </row>
        <row r="347">
          <cell r="AK347" t="str">
            <v>DS0</v>
          </cell>
        </row>
        <row r="348">
          <cell r="AK348" t="str">
            <v>FITOTH</v>
          </cell>
        </row>
        <row r="349">
          <cell r="AK349" t="str">
            <v>FITPMI</v>
          </cell>
        </row>
        <row r="350">
          <cell r="AK350" t="str">
            <v>G00</v>
          </cell>
        </row>
        <row r="351">
          <cell r="AK351" t="str">
            <v>H00</v>
          </cell>
        </row>
        <row r="352">
          <cell r="AK352" t="str">
            <v>I00</v>
          </cell>
        </row>
        <row r="353">
          <cell r="AK353" t="str">
            <v>N00</v>
          </cell>
        </row>
        <row r="354">
          <cell r="AK354" t="str">
            <v>O00</v>
          </cell>
        </row>
        <row r="355">
          <cell r="AK355" t="str">
            <v>OWC131</v>
          </cell>
        </row>
        <row r="356">
          <cell r="AK356" t="str">
            <v>OWC135</v>
          </cell>
        </row>
        <row r="357">
          <cell r="AK357" t="str">
            <v>OWC143</v>
          </cell>
        </row>
        <row r="358">
          <cell r="AK358" t="str">
            <v>OWC232</v>
          </cell>
        </row>
        <row r="359">
          <cell r="AK359" t="str">
            <v>OWC25330</v>
          </cell>
        </row>
        <row r="360">
          <cell r="AK360" t="str">
            <v>DFA</v>
          </cell>
        </row>
        <row r="361">
          <cell r="AK361" t="str">
            <v>S00</v>
          </cell>
        </row>
        <row r="362">
          <cell r="AK362" t="str">
            <v>SCHMAF</v>
          </cell>
        </row>
        <row r="363">
          <cell r="AK363" t="str">
            <v>SCHMAP</v>
          </cell>
        </row>
        <row r="364">
          <cell r="AK364" t="str">
            <v>SCHMAT</v>
          </cell>
        </row>
        <row r="365">
          <cell r="AK365" t="str">
            <v>SCHMDF</v>
          </cell>
        </row>
        <row r="366">
          <cell r="AK366" t="str">
            <v>SCHMDP</v>
          </cell>
        </row>
        <row r="367">
          <cell r="AK367" t="str">
            <v>SCHMDT</v>
          </cell>
        </row>
        <row r="368">
          <cell r="AK368" t="str">
            <v>T00</v>
          </cell>
        </row>
        <row r="369">
          <cell r="AK369" t="str">
            <v>TS0</v>
          </cell>
        </row>
      </sheetData>
      <sheetData sheetId="11" refreshError="1"/>
      <sheetData sheetId="12" refreshError="1"/>
      <sheetData sheetId="13" refreshError="1"/>
      <sheetData sheetId="14" refreshError="1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MONTANA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INDEGO</v>
          </cell>
          <cell r="P3" t="str">
            <v>OTHER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MONTANA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INDEGO</v>
          </cell>
          <cell r="AG3" t="str">
            <v>OTHER</v>
          </cell>
        </row>
        <row r="4">
          <cell r="B4" t="str">
            <v>SG</v>
          </cell>
          <cell r="E4">
            <v>1.0000000000000002</v>
          </cell>
          <cell r="F4">
            <v>2.6279504915630095E-2</v>
          </cell>
          <cell r="G4">
            <v>0.33717881920133841</v>
          </cell>
          <cell r="H4">
            <v>9.831704306078197E-2</v>
          </cell>
          <cell r="I4">
            <v>0</v>
          </cell>
          <cell r="J4">
            <v>0.11425312055562384</v>
          </cell>
          <cell r="K4">
            <v>0.36297363404100813</v>
          </cell>
          <cell r="L4">
            <v>4.397854045954528E-2</v>
          </cell>
          <cell r="M4">
            <v>1.5217866586822837E-2</v>
          </cell>
          <cell r="N4">
            <v>1.8014711792495054E-3</v>
          </cell>
          <cell r="O4">
            <v>0</v>
          </cell>
          <cell r="P4">
            <v>0</v>
          </cell>
          <cell r="S4" t="str">
            <v>SG</v>
          </cell>
          <cell r="V4">
            <v>1.0000000000000002</v>
          </cell>
          <cell r="W4">
            <v>2.6279504915630095E-2</v>
          </cell>
          <cell r="X4">
            <v>0.33717881920133841</v>
          </cell>
          <cell r="Y4">
            <v>9.831704306078197E-2</v>
          </cell>
          <cell r="Z4">
            <v>0</v>
          </cell>
          <cell r="AA4">
            <v>0.11425312055562384</v>
          </cell>
          <cell r="AB4">
            <v>0.36297363404100813</v>
          </cell>
          <cell r="AC4">
            <v>4.397854045954528E-2</v>
          </cell>
          <cell r="AD4">
            <v>1.5217866586822837E-2</v>
          </cell>
          <cell r="AE4">
            <v>1.8014711792495054E-3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1.0000000000000002</v>
          </cell>
          <cell r="F5">
            <v>2.6279504915630095E-2</v>
          </cell>
          <cell r="G5">
            <v>0.33717881920133841</v>
          </cell>
          <cell r="H5">
            <v>9.831704306078197E-2</v>
          </cell>
          <cell r="I5">
            <v>0</v>
          </cell>
          <cell r="J5">
            <v>0.11425312055562384</v>
          </cell>
          <cell r="K5">
            <v>0.36297363404100813</v>
          </cell>
          <cell r="L5">
            <v>4.397854045954528E-2</v>
          </cell>
          <cell r="M5">
            <v>1.5217866586822837E-2</v>
          </cell>
          <cell r="N5">
            <v>1.8014711792495054E-3</v>
          </cell>
          <cell r="O5">
            <v>0</v>
          </cell>
          <cell r="P5">
            <v>0</v>
          </cell>
          <cell r="S5" t="str">
            <v>SG-P</v>
          </cell>
          <cell r="V5">
            <v>1.0000000000000002</v>
          </cell>
          <cell r="W5">
            <v>2.6279504915630095E-2</v>
          </cell>
          <cell r="X5">
            <v>0.33717881920133841</v>
          </cell>
          <cell r="Y5">
            <v>9.831704306078197E-2</v>
          </cell>
          <cell r="Z5">
            <v>0</v>
          </cell>
          <cell r="AA5">
            <v>0.11425312055562384</v>
          </cell>
          <cell r="AB5">
            <v>0.36297363404100813</v>
          </cell>
          <cell r="AC5">
            <v>4.397854045954528E-2</v>
          </cell>
          <cell r="AD5">
            <v>1.5217866586822837E-2</v>
          </cell>
          <cell r="AE5">
            <v>1.8014711792495054E-3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1.0000000000000002</v>
          </cell>
          <cell r="F6">
            <v>2.6279504915630095E-2</v>
          </cell>
          <cell r="G6">
            <v>0.33717881920133841</v>
          </cell>
          <cell r="H6">
            <v>9.831704306078197E-2</v>
          </cell>
          <cell r="I6">
            <v>0</v>
          </cell>
          <cell r="J6">
            <v>0.11425312055562384</v>
          </cell>
          <cell r="K6">
            <v>0.36297363404100813</v>
          </cell>
          <cell r="L6">
            <v>4.397854045954528E-2</v>
          </cell>
          <cell r="M6">
            <v>1.5217866586822837E-2</v>
          </cell>
          <cell r="N6">
            <v>1.8014711792495054E-3</v>
          </cell>
          <cell r="O6">
            <v>0</v>
          </cell>
          <cell r="P6">
            <v>0</v>
          </cell>
          <cell r="S6" t="str">
            <v>SG-U</v>
          </cell>
          <cell r="V6">
            <v>1.0000000000000002</v>
          </cell>
          <cell r="W6">
            <v>2.6279504915630095E-2</v>
          </cell>
          <cell r="X6">
            <v>0.33717881920133841</v>
          </cell>
          <cell r="Y6">
            <v>9.831704306078197E-2</v>
          </cell>
          <cell r="Z6">
            <v>0</v>
          </cell>
          <cell r="AA6">
            <v>0.11425312055562384</v>
          </cell>
          <cell r="AB6">
            <v>0.36297363404100813</v>
          </cell>
          <cell r="AC6">
            <v>4.397854045954528E-2</v>
          </cell>
          <cell r="AD6">
            <v>1.5217866586822837E-2</v>
          </cell>
          <cell r="AE6">
            <v>1.8014711792495054E-3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0.99999999999999989</v>
          </cell>
          <cell r="F7">
            <v>4.5621884117290498E-2</v>
          </cell>
          <cell r="G7">
            <v>0.58535094423560519</v>
          </cell>
          <cell r="H7">
            <v>0.17068086935708962</v>
          </cell>
          <cell r="I7">
            <v>0</v>
          </cell>
          <cell r="J7">
            <v>0.1983463022900146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0.99999999999999989</v>
          </cell>
          <cell r="W7">
            <v>4.5621884117290498E-2</v>
          </cell>
          <cell r="X7">
            <v>0.58535094423560519</v>
          </cell>
          <cell r="Y7">
            <v>0.17068086935708962</v>
          </cell>
          <cell r="Z7">
            <v>0</v>
          </cell>
          <cell r="AA7">
            <v>0.1983463022900146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0.85612741313794338</v>
          </cell>
          <cell r="L8">
            <v>0.1037299421945317</v>
          </cell>
          <cell r="M8">
            <v>3.5893606401678886E-2</v>
          </cell>
          <cell r="N8">
            <v>4.2490382658460371E-3</v>
          </cell>
          <cell r="O8">
            <v>0</v>
          </cell>
          <cell r="P8">
            <v>0</v>
          </cell>
          <cell r="S8" t="str">
            <v>DGU</v>
          </cell>
          <cell r="V8">
            <v>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0.85612741313794338</v>
          </cell>
          <cell r="AC8">
            <v>0.1037299421945317</v>
          </cell>
          <cell r="AD8">
            <v>3.5893606401678886E-2</v>
          </cell>
          <cell r="AE8">
            <v>4.2490382658460371E-3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1.0000000000000002</v>
          </cell>
          <cell r="F9">
            <v>2.6458852698436015E-2</v>
          </cell>
          <cell r="G9">
            <v>0.34084396748895357</v>
          </cell>
          <cell r="H9">
            <v>0.10022462750815073</v>
          </cell>
          <cell r="I9">
            <v>0</v>
          </cell>
          <cell r="J9">
            <v>0.10948929900422784</v>
          </cell>
          <cell r="K9">
            <v>0.36300065940901288</v>
          </cell>
          <cell r="L9">
            <v>4.3621480640108942E-2</v>
          </cell>
          <cell r="M9">
            <v>1.4533382892231937E-2</v>
          </cell>
          <cell r="N9">
            <v>1.8277303588782544E-3</v>
          </cell>
          <cell r="O9">
            <v>0</v>
          </cell>
          <cell r="P9">
            <v>0</v>
          </cell>
          <cell r="S9" t="str">
            <v>SC</v>
          </cell>
          <cell r="V9">
            <v>1.0000000000000002</v>
          </cell>
          <cell r="W9">
            <v>2.6458852698436015E-2</v>
          </cell>
          <cell r="X9">
            <v>0.34084396748895357</v>
          </cell>
          <cell r="Y9">
            <v>0.10022462750815073</v>
          </cell>
          <cell r="Z9">
            <v>0</v>
          </cell>
          <cell r="AA9">
            <v>0.10948929900422784</v>
          </cell>
          <cell r="AB9">
            <v>0.36300065940901288</v>
          </cell>
          <cell r="AC9">
            <v>4.3621480640108942E-2</v>
          </cell>
          <cell r="AD9">
            <v>1.4533382892231937E-2</v>
          </cell>
          <cell r="AE9">
            <v>1.8277303588782544E-3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2.5741461567212319E-2</v>
          </cell>
          <cell r="G10">
            <v>0.32618337433849304</v>
          </cell>
          <cell r="H10">
            <v>9.2594289718675726E-2</v>
          </cell>
          <cell r="I10">
            <v>0</v>
          </cell>
          <cell r="J10">
            <v>0.12854458520981182</v>
          </cell>
          <cell r="K10">
            <v>0.36289255793699388</v>
          </cell>
          <cell r="L10">
            <v>4.5049719917854315E-2</v>
          </cell>
          <cell r="M10">
            <v>1.7271317670595539E-2</v>
          </cell>
          <cell r="N10">
            <v>1.7226936403632589E-3</v>
          </cell>
          <cell r="O10">
            <v>0</v>
          </cell>
          <cell r="P10">
            <v>0</v>
          </cell>
          <cell r="S10" t="str">
            <v>SE</v>
          </cell>
          <cell r="V10">
            <v>1</v>
          </cell>
          <cell r="W10">
            <v>2.5741461567212319E-2</v>
          </cell>
          <cell r="X10">
            <v>0.32618337433849304</v>
          </cell>
          <cell r="Y10">
            <v>9.2594289718675726E-2</v>
          </cell>
          <cell r="Z10">
            <v>0</v>
          </cell>
          <cell r="AA10">
            <v>0.12854458520981182</v>
          </cell>
          <cell r="AB10">
            <v>0.36289255793699388</v>
          </cell>
          <cell r="AC10">
            <v>4.5049719917854315E-2</v>
          </cell>
          <cell r="AD10">
            <v>1.7271317670595539E-2</v>
          </cell>
          <cell r="AE10">
            <v>1.7226936403632589E-3</v>
          </cell>
          <cell r="AF10">
            <v>0</v>
          </cell>
          <cell r="AG10">
            <v>0</v>
          </cell>
        </row>
        <row r="11">
          <cell r="B11" t="str">
            <v>SE-P</v>
          </cell>
          <cell r="E11">
            <v>1</v>
          </cell>
          <cell r="F11">
            <v>2.5741461567212319E-2</v>
          </cell>
          <cell r="G11">
            <v>0.32618337433849304</v>
          </cell>
          <cell r="H11">
            <v>9.2594289718675726E-2</v>
          </cell>
          <cell r="I11">
            <v>0</v>
          </cell>
          <cell r="J11">
            <v>0.12854458520981182</v>
          </cell>
          <cell r="K11">
            <v>0.36289255793699388</v>
          </cell>
          <cell r="L11">
            <v>4.5049719917854315E-2</v>
          </cell>
          <cell r="M11">
            <v>1.7271317670595539E-2</v>
          </cell>
          <cell r="N11">
            <v>1.7226936403632589E-3</v>
          </cell>
          <cell r="O11">
            <v>0</v>
          </cell>
          <cell r="P11">
            <v>0</v>
          </cell>
          <cell r="S11" t="str">
            <v>SE-P</v>
          </cell>
          <cell r="V11">
            <v>1</v>
          </cell>
          <cell r="W11">
            <v>2.5741461567212319E-2</v>
          </cell>
          <cell r="X11">
            <v>0.32618337433849304</v>
          </cell>
          <cell r="Y11">
            <v>9.2594289718675726E-2</v>
          </cell>
          <cell r="Z11">
            <v>0</v>
          </cell>
          <cell r="AA11">
            <v>0.12854458520981182</v>
          </cell>
          <cell r="AB11">
            <v>0.36289255793699388</v>
          </cell>
          <cell r="AC11">
            <v>4.5049719917854315E-2</v>
          </cell>
          <cell r="AD11">
            <v>1.7271317670595539E-2</v>
          </cell>
          <cell r="AE11">
            <v>1.7226936403632589E-3</v>
          </cell>
          <cell r="AF11">
            <v>0</v>
          </cell>
          <cell r="AG11">
            <v>0</v>
          </cell>
        </row>
        <row r="12">
          <cell r="B12" t="str">
            <v>SE-U</v>
          </cell>
          <cell r="E12">
            <v>1</v>
          </cell>
          <cell r="F12">
            <v>2.5741461567212319E-2</v>
          </cell>
          <cell r="G12">
            <v>0.32618337433849304</v>
          </cell>
          <cell r="H12">
            <v>9.2594289718675726E-2</v>
          </cell>
          <cell r="I12">
            <v>0</v>
          </cell>
          <cell r="J12">
            <v>0.12854458520981182</v>
          </cell>
          <cell r="K12">
            <v>0.36289255793699388</v>
          </cell>
          <cell r="L12">
            <v>4.5049719917854315E-2</v>
          </cell>
          <cell r="M12">
            <v>1.7271317670595539E-2</v>
          </cell>
          <cell r="N12">
            <v>1.7226936403632589E-3</v>
          </cell>
          <cell r="O12">
            <v>0</v>
          </cell>
          <cell r="P12">
            <v>0</v>
          </cell>
          <cell r="S12" t="str">
            <v>SE-U</v>
          </cell>
          <cell r="V12">
            <v>1</v>
          </cell>
          <cell r="W12">
            <v>2.5741461567212319E-2</v>
          </cell>
          <cell r="X12">
            <v>0.32618337433849304</v>
          </cell>
          <cell r="Y12">
            <v>9.2594289718675726E-2</v>
          </cell>
          <cell r="Z12">
            <v>0</v>
          </cell>
          <cell r="AA12">
            <v>0.12854458520981182</v>
          </cell>
          <cell r="AB12">
            <v>0.36289255793699388</v>
          </cell>
          <cell r="AC12">
            <v>4.5049719917854315E-2</v>
          </cell>
          <cell r="AD12">
            <v>1.7271317670595539E-2</v>
          </cell>
          <cell r="AE12">
            <v>1.7226936403632589E-3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</v>
          </cell>
          <cell r="F13">
            <v>4.4919022231823383E-2</v>
          </cell>
          <cell r="G13">
            <v>0.56919216514979987</v>
          </cell>
          <cell r="H13">
            <v>0.16157765352806724</v>
          </cell>
          <cell r="I13">
            <v>0</v>
          </cell>
          <cell r="J13">
            <v>0.2243111590903096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1</v>
          </cell>
          <cell r="W13">
            <v>4.4919022231823383E-2</v>
          </cell>
          <cell r="X13">
            <v>0.56919216514979987</v>
          </cell>
          <cell r="Y13">
            <v>0.16157765352806724</v>
          </cell>
          <cell r="Z13">
            <v>0</v>
          </cell>
          <cell r="AA13">
            <v>0.2243111590903096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1.0000000000000002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0.84999229895882489</v>
          </cell>
          <cell r="L14">
            <v>0.1055186009272653</v>
          </cell>
          <cell r="M14">
            <v>4.0454086731165573E-2</v>
          </cell>
          <cell r="N14">
            <v>4.0350133827443879E-3</v>
          </cell>
          <cell r="O14">
            <v>0</v>
          </cell>
          <cell r="P14">
            <v>0</v>
          </cell>
          <cell r="S14" t="str">
            <v>DEU</v>
          </cell>
          <cell r="V14">
            <v>1.0000000000000002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0.84999229895882489</v>
          </cell>
          <cell r="AC14">
            <v>0.1055186009272653</v>
          </cell>
          <cell r="AD14">
            <v>4.0454086731165573E-2</v>
          </cell>
          <cell r="AE14">
            <v>4.0350133827443879E-3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0.99999999999999978</v>
          </cell>
          <cell r="F15">
            <v>3.2102337564687888E-2</v>
          </cell>
          <cell r="G15">
            <v>0.33921544289213695</v>
          </cell>
          <cell r="H15">
            <v>9.2156599007644072E-2</v>
          </cell>
          <cell r="I15">
            <v>0</v>
          </cell>
          <cell r="J15">
            <v>0.10757638563924968</v>
          </cell>
          <cell r="K15">
            <v>0.36423715480111202</v>
          </cell>
          <cell r="L15">
            <v>4.715276129472027E-2</v>
          </cell>
          <cell r="M15">
            <v>1.6367831918363163E-2</v>
          </cell>
          <cell r="N15">
            <v>1.1914868820859415E-3</v>
          </cell>
          <cell r="O15">
            <v>0</v>
          </cell>
          <cell r="P15">
            <v>0</v>
          </cell>
          <cell r="S15" t="str">
            <v>SO</v>
          </cell>
          <cell r="V15">
            <v>0.99999999999999933</v>
          </cell>
          <cell r="W15">
            <v>3.1978181705860906E-2</v>
          </cell>
          <cell r="X15">
            <v>0.33880145084537494</v>
          </cell>
          <cell r="Y15">
            <v>9.2159195300805977E-2</v>
          </cell>
          <cell r="Z15">
            <v>0</v>
          </cell>
          <cell r="AA15">
            <v>0.10727618530611092</v>
          </cell>
          <cell r="AB15">
            <v>0.36519157679847458</v>
          </cell>
          <cell r="AC15">
            <v>4.7107228268776162E-2</v>
          </cell>
          <cell r="AD15">
            <v>1.6297047462861421E-2</v>
          </cell>
          <cell r="AE15">
            <v>1.1891343117345354E-3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0.99999999999999978</v>
          </cell>
          <cell r="F16">
            <v>3.2102337564687888E-2</v>
          </cell>
          <cell r="G16">
            <v>0.33921544289213695</v>
          </cell>
          <cell r="H16">
            <v>9.2156599007644072E-2</v>
          </cell>
          <cell r="I16">
            <v>0</v>
          </cell>
          <cell r="J16">
            <v>0.10757638563924968</v>
          </cell>
          <cell r="K16">
            <v>0.36423715480111202</v>
          </cell>
          <cell r="L16">
            <v>4.715276129472027E-2</v>
          </cell>
          <cell r="M16">
            <v>1.6367831918363163E-2</v>
          </cell>
          <cell r="N16">
            <v>1.1914868820859415E-3</v>
          </cell>
          <cell r="O16">
            <v>0</v>
          </cell>
          <cell r="P16">
            <v>0</v>
          </cell>
          <cell r="S16" t="str">
            <v>SO-P</v>
          </cell>
          <cell r="V16">
            <v>0.99999999999999933</v>
          </cell>
          <cell r="W16">
            <v>3.1978181705860906E-2</v>
          </cell>
          <cell r="X16">
            <v>0.33880145084537494</v>
          </cell>
          <cell r="Y16">
            <v>9.2159195300805977E-2</v>
          </cell>
          <cell r="Z16">
            <v>0</v>
          </cell>
          <cell r="AA16">
            <v>0.10727618530611092</v>
          </cell>
          <cell r="AB16">
            <v>0.36519157679847458</v>
          </cell>
          <cell r="AC16">
            <v>4.7107228268776162E-2</v>
          </cell>
          <cell r="AD16">
            <v>1.6297047462861421E-2</v>
          </cell>
          <cell r="AE16">
            <v>1.1891343117345354E-3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0.99999999999999978</v>
          </cell>
          <cell r="F17">
            <v>3.2102337564687888E-2</v>
          </cell>
          <cell r="G17">
            <v>0.33921544289213695</v>
          </cell>
          <cell r="H17">
            <v>9.2156599007644072E-2</v>
          </cell>
          <cell r="I17">
            <v>0</v>
          </cell>
          <cell r="J17">
            <v>0.10757638563924968</v>
          </cell>
          <cell r="K17">
            <v>0.36423715480111202</v>
          </cell>
          <cell r="L17">
            <v>4.715276129472027E-2</v>
          </cell>
          <cell r="M17">
            <v>1.6367831918363163E-2</v>
          </cell>
          <cell r="N17">
            <v>1.1914868820859415E-3</v>
          </cell>
          <cell r="O17">
            <v>0</v>
          </cell>
          <cell r="P17">
            <v>0</v>
          </cell>
          <cell r="S17" t="str">
            <v>SO-U</v>
          </cell>
          <cell r="V17">
            <v>0.99999999999999933</v>
          </cell>
          <cell r="W17">
            <v>3.1978181705860906E-2</v>
          </cell>
          <cell r="X17">
            <v>0.33880145084537494</v>
          </cell>
          <cell r="Y17">
            <v>9.2159195300805977E-2</v>
          </cell>
          <cell r="Z17">
            <v>0</v>
          </cell>
          <cell r="AA17">
            <v>0.10727618530611092</v>
          </cell>
          <cell r="AB17">
            <v>0.36519157679847458</v>
          </cell>
          <cell r="AC17">
            <v>4.7107228268776162E-2</v>
          </cell>
          <cell r="AD17">
            <v>1.6297047462861421E-2</v>
          </cell>
          <cell r="AE17">
            <v>1.1891343117345354E-3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0.99999999999999989</v>
          </cell>
          <cell r="F20">
            <v>3.2102337564687902E-2</v>
          </cell>
          <cell r="G20">
            <v>0.33921544289213701</v>
          </cell>
          <cell r="H20">
            <v>9.2156599007644044E-2</v>
          </cell>
          <cell r="I20">
            <v>0</v>
          </cell>
          <cell r="J20">
            <v>0.10757638563924972</v>
          </cell>
          <cell r="K20">
            <v>0.36423715480111191</v>
          </cell>
          <cell r="L20">
            <v>4.715276129472025E-2</v>
          </cell>
          <cell r="M20">
            <v>1.6367831918363173E-2</v>
          </cell>
          <cell r="N20">
            <v>1.1914868820859415E-3</v>
          </cell>
          <cell r="O20">
            <v>0</v>
          </cell>
          <cell r="P20">
            <v>0</v>
          </cell>
          <cell r="S20" t="str">
            <v>GPS</v>
          </cell>
          <cell r="V20">
            <v>0.99999999999999978</v>
          </cell>
          <cell r="W20">
            <v>3.197818170586092E-2</v>
          </cell>
          <cell r="X20">
            <v>0.33880145084537522</v>
          </cell>
          <cell r="Y20">
            <v>9.2159195300806018E-2</v>
          </cell>
          <cell r="Z20">
            <v>0</v>
          </cell>
          <cell r="AA20">
            <v>0.10727618530611097</v>
          </cell>
          <cell r="AB20">
            <v>0.36519157679847458</v>
          </cell>
          <cell r="AC20">
            <v>4.7107228268776155E-2</v>
          </cell>
          <cell r="AD20">
            <v>1.6297047462861428E-2</v>
          </cell>
          <cell r="AE20">
            <v>1.1891343117345356E-3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0.99999999999999989</v>
          </cell>
          <cell r="F23">
            <v>3.2410743726264526E-2</v>
          </cell>
          <cell r="G23">
            <v>0.3427830340432822</v>
          </cell>
          <cell r="H23">
            <v>9.1561964298496487E-2</v>
          </cell>
          <cell r="I23">
            <v>0</v>
          </cell>
          <cell r="J23">
            <v>0.10642356485607479</v>
          </cell>
          <cell r="K23">
            <v>0.36411193830296973</v>
          </cell>
          <cell r="L23">
            <v>4.5411218908673751E-2</v>
          </cell>
          <cell r="M23">
            <v>1.6159847846376172E-2</v>
          </cell>
          <cell r="N23">
            <v>1.1376880178622559E-3</v>
          </cell>
          <cell r="O23">
            <v>0</v>
          </cell>
          <cell r="P23">
            <v>0</v>
          </cell>
          <cell r="S23" t="str">
            <v>SNP</v>
          </cell>
          <cell r="V23">
            <v>0.99999999999999967</v>
          </cell>
          <cell r="W23">
            <v>3.2435134430631153E-2</v>
          </cell>
          <cell r="X23">
            <v>0.34168201235388218</v>
          </cell>
          <cell r="Y23">
            <v>9.1626217606543395E-2</v>
          </cell>
          <cell r="Z23">
            <v>0</v>
          </cell>
          <cell r="AA23">
            <v>0.10593990785605548</v>
          </cell>
          <cell r="AB23">
            <v>0.36557837643784602</v>
          </cell>
          <cell r="AC23">
            <v>4.5582987825759945E-2</v>
          </cell>
          <cell r="AD23">
            <v>1.6020250000984775E-2</v>
          </cell>
          <cell r="AE23">
            <v>1.1351134882966651E-3</v>
          </cell>
          <cell r="AF23">
            <v>0</v>
          </cell>
          <cell r="AG23">
            <v>0</v>
          </cell>
        </row>
        <row r="24">
          <cell r="B24" t="str">
            <v>DNPP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S24" t="str">
            <v>DNPP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DNPU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S25" t="str">
            <v>DNPU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DNPPOP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 t="str">
            <v>DNPPOP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DNPPOU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S27" t="str">
            <v>DNPPOU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DNPPNP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S28" t="str">
            <v>DNPPNP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DNPPNU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S29" t="str">
            <v>DNPPNU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DNPPP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S30" t="str">
            <v>DNPPP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DNPPU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S31" t="str">
            <v>DNPPU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DNPDP</v>
          </cell>
          <cell r="E32">
            <v>1</v>
          </cell>
          <cell r="F32">
            <v>8.0586359146230149E-2</v>
          </cell>
          <cell r="G32">
            <v>0.6251582423419374</v>
          </cell>
          <cell r="H32">
            <v>0.13657585566614461</v>
          </cell>
          <cell r="I32">
            <v>0</v>
          </cell>
          <cell r="J32">
            <v>0.15767954284568783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S32" t="str">
            <v>DNPDP</v>
          </cell>
          <cell r="V32">
            <v>1</v>
          </cell>
          <cell r="W32">
            <v>8.1163698981483248E-2</v>
          </cell>
          <cell r="X32">
            <v>0.62287773141949665</v>
          </cell>
          <cell r="Y32">
            <v>0.13863660257235766</v>
          </cell>
          <cell r="Z32">
            <v>0</v>
          </cell>
          <cell r="AA32">
            <v>0.1573219670266624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DNPDU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0.85652069150857679</v>
          </cell>
          <cell r="L33">
            <v>0.10580750443423052</v>
          </cell>
          <cell r="M33">
            <v>3.7671804057192712E-2</v>
          </cell>
          <cell r="N33">
            <v>0</v>
          </cell>
          <cell r="O33">
            <v>0</v>
          </cell>
          <cell r="P33">
            <v>0</v>
          </cell>
          <cell r="S33" t="str">
            <v>DNPDU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0.85842105655564793</v>
          </cell>
          <cell r="AC33">
            <v>0.10547465291224374</v>
          </cell>
          <cell r="AD33">
            <v>3.610429053210832E-2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1</v>
          </cell>
          <cell r="F34">
            <v>4.5970243589734401E-2</v>
          </cell>
          <cell r="G34">
            <v>0.35661961884194981</v>
          </cell>
          <cell r="H34">
            <v>7.7909281669573741E-2</v>
          </cell>
          <cell r="I34">
            <v>0</v>
          </cell>
          <cell r="J34">
            <v>8.9947815865227876E-2</v>
          </cell>
          <cell r="K34">
            <v>0.36792106688911685</v>
          </cell>
          <cell r="L34">
            <v>4.544993518808324E-2</v>
          </cell>
          <cell r="M34">
            <v>1.6182037956314E-2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1</v>
          </cell>
          <cell r="W34">
            <v>4.5918396361709315E-2</v>
          </cell>
          <cell r="X34">
            <v>0.35239333489135266</v>
          </cell>
          <cell r="Y34">
            <v>7.8433715405339346E-2</v>
          </cell>
          <cell r="Z34">
            <v>0</v>
          </cell>
          <cell r="AA34">
            <v>8.9004968095184156E-2</v>
          </cell>
          <cell r="AB34">
            <v>0.37276898777607909</v>
          </cell>
          <cell r="AC34">
            <v>4.5802324281151378E-2</v>
          </cell>
          <cell r="AD34">
            <v>1.5678273189184088E-2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DNPGP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S35" t="str">
            <v>DNPGP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DNPGU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S36" t="str">
            <v>DNPGU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</v>
          </cell>
          <cell r="F38">
            <v>2.5741461567212319E-2</v>
          </cell>
          <cell r="G38">
            <v>0.32618337433849304</v>
          </cell>
          <cell r="H38">
            <v>9.2594289718675754E-2</v>
          </cell>
          <cell r="I38">
            <v>0</v>
          </cell>
          <cell r="J38">
            <v>0.12854458520981182</v>
          </cell>
          <cell r="K38">
            <v>0.36289255793699388</v>
          </cell>
          <cell r="L38">
            <v>4.5049719917854315E-2</v>
          </cell>
          <cell r="M38">
            <v>1.7271317670595542E-2</v>
          </cell>
          <cell r="N38">
            <v>1.7226936403632589E-3</v>
          </cell>
          <cell r="O38">
            <v>0</v>
          </cell>
          <cell r="P38">
            <v>0</v>
          </cell>
          <cell r="S38" t="str">
            <v>DNPGMU</v>
          </cell>
          <cell r="V38">
            <v>0.99999999999999978</v>
          </cell>
          <cell r="W38">
            <v>2.5741461567212326E-2</v>
          </cell>
          <cell r="X38">
            <v>0.32618337433849304</v>
          </cell>
          <cell r="Y38">
            <v>9.2594289718675754E-2</v>
          </cell>
          <cell r="Z38">
            <v>0</v>
          </cell>
          <cell r="AA38">
            <v>0.12854458520981182</v>
          </cell>
          <cell r="AB38">
            <v>0.36289255793699376</v>
          </cell>
          <cell r="AC38">
            <v>4.5049719917854308E-2</v>
          </cell>
          <cell r="AD38">
            <v>1.7271317670595539E-2</v>
          </cell>
          <cell r="AE38">
            <v>1.7226936403632593E-3</v>
          </cell>
          <cell r="AF38">
            <v>0</v>
          </cell>
          <cell r="AG38">
            <v>0</v>
          </cell>
        </row>
        <row r="39">
          <cell r="B39" t="str">
            <v>DNPIP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 t="str">
            <v>DNPIP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DNPIU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S40" t="str">
            <v>DNPIU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DNPPSP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S41" t="str">
            <v>DNPPSP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DNPPSU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S42" t="str">
            <v>DNPPSU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DNPTP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S45" t="str">
            <v>DNPTP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DNPTU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S46" t="str">
            <v>DNPTU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0.99999999999999989</v>
          </cell>
          <cell r="F47">
            <v>2.8617759392218493E-2</v>
          </cell>
          <cell r="G47">
            <v>0.33548393774517754</v>
          </cell>
          <cell r="H47">
            <v>8.0736679765802635E-2</v>
          </cell>
          <cell r="I47">
            <v>0</v>
          </cell>
          <cell r="J47">
            <v>7.3396103380819144E-2</v>
          </cell>
          <cell r="K47">
            <v>0.43538836810527148</v>
          </cell>
          <cell r="L47">
            <v>3.7486759982197138E-2</v>
          </cell>
          <cell r="M47">
            <v>8.8903916285135651E-3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0.99999999999999989</v>
          </cell>
          <cell r="W47">
            <v>2.8617759392218493E-2</v>
          </cell>
          <cell r="X47">
            <v>0.33548393774517754</v>
          </cell>
          <cell r="Y47">
            <v>8.0736679765802635E-2</v>
          </cell>
          <cell r="Z47">
            <v>0</v>
          </cell>
          <cell r="AA47">
            <v>7.3396103380819144E-2</v>
          </cell>
          <cell r="AB47">
            <v>0.43538836810527148</v>
          </cell>
          <cell r="AC47">
            <v>3.7486759982197138E-2</v>
          </cell>
          <cell r="AD47">
            <v>8.8903916285135651E-3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0</v>
          </cell>
          <cell r="G48">
            <v>0.68519706012923598</v>
          </cell>
          <cell r="H48">
            <v>0.1648977175835559</v>
          </cell>
          <cell r="I48">
            <v>0</v>
          </cell>
          <cell r="J48">
            <v>0.14990522228720818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5.5221642868175352E-2</v>
          </cell>
          <cell r="X48">
            <v>0.64735935278045564</v>
          </cell>
          <cell r="Y48">
            <v>0.15579179471337953</v>
          </cell>
          <cell r="Z48">
            <v>0</v>
          </cell>
          <cell r="AA48">
            <v>0.14162720963798953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0.90373501275464529</v>
          </cell>
          <cell r="L49">
            <v>7.7811214061763709E-2</v>
          </cell>
          <cell r="M49">
            <v>1.8453773183590979E-2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0.90373501275464529</v>
          </cell>
          <cell r="AC49">
            <v>7.7811214061763709E-2</v>
          </cell>
          <cell r="AD49">
            <v>1.8453773183590979E-2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0.99999999999999989</v>
          </cell>
          <cell r="F53">
            <v>1.3104219600022905E-3</v>
          </cell>
          <cell r="G53">
            <v>0.31475207356349288</v>
          </cell>
          <cell r="H53">
            <v>5.817459609077464E-2</v>
          </cell>
          <cell r="I53">
            <v>0</v>
          </cell>
          <cell r="J53">
            <v>7.6923252439311585E-2</v>
          </cell>
          <cell r="K53">
            <v>0.43232617562868048</v>
          </cell>
          <cell r="L53">
            <v>7.0300508257982675E-2</v>
          </cell>
          <cell r="M53">
            <v>2.424088359061263E-2</v>
          </cell>
          <cell r="N53">
            <v>5.5317362045271632E-3</v>
          </cell>
          <cell r="O53">
            <v>2.1710736682515368E-2</v>
          </cell>
          <cell r="P53">
            <v>-5.2703844178997143E-3</v>
          </cell>
          <cell r="S53" t="str">
            <v>EXCTAX</v>
          </cell>
          <cell r="V53">
            <v>1.0000000000000016</v>
          </cell>
          <cell r="W53">
            <v>1.4030689589167003E-3</v>
          </cell>
          <cell r="X53">
            <v>0.31610531663667851</v>
          </cell>
          <cell r="Y53">
            <v>5.8092774718206834E-2</v>
          </cell>
          <cell r="Z53">
            <v>0</v>
          </cell>
          <cell r="AA53">
            <v>7.7548053915228773E-2</v>
          </cell>
          <cell r="AB53">
            <v>0.43024501628267886</v>
          </cell>
          <cell r="AC53">
            <v>7.0204731793144695E-2</v>
          </cell>
          <cell r="AD53">
            <v>2.4425369111968662E-2</v>
          </cell>
          <cell r="AE53">
            <v>5.5353163185625784E-3</v>
          </cell>
          <cell r="AF53">
            <v>2.1710736682515368E-2</v>
          </cell>
          <cell r="AG53">
            <v>-5.2703844178997143E-3</v>
          </cell>
        </row>
        <row r="54">
          <cell r="B54" t="str">
            <v>INT</v>
          </cell>
          <cell r="E54">
            <v>0.99999999999999989</v>
          </cell>
          <cell r="F54">
            <v>3.2229859365528246E-2</v>
          </cell>
          <cell r="G54">
            <v>0.34086996193028668</v>
          </cell>
          <cell r="H54">
            <v>9.1050956975746583E-2</v>
          </cell>
          <cell r="I54">
            <v>0</v>
          </cell>
          <cell r="J54">
            <v>0.10582961494061305</v>
          </cell>
          <cell r="K54">
            <v>0.36207982957530088</v>
          </cell>
          <cell r="L54">
            <v>4.5157778895944446E-2</v>
          </cell>
          <cell r="M54">
            <v>1.6069659735545548E-2</v>
          </cell>
          <cell r="N54">
            <v>1.1313385810345668E-3</v>
          </cell>
          <cell r="O54">
            <v>0</v>
          </cell>
          <cell r="P54">
            <v>5.581E-3</v>
          </cell>
          <cell r="S54" t="str">
            <v>INT</v>
          </cell>
          <cell r="V54">
            <v>0.99999999999999944</v>
          </cell>
          <cell r="W54">
            <v>3.2254113945373801E-2</v>
          </cell>
          <cell r="X54">
            <v>0.33977508504293519</v>
          </cell>
          <cell r="Y54">
            <v>9.1114851686081286E-2</v>
          </cell>
          <cell r="Z54">
            <v>0</v>
          </cell>
          <cell r="AA54">
            <v>0.10534865723031084</v>
          </cell>
          <cell r="AB54">
            <v>0.3635380835189464</v>
          </cell>
          <cell r="AC54">
            <v>4.5328589170704384E-2</v>
          </cell>
          <cell r="AD54">
            <v>1.5930840985729278E-2</v>
          </cell>
          <cell r="AE54">
            <v>1.1287784199184815E-3</v>
          </cell>
          <cell r="AF54">
            <v>0</v>
          </cell>
          <cell r="AG54">
            <v>5.581E-3</v>
          </cell>
        </row>
        <row r="55">
          <cell r="B55" t="str">
            <v>CIAC</v>
          </cell>
          <cell r="E55">
            <v>1</v>
          </cell>
          <cell r="F55">
            <v>1.9881703559801383E-2</v>
          </cell>
          <cell r="G55">
            <v>0.40545797496340547</v>
          </cell>
          <cell r="H55">
            <v>4.118071059420967E-2</v>
          </cell>
          <cell r="I55">
            <v>0</v>
          </cell>
          <cell r="J55">
            <v>9.9802299485628965E-2</v>
          </cell>
          <cell r="K55">
            <v>0.34339101144936462</v>
          </cell>
          <cell r="L55">
            <v>6.4050844161976012E-2</v>
          </cell>
          <cell r="M55">
            <v>2.6235455785613985E-2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1</v>
          </cell>
          <cell r="W55">
            <v>1.9881703559801383E-2</v>
          </cell>
          <cell r="X55">
            <v>0.40545797496340547</v>
          </cell>
          <cell r="Y55">
            <v>4.118071059420967E-2</v>
          </cell>
          <cell r="Z55">
            <v>0</v>
          </cell>
          <cell r="AA55">
            <v>9.9802299485628965E-2</v>
          </cell>
          <cell r="AB55">
            <v>0.34339101144936462</v>
          </cell>
          <cell r="AC55">
            <v>6.4050844161976012E-2</v>
          </cell>
          <cell r="AD55">
            <v>2.6235455785613985E-2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TAXDEPR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 t="str">
            <v>TAXDEPR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BADDEBT</v>
          </cell>
          <cell r="E58">
            <v>0.99999999999999989</v>
          </cell>
          <cell r="F58">
            <v>2.823020595384014E-2</v>
          </cell>
          <cell r="G58">
            <v>0.33243757832363813</v>
          </cell>
          <cell r="H58">
            <v>7.9967745849188851E-2</v>
          </cell>
          <cell r="I58">
            <v>0</v>
          </cell>
          <cell r="J58">
            <v>7.232764683792757E-2</v>
          </cell>
          <cell r="K58">
            <v>0.44136390740159692</v>
          </cell>
          <cell r="L58">
            <v>3.744147354901331E-2</v>
          </cell>
          <cell r="M58">
            <v>8.7214796817874883E-3</v>
          </cell>
          <cell r="N58">
            <v>0</v>
          </cell>
          <cell r="O58">
            <v>-4.900375969923899E-4</v>
          </cell>
          <cell r="P58">
            <v>0</v>
          </cell>
          <cell r="S58" t="str">
            <v>BADDEBT</v>
          </cell>
          <cell r="V58">
            <v>0.99999999999999989</v>
          </cell>
          <cell r="W58">
            <v>2.823020595384014E-2</v>
          </cell>
          <cell r="X58">
            <v>0.33243757832363813</v>
          </cell>
          <cell r="Y58">
            <v>7.9967745849188851E-2</v>
          </cell>
          <cell r="Z58">
            <v>0</v>
          </cell>
          <cell r="AA58">
            <v>7.232764683792757E-2</v>
          </cell>
          <cell r="AB58">
            <v>0.44136390740159692</v>
          </cell>
          <cell r="AC58">
            <v>3.744147354901331E-2</v>
          </cell>
          <cell r="AD58">
            <v>8.7214796817874883E-3</v>
          </cell>
          <cell r="AE58">
            <v>0</v>
          </cell>
          <cell r="AF58">
            <v>-4.900375969923899E-4</v>
          </cell>
          <cell r="AG58">
            <v>0</v>
          </cell>
        </row>
        <row r="59">
          <cell r="B59" t="str">
            <v>DITEXP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DITEXP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DITBAL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S60" t="str">
            <v>DITBAL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ITC84</v>
          </cell>
          <cell r="E61">
            <v>1</v>
          </cell>
          <cell r="F61">
            <v>0</v>
          </cell>
          <cell r="G61">
            <v>0.70975999999999995</v>
          </cell>
          <cell r="H61">
            <v>0.14180000000000001</v>
          </cell>
          <cell r="I61">
            <v>0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3.8979999999999994E-2</v>
          </cell>
          <cell r="S61" t="str">
            <v>ITC84</v>
          </cell>
          <cell r="V61">
            <v>1</v>
          </cell>
          <cell r="W61">
            <v>0</v>
          </cell>
          <cell r="X61">
            <v>0.70975999999999995</v>
          </cell>
          <cell r="Y61">
            <v>0.14180000000000001</v>
          </cell>
          <cell r="Z61">
            <v>0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3.8979999999999994E-2</v>
          </cell>
        </row>
        <row r="62">
          <cell r="B62" t="str">
            <v>ITC85</v>
          </cell>
          <cell r="E62">
            <v>1</v>
          </cell>
          <cell r="F62">
            <v>0</v>
          </cell>
          <cell r="G62">
            <v>0.67689999999999995</v>
          </cell>
          <cell r="H62">
            <v>0.1336</v>
          </cell>
          <cell r="I62">
            <v>0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7.3399999999999993E-2</v>
          </cell>
          <cell r="S62" t="str">
            <v>ITC85</v>
          </cell>
          <cell r="V62">
            <v>1</v>
          </cell>
          <cell r="W62">
            <v>0</v>
          </cell>
          <cell r="X62">
            <v>0.67689999999999995</v>
          </cell>
          <cell r="Y62">
            <v>0.1336</v>
          </cell>
          <cell r="Z62">
            <v>0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7.3399999999999993E-2</v>
          </cell>
        </row>
        <row r="63">
          <cell r="B63" t="str">
            <v>ITC86</v>
          </cell>
          <cell r="E63">
            <v>1</v>
          </cell>
          <cell r="F63">
            <v>0</v>
          </cell>
          <cell r="G63">
            <v>0.64607999999999999</v>
          </cell>
          <cell r="H63">
            <v>0.13125999999999999</v>
          </cell>
          <cell r="I63">
            <v>0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6.7659999999999998E-2</v>
          </cell>
          <cell r="S63" t="str">
            <v>ITC86</v>
          </cell>
          <cell r="V63">
            <v>1</v>
          </cell>
          <cell r="W63">
            <v>0</v>
          </cell>
          <cell r="X63">
            <v>0.64607999999999999</v>
          </cell>
          <cell r="Y63">
            <v>0.13125999999999999</v>
          </cell>
          <cell r="Z63">
            <v>0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6.7659999999999998E-2</v>
          </cell>
        </row>
        <row r="64">
          <cell r="B64" t="str">
            <v>ITC88</v>
          </cell>
          <cell r="E64">
            <v>1</v>
          </cell>
          <cell r="F64">
            <v>0</v>
          </cell>
          <cell r="G64">
            <v>0.61199999999999999</v>
          </cell>
          <cell r="H64">
            <v>0.14960000000000001</v>
          </cell>
          <cell r="I64">
            <v>0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7.1300000000000002E-2</v>
          </cell>
          <cell r="S64" t="str">
            <v>ITC88</v>
          </cell>
          <cell r="V64">
            <v>1</v>
          </cell>
          <cell r="W64">
            <v>0</v>
          </cell>
          <cell r="X64">
            <v>0.61199999999999999</v>
          </cell>
          <cell r="Y64">
            <v>0.14960000000000001</v>
          </cell>
          <cell r="Z64">
            <v>0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7.1300000000000002E-2</v>
          </cell>
        </row>
        <row r="65">
          <cell r="B65" t="str">
            <v>ITC89</v>
          </cell>
          <cell r="E65">
            <v>0.99999999999999989</v>
          </cell>
          <cell r="F65">
            <v>0</v>
          </cell>
          <cell r="G65">
            <v>0.563558</v>
          </cell>
          <cell r="H65">
            <v>0.15268799999999999</v>
          </cell>
          <cell r="I65">
            <v>0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7.6978000000000005E-2</v>
          </cell>
          <cell r="S65" t="str">
            <v>ITC89</v>
          </cell>
          <cell r="V65">
            <v>0.99999999999999989</v>
          </cell>
          <cell r="W65">
            <v>0</v>
          </cell>
          <cell r="X65">
            <v>0.563558</v>
          </cell>
          <cell r="Y65">
            <v>0.15268799999999999</v>
          </cell>
          <cell r="Z65">
            <v>0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7.6978000000000005E-2</v>
          </cell>
        </row>
        <row r="66">
          <cell r="B66" t="str">
            <v>ITC90</v>
          </cell>
          <cell r="E66">
            <v>1</v>
          </cell>
          <cell r="F66">
            <v>0</v>
          </cell>
          <cell r="G66">
            <v>0.159356</v>
          </cell>
          <cell r="H66">
            <v>3.9132E-2</v>
          </cell>
          <cell r="I66">
            <v>0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1.8907E-2</v>
          </cell>
          <cell r="S66" t="str">
            <v>ITC90</v>
          </cell>
          <cell r="V66">
            <v>1</v>
          </cell>
          <cell r="W66">
            <v>0</v>
          </cell>
          <cell r="X66">
            <v>0.159356</v>
          </cell>
          <cell r="Y66">
            <v>3.9132E-2</v>
          </cell>
          <cell r="Z66">
            <v>0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1.8907E-2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1.0000000000000002</v>
          </cell>
          <cell r="F69">
            <v>2.6279504915630084E-2</v>
          </cell>
          <cell r="G69">
            <v>0.33717881920133852</v>
          </cell>
          <cell r="H69">
            <v>9.8317043060781942E-2</v>
          </cell>
          <cell r="I69">
            <v>0</v>
          </cell>
          <cell r="J69">
            <v>0.11425312055562384</v>
          </cell>
          <cell r="K69">
            <v>0.36297363404100819</v>
          </cell>
          <cell r="L69">
            <v>4.397854045954528E-2</v>
          </cell>
          <cell r="M69">
            <v>1.5217866586822837E-2</v>
          </cell>
          <cell r="N69">
            <v>1.8014711792495054E-3</v>
          </cell>
          <cell r="O69">
            <v>0</v>
          </cell>
          <cell r="P69">
            <v>0</v>
          </cell>
          <cell r="S69" t="str">
            <v>SNPPS</v>
          </cell>
          <cell r="V69">
            <v>0.99999999999999944</v>
          </cell>
          <cell r="W69">
            <v>2.6279504915630091E-2</v>
          </cell>
          <cell r="X69">
            <v>0.33717881920133813</v>
          </cell>
          <cell r="Y69">
            <v>9.83170430607819E-2</v>
          </cell>
          <cell r="Z69">
            <v>0</v>
          </cell>
          <cell r="AA69">
            <v>0.11425312055562376</v>
          </cell>
          <cell r="AB69">
            <v>0.36297363404100785</v>
          </cell>
          <cell r="AC69">
            <v>4.3978540459545253E-2</v>
          </cell>
          <cell r="AD69">
            <v>1.5217866586822832E-2</v>
          </cell>
          <cell r="AE69">
            <v>1.8014711792495041E-3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1.0000000000000002</v>
          </cell>
          <cell r="F70">
            <v>2.6279504915630102E-2</v>
          </cell>
          <cell r="G70">
            <v>0.33717881920133835</v>
          </cell>
          <cell r="H70">
            <v>9.8317043060781956E-2</v>
          </cell>
          <cell r="I70">
            <v>0</v>
          </cell>
          <cell r="J70">
            <v>0.11425312055562385</v>
          </cell>
          <cell r="K70">
            <v>0.3629736340410083</v>
          </cell>
          <cell r="L70">
            <v>4.3978540459545287E-2</v>
          </cell>
          <cell r="M70">
            <v>1.5217866586822839E-2</v>
          </cell>
          <cell r="N70">
            <v>1.8014711792495052E-3</v>
          </cell>
          <cell r="O70">
            <v>0</v>
          </cell>
          <cell r="P70">
            <v>0</v>
          </cell>
          <cell r="S70" t="str">
            <v>SNPT</v>
          </cell>
          <cell r="V70">
            <v>1.0000000000000002</v>
          </cell>
          <cell r="W70">
            <v>2.6279504915630098E-2</v>
          </cell>
          <cell r="X70">
            <v>0.33717881920133824</v>
          </cell>
          <cell r="Y70">
            <v>9.831704306078197E-2</v>
          </cell>
          <cell r="Z70">
            <v>0</v>
          </cell>
          <cell r="AA70">
            <v>0.11425312055562384</v>
          </cell>
          <cell r="AB70">
            <v>0.3629736340410083</v>
          </cell>
          <cell r="AC70">
            <v>4.3978540459545273E-2</v>
          </cell>
          <cell r="AD70">
            <v>1.5217866586822839E-2</v>
          </cell>
          <cell r="AE70">
            <v>1.8014711792495054E-3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1.0000000000000002</v>
          </cell>
          <cell r="F71">
            <v>2.6279504915630081E-2</v>
          </cell>
          <cell r="G71">
            <v>0.33717881920133852</v>
          </cell>
          <cell r="H71">
            <v>9.8317043060781914E-2</v>
          </cell>
          <cell r="I71">
            <v>0</v>
          </cell>
          <cell r="J71">
            <v>0.11425312055562381</v>
          </cell>
          <cell r="K71">
            <v>0.36297363404100824</v>
          </cell>
          <cell r="L71">
            <v>4.3978540459545266E-2</v>
          </cell>
          <cell r="M71">
            <v>1.5217866586822837E-2</v>
          </cell>
          <cell r="N71">
            <v>1.801471179249505E-3</v>
          </cell>
          <cell r="O71">
            <v>0</v>
          </cell>
          <cell r="P71">
            <v>0</v>
          </cell>
          <cell r="S71" t="str">
            <v>SNPP</v>
          </cell>
          <cell r="V71">
            <v>0.99999999999999922</v>
          </cell>
          <cell r="W71">
            <v>2.6279504915630084E-2</v>
          </cell>
          <cell r="X71">
            <v>0.33717881920133808</v>
          </cell>
          <cell r="Y71">
            <v>9.8317043060781914E-2</v>
          </cell>
          <cell r="Z71">
            <v>0</v>
          </cell>
          <cell r="AA71">
            <v>0.11425312055562373</v>
          </cell>
          <cell r="AB71">
            <v>0.36297363404100785</v>
          </cell>
          <cell r="AC71">
            <v>4.3978540459545253E-2</v>
          </cell>
          <cell r="AD71">
            <v>1.5217866586822832E-2</v>
          </cell>
          <cell r="AE71">
            <v>1.8014711792495039E-3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1.0000000000000009</v>
          </cell>
          <cell r="F72">
            <v>2.6279504915630095E-2</v>
          </cell>
          <cell r="G72">
            <v>0.33717881920133863</v>
          </cell>
          <cell r="H72">
            <v>9.8317043060781997E-2</v>
          </cell>
          <cell r="I72">
            <v>0</v>
          </cell>
          <cell r="J72">
            <v>0.11425312055562391</v>
          </cell>
          <cell r="K72">
            <v>0.36297363404100852</v>
          </cell>
          <cell r="L72">
            <v>4.3978540459545273E-2</v>
          </cell>
          <cell r="M72">
            <v>1.5217866586822849E-2</v>
          </cell>
          <cell r="N72">
            <v>1.8014711792495067E-3</v>
          </cell>
          <cell r="O72">
            <v>0</v>
          </cell>
          <cell r="P72">
            <v>0</v>
          </cell>
          <cell r="S72" t="str">
            <v>SNPPH</v>
          </cell>
          <cell r="V72">
            <v>1.0000000000000007</v>
          </cell>
          <cell r="W72">
            <v>2.6279504915630084E-2</v>
          </cell>
          <cell r="X72">
            <v>0.33717881920133858</v>
          </cell>
          <cell r="Y72">
            <v>9.8317043060781983E-2</v>
          </cell>
          <cell r="Z72">
            <v>0</v>
          </cell>
          <cell r="AA72">
            <v>0.11425312055562391</v>
          </cell>
          <cell r="AB72">
            <v>0.36297363404100841</v>
          </cell>
          <cell r="AC72">
            <v>4.3978540459545266E-2</v>
          </cell>
          <cell r="AD72">
            <v>1.521786658682284E-2</v>
          </cell>
          <cell r="AE72">
            <v>1.8014711792495059E-3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1.0000000000000002</v>
          </cell>
          <cell r="F73">
            <v>2.6279504915630098E-2</v>
          </cell>
          <cell r="G73">
            <v>0.33717881920133835</v>
          </cell>
          <cell r="H73">
            <v>9.8317043060781983E-2</v>
          </cell>
          <cell r="I73">
            <v>0</v>
          </cell>
          <cell r="J73">
            <v>0.11425312055562384</v>
          </cell>
          <cell r="K73">
            <v>0.36297363404100819</v>
          </cell>
          <cell r="L73">
            <v>4.397854045954528E-2</v>
          </cell>
          <cell r="M73">
            <v>1.5217866586822837E-2</v>
          </cell>
          <cell r="N73">
            <v>1.8014711792495054E-3</v>
          </cell>
          <cell r="O73">
            <v>0</v>
          </cell>
          <cell r="P73">
            <v>0</v>
          </cell>
          <cell r="S73" t="str">
            <v>SNPPN</v>
          </cell>
          <cell r="V73">
            <v>1.0000000000000002</v>
          </cell>
          <cell r="W73">
            <v>2.6279504915630098E-2</v>
          </cell>
          <cell r="X73">
            <v>0.33717881920133835</v>
          </cell>
          <cell r="Y73">
            <v>9.8317043060781983E-2</v>
          </cell>
          <cell r="Z73">
            <v>0</v>
          </cell>
          <cell r="AA73">
            <v>0.11425312055562384</v>
          </cell>
          <cell r="AB73">
            <v>0.36297363404100819</v>
          </cell>
          <cell r="AC73">
            <v>4.397854045954528E-2</v>
          </cell>
          <cell r="AD73">
            <v>1.5217866586822837E-2</v>
          </cell>
          <cell r="AE73">
            <v>1.8014711792495054E-3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</v>
          </cell>
          <cell r="F74">
            <v>2.6279504915630095E-2</v>
          </cell>
          <cell r="G74">
            <v>0.33717881920133841</v>
          </cell>
          <cell r="H74">
            <v>9.8317043060781956E-2</v>
          </cell>
          <cell r="I74">
            <v>0</v>
          </cell>
          <cell r="J74">
            <v>0.11425312055562381</v>
          </cell>
          <cell r="K74">
            <v>0.36297363404100802</v>
          </cell>
          <cell r="L74">
            <v>4.3978540459545266E-2</v>
          </cell>
          <cell r="M74">
            <v>1.5217866586822837E-2</v>
          </cell>
          <cell r="N74">
            <v>1.8014711792495054E-3</v>
          </cell>
          <cell r="O74">
            <v>0</v>
          </cell>
          <cell r="P74">
            <v>0</v>
          </cell>
          <cell r="S74" t="str">
            <v>SNPPO</v>
          </cell>
          <cell r="V74">
            <v>1.0000000000000002</v>
          </cell>
          <cell r="W74">
            <v>2.6279504915630091E-2</v>
          </cell>
          <cell r="X74">
            <v>0.33717881920133841</v>
          </cell>
          <cell r="Y74">
            <v>9.831704306078197E-2</v>
          </cell>
          <cell r="Z74">
            <v>0</v>
          </cell>
          <cell r="AA74">
            <v>0.11425312055562384</v>
          </cell>
          <cell r="AB74">
            <v>0.36297363404100813</v>
          </cell>
          <cell r="AC74">
            <v>4.3978540459545266E-2</v>
          </cell>
          <cell r="AD74">
            <v>1.5217866586822839E-2</v>
          </cell>
          <cell r="AE74">
            <v>1.8014711792495054E-3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1</v>
          </cell>
          <cell r="F75">
            <v>2.541511643644084E-2</v>
          </cell>
          <cell r="G75">
            <v>0.33701552579600158</v>
          </cell>
          <cell r="H75">
            <v>9.8324697794491281E-2</v>
          </cell>
          <cell r="I75">
            <v>0</v>
          </cell>
          <cell r="J75">
            <v>0.11015486456876571</v>
          </cell>
          <cell r="K75">
            <v>0.34909461276105841</v>
          </cell>
          <cell r="L75">
            <v>5.6095307258209E-2</v>
          </cell>
          <cell r="M75">
            <v>2.3216210154588426E-2</v>
          </cell>
          <cell r="N75">
            <v>6.8366523044476155E-4</v>
          </cell>
          <cell r="O75">
            <v>0</v>
          </cell>
          <cell r="P75">
            <v>0</v>
          </cell>
          <cell r="S75" t="str">
            <v>SNPG</v>
          </cell>
          <cell r="V75">
            <v>1</v>
          </cell>
          <cell r="W75">
            <v>2.5591414213849951E-2</v>
          </cell>
          <cell r="X75">
            <v>0.33950384358312474</v>
          </cell>
          <cell r="Y75">
            <v>9.7057819772228354E-2</v>
          </cell>
          <cell r="Z75">
            <v>0</v>
          </cell>
          <cell r="AA75">
            <v>0.10799030740401125</v>
          </cell>
          <cell r="AB75">
            <v>0.34855418604834448</v>
          </cell>
          <cell r="AC75">
            <v>5.7056127560143187E-2</v>
          </cell>
          <cell r="AD75">
            <v>2.3590597957779565E-2</v>
          </cell>
          <cell r="AE75">
            <v>6.5570346051841842E-4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1.0000000000000002</v>
          </cell>
          <cell r="F76">
            <v>3.0202664527555257E-2</v>
          </cell>
          <cell r="G76">
            <v>0.33326217810864361</v>
          </cell>
          <cell r="H76">
            <v>8.8267834236083711E-2</v>
          </cell>
          <cell r="I76">
            <v>0</v>
          </cell>
          <cell r="J76">
            <v>0.10135353680095413</v>
          </cell>
          <cell r="K76">
            <v>0.38259749822578615</v>
          </cell>
          <cell r="L76">
            <v>4.7214591451376575E-2</v>
          </cell>
          <cell r="M76">
            <v>1.61690549147421E-2</v>
          </cell>
          <cell r="N76">
            <v>9.3264173485854902E-4</v>
          </cell>
          <cell r="O76">
            <v>0</v>
          </cell>
          <cell r="P76">
            <v>0</v>
          </cell>
          <cell r="S76" t="str">
            <v>SNPI</v>
          </cell>
          <cell r="V76">
            <v>0.99999999999999944</v>
          </cell>
          <cell r="W76">
            <v>3.0359763230679754E-2</v>
          </cell>
          <cell r="X76">
            <v>0.3337467229438984</v>
          </cell>
          <cell r="Y76">
            <v>8.8798045687810551E-2</v>
          </cell>
          <cell r="Z76">
            <v>0</v>
          </cell>
          <cell r="AA76">
            <v>0.10199803176976988</v>
          </cell>
          <cell r="AB76">
            <v>0.38072770239080106</v>
          </cell>
          <cell r="AC76">
            <v>4.7262426060203457E-2</v>
          </cell>
          <cell r="AD76">
            <v>1.6136408334236563E-2</v>
          </cell>
          <cell r="AE76">
            <v>9.7089958259978959E-4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1</v>
          </cell>
          <cell r="F77">
            <v>2.6197772013290922E-2</v>
          </cell>
          <cell r="G77">
            <v>0.33550852697712735</v>
          </cell>
          <cell r="H77">
            <v>9.744771303115328E-2</v>
          </cell>
          <cell r="I77">
            <v>0</v>
          </cell>
          <cell r="J77">
            <v>0.11642410341100055</v>
          </cell>
          <cell r="K77">
            <v>0.3629613179603226</v>
          </cell>
          <cell r="L77">
            <v>4.4141260817135729E-2</v>
          </cell>
          <cell r="M77">
            <v>1.5529801521771506E-2</v>
          </cell>
          <cell r="N77">
            <v>1.789504268198111E-3</v>
          </cell>
          <cell r="O77">
            <v>0</v>
          </cell>
          <cell r="P77">
            <v>0</v>
          </cell>
          <cell r="S77" t="str">
            <v>TROJP</v>
          </cell>
          <cell r="V77">
            <v>1</v>
          </cell>
          <cell r="W77">
            <v>2.6197772013290922E-2</v>
          </cell>
          <cell r="X77">
            <v>0.33550852697712735</v>
          </cell>
          <cell r="Y77">
            <v>9.744771303115328E-2</v>
          </cell>
          <cell r="Z77">
            <v>0</v>
          </cell>
          <cell r="AA77">
            <v>0.11642410341100055</v>
          </cell>
          <cell r="AB77">
            <v>0.3629613179603226</v>
          </cell>
          <cell r="AC77">
            <v>4.4141260817135729E-2</v>
          </cell>
          <cell r="AD77">
            <v>1.5529801521771506E-2</v>
          </cell>
          <cell r="AE77">
            <v>1.789504268198111E-3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1.0000000000000002</v>
          </cell>
          <cell r="F78">
            <v>2.6183336330911137E-2</v>
          </cell>
          <cell r="G78">
            <v>0.33521351961362911</v>
          </cell>
          <cell r="H78">
            <v>9.7294171778710636E-2</v>
          </cell>
          <cell r="I78">
            <v>0</v>
          </cell>
          <cell r="J78">
            <v>0.11680754285894929</v>
          </cell>
          <cell r="K78">
            <v>0.36295914269156487</v>
          </cell>
          <cell r="L78">
            <v>4.4170000520874039E-2</v>
          </cell>
          <cell r="M78">
            <v>1.5584895535506533E-2</v>
          </cell>
          <cell r="N78">
            <v>1.7873906698544699E-3</v>
          </cell>
          <cell r="O78">
            <v>0</v>
          </cell>
          <cell r="P78">
            <v>0</v>
          </cell>
          <cell r="S78" t="str">
            <v>TROJD</v>
          </cell>
          <cell r="V78">
            <v>1.0000000000000002</v>
          </cell>
          <cell r="W78">
            <v>2.6183336330911137E-2</v>
          </cell>
          <cell r="X78">
            <v>0.33521351961362911</v>
          </cell>
          <cell r="Y78">
            <v>9.7294171778710636E-2</v>
          </cell>
          <cell r="Z78">
            <v>0</v>
          </cell>
          <cell r="AA78">
            <v>0.11680754285894929</v>
          </cell>
          <cell r="AB78">
            <v>0.36295914269156487</v>
          </cell>
          <cell r="AC78">
            <v>4.4170000520874039E-2</v>
          </cell>
          <cell r="AD78">
            <v>1.5584895535506533E-2</v>
          </cell>
          <cell r="AE78">
            <v>1.7873906698544699E-3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0.99999999999999989</v>
          </cell>
          <cell r="F79">
            <v>1.3424184955006372E-3</v>
          </cell>
          <cell r="G79">
            <v>0.32243736593674871</v>
          </cell>
          <cell r="H79">
            <v>5.9595043538799096E-2</v>
          </cell>
          <cell r="I79">
            <v>0</v>
          </cell>
          <cell r="J79">
            <v>7.8801485292886789E-2</v>
          </cell>
          <cell r="K79">
            <v>0.44288227148756198</v>
          </cell>
          <cell r="L79">
            <v>7.2017033756398785E-2</v>
          </cell>
          <cell r="M79">
            <v>2.4832772551567597E-2</v>
          </cell>
          <cell r="N79">
            <v>5.666804449136963E-3</v>
          </cell>
          <cell r="O79">
            <v>-2.1761242651862698E-3</v>
          </cell>
          <cell r="P79">
            <v>-5.3990712434142741E-3</v>
          </cell>
          <cell r="S79" t="str">
            <v>IBT</v>
          </cell>
          <cell r="V79">
            <v>1.0000000000000013</v>
          </cell>
          <cell r="W79">
            <v>1.4373276535363541E-3</v>
          </cell>
          <cell r="X79">
            <v>0.32382365110732786</v>
          </cell>
          <cell r="Y79">
            <v>5.951122433611869E-2</v>
          </cell>
          <cell r="Z79">
            <v>0</v>
          </cell>
          <cell r="AA79">
            <v>7.9441542528562129E-2</v>
          </cell>
          <cell r="AB79">
            <v>0.44075029653336356</v>
          </cell>
          <cell r="AC79">
            <v>7.1918918720359618E-2</v>
          </cell>
          <cell r="AD79">
            <v>2.5021762650619343E-2</v>
          </cell>
          <cell r="AE79">
            <v>5.6704719787143325E-3</v>
          </cell>
          <cell r="AF79">
            <v>-2.1761242651862698E-3</v>
          </cell>
          <cell r="AG79">
            <v>-5.3990712434142741E-3</v>
          </cell>
        </row>
        <row r="80">
          <cell r="B80" t="str">
            <v>DITEXPRL</v>
          </cell>
          <cell r="E80">
            <v>1</v>
          </cell>
          <cell r="F80">
            <v>3.820734230764735E-2</v>
          </cell>
          <cell r="G80">
            <v>0.40257223089749877</v>
          </cell>
          <cell r="H80">
            <v>0.10602504897878147</v>
          </cell>
          <cell r="I80">
            <v>0</v>
          </cell>
          <cell r="J80">
            <v>0.13682062631159853</v>
          </cell>
          <cell r="K80">
            <v>0.27759105313017557</v>
          </cell>
          <cell r="L80">
            <v>3.3827407146276058E-2</v>
          </cell>
          <cell r="M80">
            <v>1.2594084744323233E-2</v>
          </cell>
          <cell r="N80">
            <v>4.5043958944305558E-4</v>
          </cell>
          <cell r="O80">
            <v>0</v>
          </cell>
          <cell r="P80">
            <v>-8.0882331057440908E-3</v>
          </cell>
          <cell r="S80" t="str">
            <v>DITEXPRL</v>
          </cell>
          <cell r="V80">
            <v>1</v>
          </cell>
          <cell r="W80">
            <v>3.820734230764735E-2</v>
          </cell>
          <cell r="X80">
            <v>0.40257223089749877</v>
          </cell>
          <cell r="Y80">
            <v>0.10602504897878147</v>
          </cell>
          <cell r="Z80">
            <v>0</v>
          </cell>
          <cell r="AA80">
            <v>0.13682062631159853</v>
          </cell>
          <cell r="AB80">
            <v>0.27759105313017557</v>
          </cell>
          <cell r="AC80">
            <v>3.3827407146276058E-2</v>
          </cell>
          <cell r="AD80">
            <v>1.2594084744323233E-2</v>
          </cell>
          <cell r="AE80">
            <v>4.5043958944305558E-4</v>
          </cell>
          <cell r="AF80">
            <v>0</v>
          </cell>
          <cell r="AG80">
            <v>-8.0882331057440908E-3</v>
          </cell>
        </row>
        <row r="81">
          <cell r="B81" t="str">
            <v>DITBALRL</v>
          </cell>
          <cell r="E81">
            <v>0.99999999999999989</v>
          </cell>
          <cell r="F81">
            <v>2.4206560574055073E-2</v>
          </cell>
          <cell r="G81">
            <v>0.28509007268076786</v>
          </cell>
          <cell r="H81">
            <v>7.1413137559927106E-2</v>
          </cell>
          <cell r="I81">
            <v>0</v>
          </cell>
          <cell r="J81">
            <v>8.8316299482360541E-2</v>
          </cell>
          <cell r="K81">
            <v>0.43153920169784471</v>
          </cell>
          <cell r="L81">
            <v>5.9587233152281351E-2</v>
          </cell>
          <cell r="M81">
            <v>2.1337848676977664E-2</v>
          </cell>
          <cell r="N81">
            <v>2.9507693473784669E-3</v>
          </cell>
          <cell r="O81">
            <v>4.8196326648974582E-3</v>
          </cell>
          <cell r="P81">
            <v>1.0739244163509706E-2</v>
          </cell>
          <cell r="S81" t="str">
            <v>DITBALRL</v>
          </cell>
          <cell r="V81">
            <v>0.99999999999999989</v>
          </cell>
          <cell r="W81">
            <v>2.4250772282932914E-2</v>
          </cell>
          <cell r="X81">
            <v>0.28012320363749954</v>
          </cell>
          <cell r="Y81">
            <v>7.1519913883084485E-2</v>
          </cell>
          <cell r="Z81">
            <v>0</v>
          </cell>
          <cell r="AA81">
            <v>8.6203317897314294E-2</v>
          </cell>
          <cell r="AB81">
            <v>0.44253609675338623</v>
          </cell>
          <cell r="AC81">
            <v>6.1288019233326059E-2</v>
          </cell>
          <cell r="AD81">
            <v>2.1827900848360681E-2</v>
          </cell>
          <cell r="AE81">
            <v>2.9375820905823964E-3</v>
          </cell>
          <cell r="AF81">
            <v>5.412448885004104E-5</v>
          </cell>
          <cell r="AG81">
            <v>9.2590688846633656E-3</v>
          </cell>
        </row>
        <row r="82">
          <cell r="B82" t="str">
            <v>TAXDEPRL</v>
          </cell>
          <cell r="E82">
            <v>1</v>
          </cell>
          <cell r="F82">
            <v>3.1582644516885382E-2</v>
          </cell>
          <cell r="G82">
            <v>0.3454849644768776</v>
          </cell>
          <cell r="H82">
            <v>9.2510725813840053E-2</v>
          </cell>
          <cell r="I82">
            <v>0</v>
          </cell>
          <cell r="J82">
            <v>0.10603233945654117</v>
          </cell>
          <cell r="K82">
            <v>0.35741978892824222</v>
          </cell>
          <cell r="L82">
            <v>4.5438361380919584E-2</v>
          </cell>
          <cell r="M82">
            <v>1.5355982395429173E-2</v>
          </cell>
          <cell r="N82">
            <v>9.8614317699577186E-4</v>
          </cell>
          <cell r="O82">
            <v>1.796106479658861E-4</v>
          </cell>
          <cell r="P82">
            <v>5.0094392063031621E-3</v>
          </cell>
          <cell r="S82" t="str">
            <v>TAXDEPRL</v>
          </cell>
          <cell r="V82">
            <v>1</v>
          </cell>
          <cell r="W82">
            <v>3.1582644516885382E-2</v>
          </cell>
          <cell r="X82">
            <v>0.3454849644768776</v>
          </cell>
          <cell r="Y82">
            <v>9.2510725813840053E-2</v>
          </cell>
          <cell r="Z82">
            <v>0</v>
          </cell>
          <cell r="AA82">
            <v>0.10603233945654117</v>
          </cell>
          <cell r="AB82">
            <v>0.35741978892824222</v>
          </cell>
          <cell r="AC82">
            <v>4.5438361380919584E-2</v>
          </cell>
          <cell r="AD82">
            <v>1.5355982395429173E-2</v>
          </cell>
          <cell r="AE82">
            <v>9.8614317699577186E-4</v>
          </cell>
          <cell r="AF82">
            <v>1.796106479658861E-4</v>
          </cell>
          <cell r="AG82">
            <v>5.0094392063031621E-3</v>
          </cell>
        </row>
        <row r="83">
          <cell r="B83" t="str">
            <v>DITEXPMA</v>
          </cell>
          <cell r="E83">
            <v>0.99999999999999989</v>
          </cell>
          <cell r="F83">
            <v>3.7351085777459152E-2</v>
          </cell>
          <cell r="G83">
            <v>0.40326901733054743</v>
          </cell>
          <cell r="H83">
            <v>0.10630906172626547</v>
          </cell>
          <cell r="I83">
            <v>0</v>
          </cell>
          <cell r="J83">
            <v>0.132708738210465</v>
          </cell>
          <cell r="K83">
            <v>0.28454230770785266</v>
          </cell>
          <cell r="L83">
            <v>3.521304570727983E-2</v>
          </cell>
          <cell r="M83">
            <v>1.400320882474726E-2</v>
          </cell>
          <cell r="N83">
            <v>7.7204060834672932E-4</v>
          </cell>
          <cell r="O83">
            <v>0</v>
          </cell>
          <cell r="P83">
            <v>-1.4168505892963559E-2</v>
          </cell>
          <cell r="S83" t="str">
            <v>DITEXPMA</v>
          </cell>
          <cell r="V83">
            <v>0.99999999999999989</v>
          </cell>
          <cell r="W83">
            <v>3.7278690357503592E-2</v>
          </cell>
          <cell r="X83">
            <v>0.40248738463481665</v>
          </cell>
          <cell r="Y83">
            <v>0.10610300910400412</v>
          </cell>
          <cell r="Z83">
            <v>0</v>
          </cell>
          <cell r="AA83">
            <v>0.13245151664288432</v>
          </cell>
          <cell r="AB83">
            <v>0.28399079603334959</v>
          </cell>
          <cell r="AC83">
            <v>3.5144794325055462E-2</v>
          </cell>
          <cell r="AD83">
            <v>1.3976067225982689E-2</v>
          </cell>
          <cell r="AE83">
            <v>7.7054420729437401E-4</v>
          </cell>
          <cell r="AF83">
            <v>0</v>
          </cell>
          <cell r="AG83">
            <v>-1.2202802530890781E-2</v>
          </cell>
        </row>
        <row r="84">
          <cell r="B84" t="str">
            <v>DITBALMA</v>
          </cell>
          <cell r="E84">
            <v>0.99999999999999989</v>
          </cell>
          <cell r="F84">
            <v>2.065497310429255E-2</v>
          </cell>
          <cell r="G84">
            <v>0.23057291116631942</v>
          </cell>
          <cell r="H84">
            <v>6.0192763730628915E-2</v>
          </cell>
          <cell r="I84">
            <v>0</v>
          </cell>
          <cell r="J84">
            <v>7.446491725706561E-2</v>
          </cell>
          <cell r="K84">
            <v>0.50544435379011543</v>
          </cell>
          <cell r="L84">
            <v>6.8119924296227125E-2</v>
          </cell>
          <cell r="M84">
            <v>2.44567418093357E-2</v>
          </cell>
          <cell r="N84">
            <v>1.9349456481331749E-3</v>
          </cell>
          <cell r="O84">
            <v>3.4770592774963326E-3</v>
          </cell>
          <cell r="P84">
            <v>1.0681409920385704E-2</v>
          </cell>
          <cell r="S84" t="str">
            <v>DITBALMA</v>
          </cell>
          <cell r="V84">
            <v>1</v>
          </cell>
          <cell r="W84">
            <v>2.1082242703550417E-2</v>
          </cell>
          <cell r="X84">
            <v>0.23181717898437315</v>
          </cell>
          <cell r="Y84">
            <v>5.9642459912231868E-2</v>
          </cell>
          <cell r="Z84">
            <v>0</v>
          </cell>
          <cell r="AA84">
            <v>7.2335197608361601E-2</v>
          </cell>
          <cell r="AB84">
            <v>0.50923903830556405</v>
          </cell>
          <cell r="AC84">
            <v>6.9843724527505271E-2</v>
          </cell>
          <cell r="AD84">
            <v>2.4807120833782982E-2</v>
          </cell>
          <cell r="AE84">
            <v>1.9186418981945103E-3</v>
          </cell>
          <cell r="AF84">
            <v>5.3947011318563515E-5</v>
          </cell>
          <cell r="AG84">
            <v>9.2604482151176313E-3</v>
          </cell>
        </row>
        <row r="85">
          <cell r="B85" t="str">
            <v>TAXDEPRMA</v>
          </cell>
          <cell r="E85">
            <v>1</v>
          </cell>
          <cell r="F85">
            <v>3.1725148177863073E-2</v>
          </cell>
          <cell r="G85">
            <v>0.34634246491982429</v>
          </cell>
          <cell r="H85">
            <v>9.2789951693303258E-2</v>
          </cell>
          <cell r="I85">
            <v>0</v>
          </cell>
          <cell r="J85">
            <v>0.10630235562592255</v>
          </cell>
          <cell r="K85">
            <v>0.35607132447943135</v>
          </cell>
          <cell r="L85">
            <v>4.5289261813292805E-2</v>
          </cell>
          <cell r="M85">
            <v>1.5311412410720249E-2</v>
          </cell>
          <cell r="N85">
            <v>9.7918640007409793E-4</v>
          </cell>
          <cell r="O85">
            <v>1.7945527326518587E-4</v>
          </cell>
          <cell r="P85">
            <v>5.0094392063031621E-3</v>
          </cell>
          <cell r="S85" t="str">
            <v>TAXDEPRMA</v>
          </cell>
          <cell r="V85">
            <v>1</v>
          </cell>
          <cell r="W85">
            <v>3.1725148177863073E-2</v>
          </cell>
          <cell r="X85">
            <v>0.34634246491982429</v>
          </cell>
          <cell r="Y85">
            <v>9.2789951693303258E-2</v>
          </cell>
          <cell r="Z85">
            <v>0</v>
          </cell>
          <cell r="AA85">
            <v>0.10630235562592255</v>
          </cell>
          <cell r="AB85">
            <v>0.35607132447943135</v>
          </cell>
          <cell r="AC85">
            <v>4.5289261813292805E-2</v>
          </cell>
          <cell r="AD85">
            <v>1.5311412410720249E-2</v>
          </cell>
          <cell r="AE85">
            <v>9.7918640007409793E-4</v>
          </cell>
          <cell r="AF85">
            <v>1.7945527326518587E-4</v>
          </cell>
          <cell r="AG85">
            <v>5.0094392063031621E-3</v>
          </cell>
        </row>
        <row r="86">
          <cell r="B86" t="str">
            <v>SCHMDEXP</v>
          </cell>
          <cell r="E86">
            <v>1.0000000000000002</v>
          </cell>
          <cell r="F86">
            <v>3.2885831014310848E-2</v>
          </cell>
          <cell r="G86">
            <v>0.34658587551126013</v>
          </cell>
          <cell r="H86">
            <v>9.0417916228603887E-2</v>
          </cell>
          <cell r="I86">
            <v>0</v>
          </cell>
          <cell r="J86">
            <v>0.10295898893694851</v>
          </cell>
          <cell r="K86">
            <v>0.36106819874578511</v>
          </cell>
          <cell r="L86">
            <v>4.8854589107847075E-2</v>
          </cell>
          <cell r="M86">
            <v>1.6187902659213493E-2</v>
          </cell>
          <cell r="N86">
            <v>1.0406977960310444E-3</v>
          </cell>
          <cell r="O86">
            <v>0</v>
          </cell>
          <cell r="P86">
            <v>0</v>
          </cell>
          <cell r="S86" t="str">
            <v>SCHMDEXP</v>
          </cell>
          <cell r="V86">
            <v>1.0000000000000002</v>
          </cell>
          <cell r="W86">
            <v>3.2879749614492505E-2</v>
          </cell>
          <cell r="X86">
            <v>0.3465655973610241</v>
          </cell>
          <cell r="Y86">
            <v>9.0418043400184139E-2</v>
          </cell>
          <cell r="Z86">
            <v>0</v>
          </cell>
          <cell r="AA86">
            <v>0.10294428453017571</v>
          </cell>
          <cell r="AB86">
            <v>0.36111494822515905</v>
          </cell>
          <cell r="AC86">
            <v>4.8852358810071994E-2</v>
          </cell>
          <cell r="AD86">
            <v>1.6184435496415881E-2</v>
          </cell>
          <cell r="AE86">
            <v>1.0405825624766806E-3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0.99999999999999989</v>
          </cell>
          <cell r="F87">
            <v>3.0597928127791864E-2</v>
          </cell>
          <cell r="G87">
            <v>0.34032871540937676</v>
          </cell>
          <cell r="H87">
            <v>8.9484026573696265E-2</v>
          </cell>
          <cell r="I87">
            <v>0</v>
          </cell>
          <cell r="J87">
            <v>0.11189333311881515</v>
          </cell>
          <cell r="K87">
            <v>0.36630453575295624</v>
          </cell>
          <cell r="L87">
            <v>4.4588583101575242E-2</v>
          </cell>
          <cell r="M87">
            <v>1.5758750400420355E-2</v>
          </cell>
          <cell r="N87">
            <v>1.0441275153680962E-3</v>
          </cell>
          <cell r="O87">
            <v>0</v>
          </cell>
          <cell r="P87">
            <v>0</v>
          </cell>
          <cell r="S87" t="str">
            <v>SCHMAEXP</v>
          </cell>
          <cell r="V87">
            <v>0.99999999999999956</v>
          </cell>
          <cell r="W87">
            <v>3.0524498508795184E-2</v>
          </cell>
          <cell r="X87">
            <v>0.34008386769499094</v>
          </cell>
          <cell r="Y87">
            <v>8.9485562101858068E-2</v>
          </cell>
          <cell r="Z87">
            <v>0</v>
          </cell>
          <cell r="AA87">
            <v>0.11171578534706018</v>
          </cell>
          <cell r="AB87">
            <v>0.36686901047280041</v>
          </cell>
          <cell r="AC87">
            <v>4.456165346024836E-2</v>
          </cell>
          <cell r="AD87">
            <v>1.5716886281823883E-2</v>
          </cell>
          <cell r="AE87">
            <v>1.0427361324225088E-3</v>
          </cell>
          <cell r="AF87">
            <v>0</v>
          </cell>
          <cell r="AG87">
            <v>0</v>
          </cell>
        </row>
        <row r="88">
          <cell r="B88" t="str">
            <v>SGCT</v>
          </cell>
          <cell r="E88">
            <v>1</v>
          </cell>
          <cell r="F88">
            <v>2.63269321250915E-2</v>
          </cell>
          <cell r="G88">
            <v>0.33778733334707867</v>
          </cell>
          <cell r="H88">
            <v>9.8494478024257884E-2</v>
          </cell>
          <cell r="I88">
            <v>0</v>
          </cell>
          <cell r="J88">
            <v>0.11445931571407936</v>
          </cell>
          <cell r="K88">
            <v>0.36362870066520436</v>
          </cell>
          <cell r="L88">
            <v>4.4057909513752283E-2</v>
          </cell>
          <cell r="M88">
            <v>1.5245330610535845E-2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1</v>
          </cell>
          <cell r="W88">
            <v>2.63269321250915E-2</v>
          </cell>
          <cell r="X88">
            <v>0.33778733334707867</v>
          </cell>
          <cell r="Y88">
            <v>9.8494478024257884E-2</v>
          </cell>
          <cell r="Z88">
            <v>0</v>
          </cell>
          <cell r="AA88">
            <v>0.11445931571407936</v>
          </cell>
          <cell r="AB88">
            <v>0.36362870066520436</v>
          </cell>
          <cell r="AC88">
            <v>4.4057909513752283E-2</v>
          </cell>
          <cell r="AD88">
            <v>1.5245330610535845E-2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MT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MT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D6"/>
  <sheetViews>
    <sheetView tabSelected="1" workbookViewId="0">
      <selection activeCell="A8" sqref="A8"/>
    </sheetView>
  </sheetViews>
  <sheetFormatPr defaultColWidth="9.140625" defaultRowHeight="12.75" x14ac:dyDescent="0.2"/>
  <cols>
    <col min="1" max="16384" width="9.140625" style="125"/>
  </cols>
  <sheetData>
    <row r="2" spans="1:4" ht="15.75" x14ac:dyDescent="0.25">
      <c r="A2" s="700" t="s">
        <v>591</v>
      </c>
    </row>
    <row r="3" spans="1:4" x14ac:dyDescent="0.2">
      <c r="A3" s="126"/>
    </row>
    <row r="4" spans="1:4" x14ac:dyDescent="0.2">
      <c r="D4" s="924" t="s">
        <v>601</v>
      </c>
    </row>
    <row r="5" spans="1:4" x14ac:dyDescent="0.2">
      <c r="A5" s="126"/>
    </row>
    <row r="6" spans="1:4" x14ac:dyDescent="0.2">
      <c r="A6" s="126"/>
    </row>
  </sheetData>
  <phoneticPr fontId="9" type="noConversion"/>
  <pageMargins left="0.75" right="0.75" top="1" bottom="1" header="0.5" footer="0.5"/>
  <pageSetup orientation="portrait" horizontalDpi="300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B1:U100"/>
  <sheetViews>
    <sheetView zoomScaleNormal="100" workbookViewId="0">
      <selection activeCell="S44" sqref="S44"/>
    </sheetView>
  </sheetViews>
  <sheetFormatPr defaultRowHeight="12.75" x14ac:dyDescent="0.2"/>
  <cols>
    <col min="1" max="1" width="2" customWidth="1"/>
    <col min="2" max="2" width="1.42578125" customWidth="1"/>
    <col min="3" max="3" width="32" customWidth="1"/>
    <col min="4" max="4" width="12" bestFit="1" customWidth="1"/>
    <col min="5" max="5" width="10.140625" customWidth="1"/>
    <col min="6" max="17" width="10.85546875" customWidth="1"/>
    <col min="18" max="18" width="12" customWidth="1"/>
    <col min="19" max="19" width="14.5703125" style="50" bestFit="1" customWidth="1"/>
    <col min="20" max="20" width="14.5703125" bestFit="1" customWidth="1"/>
  </cols>
  <sheetData>
    <row r="1" spans="2:18" x14ac:dyDescent="0.2">
      <c r="B1" s="846" t="s">
        <v>1</v>
      </c>
      <c r="C1" s="846"/>
      <c r="D1" s="846"/>
      <c r="E1" s="846"/>
      <c r="F1" s="846"/>
      <c r="G1" s="846"/>
      <c r="H1" s="846"/>
      <c r="I1" s="846"/>
      <c r="J1" s="846"/>
      <c r="K1" s="846"/>
      <c r="L1" s="846"/>
      <c r="M1" s="846"/>
      <c r="N1" s="846"/>
      <c r="O1" s="846"/>
      <c r="P1" s="846"/>
      <c r="Q1" s="846"/>
      <c r="R1" s="846"/>
    </row>
    <row r="2" spans="2:18" x14ac:dyDescent="0.2">
      <c r="B2" s="846" t="s">
        <v>397</v>
      </c>
      <c r="C2" s="846"/>
      <c r="D2" s="846"/>
      <c r="E2" s="846"/>
      <c r="F2" s="846"/>
      <c r="G2" s="846"/>
      <c r="H2" s="846"/>
      <c r="I2" s="846"/>
      <c r="J2" s="846"/>
      <c r="K2" s="846"/>
      <c r="L2" s="846"/>
      <c r="M2" s="846"/>
      <c r="N2" s="846"/>
      <c r="O2" s="846"/>
      <c r="P2" s="846"/>
      <c r="Q2" s="846"/>
      <c r="R2" s="846"/>
    </row>
    <row r="3" spans="2:18" x14ac:dyDescent="0.2">
      <c r="B3" s="846" t="s">
        <v>544</v>
      </c>
      <c r="C3" s="846"/>
      <c r="D3" s="846"/>
      <c r="E3" s="846"/>
      <c r="F3" s="846"/>
      <c r="G3" s="846"/>
      <c r="H3" s="846"/>
      <c r="I3" s="846"/>
      <c r="J3" s="846"/>
      <c r="K3" s="846"/>
      <c r="L3" s="846"/>
      <c r="M3" s="846"/>
      <c r="N3" s="846"/>
      <c r="O3" s="846"/>
      <c r="P3" s="846"/>
      <c r="Q3" s="846"/>
      <c r="R3" s="846"/>
    </row>
    <row r="4" spans="2:18" x14ac:dyDescent="0.2">
      <c r="B4" s="846" t="s">
        <v>542</v>
      </c>
      <c r="C4" s="846"/>
      <c r="D4" s="846"/>
      <c r="E4" s="846"/>
      <c r="F4" s="846"/>
      <c r="G4" s="846"/>
      <c r="H4" s="846"/>
      <c r="I4" s="846"/>
      <c r="J4" s="846"/>
      <c r="K4" s="846"/>
      <c r="L4" s="846"/>
      <c r="M4" s="846"/>
      <c r="N4" s="846"/>
      <c r="O4" s="846"/>
      <c r="P4" s="846"/>
      <c r="Q4" s="846"/>
      <c r="R4" s="846"/>
    </row>
    <row r="5" spans="2:18" x14ac:dyDescent="0.2">
      <c r="R5" s="15"/>
    </row>
    <row r="6" spans="2:18" x14ac:dyDescent="0.2">
      <c r="D6" s="16" t="s">
        <v>4</v>
      </c>
      <c r="E6" s="16" t="s">
        <v>2</v>
      </c>
      <c r="F6" s="198">
        <v>42917</v>
      </c>
      <c r="G6" s="198">
        <f>EDATE(F6,1)</f>
        <v>42948</v>
      </c>
      <c r="H6" s="198">
        <f t="shared" ref="H6:Q6" si="0">EDATE(G6,1)</f>
        <v>42979</v>
      </c>
      <c r="I6" s="198">
        <f t="shared" si="0"/>
        <v>43009</v>
      </c>
      <c r="J6" s="198">
        <f t="shared" si="0"/>
        <v>43040</v>
      </c>
      <c r="K6" s="198">
        <f t="shared" si="0"/>
        <v>43070</v>
      </c>
      <c r="L6" s="198">
        <f t="shared" si="0"/>
        <v>43101</v>
      </c>
      <c r="M6" s="198">
        <f t="shared" si="0"/>
        <v>43132</v>
      </c>
      <c r="N6" s="198">
        <f t="shared" si="0"/>
        <v>43160</v>
      </c>
      <c r="O6" s="198">
        <f t="shared" si="0"/>
        <v>43191</v>
      </c>
      <c r="P6" s="198">
        <f t="shared" si="0"/>
        <v>43221</v>
      </c>
      <c r="Q6" s="198">
        <f t="shared" si="0"/>
        <v>43252</v>
      </c>
      <c r="R6" s="16" t="s">
        <v>113</v>
      </c>
    </row>
    <row r="7" spans="2:18" x14ac:dyDescent="0.2">
      <c r="B7" s="15" t="s">
        <v>35</v>
      </c>
    </row>
    <row r="8" spans="2:18" x14ac:dyDescent="0.2">
      <c r="B8" s="15" t="s">
        <v>7</v>
      </c>
    </row>
    <row r="9" spans="2:18" x14ac:dyDescent="0.2">
      <c r="B9" t="s">
        <v>36</v>
      </c>
      <c r="D9">
        <v>71</v>
      </c>
      <c r="E9" t="s">
        <v>5</v>
      </c>
      <c r="F9" s="130">
        <f>'Rate Design Rental'!$I$14</f>
        <v>7.37</v>
      </c>
      <c r="G9" s="130">
        <f>'Rate Design Rental'!$I$14</f>
        <v>7.37</v>
      </c>
      <c r="H9" s="130">
        <f>'Rate Design Rental'!$I$14</f>
        <v>7.37</v>
      </c>
      <c r="I9" s="130">
        <f>'Rate Design Rental'!$I$14</f>
        <v>7.37</v>
      </c>
      <c r="J9" s="130">
        <f>'Rate Design Rental'!$I$14</f>
        <v>7.37</v>
      </c>
      <c r="K9" s="130">
        <f>'Rate Design Rental'!$I$14</f>
        <v>7.37</v>
      </c>
      <c r="L9" s="130">
        <f>'Rate Design Rental'!$I$14</f>
        <v>7.37</v>
      </c>
      <c r="M9" s="130">
        <f>'Rate Design Rental'!$I$14</f>
        <v>7.37</v>
      </c>
      <c r="N9" s="130">
        <f>'Rate Design Rental'!$I$14</f>
        <v>7.37</v>
      </c>
      <c r="O9" s="130">
        <f>'Rate Design Rental'!$I$14</f>
        <v>7.37</v>
      </c>
      <c r="P9" s="130">
        <f>'Rate Design Rental'!$I$14</f>
        <v>7.37</v>
      </c>
      <c r="Q9" s="130">
        <f>'Rate Design Rental'!$I$14</f>
        <v>7.37</v>
      </c>
    </row>
    <row r="10" spans="2:18" x14ac:dyDescent="0.2">
      <c r="B10" t="s">
        <v>37</v>
      </c>
      <c r="D10">
        <v>71</v>
      </c>
      <c r="E10" t="s">
        <v>5</v>
      </c>
      <c r="F10" s="130">
        <f>'Rate Design Rental'!$I$15</f>
        <v>12.09</v>
      </c>
      <c r="G10" s="130">
        <f>'Rate Design Rental'!$I$15</f>
        <v>12.09</v>
      </c>
      <c r="H10" s="130">
        <f>'Rate Design Rental'!$I$15</f>
        <v>12.09</v>
      </c>
      <c r="I10" s="130">
        <f>'Rate Design Rental'!$I$15</f>
        <v>12.09</v>
      </c>
      <c r="J10" s="130">
        <f>'Rate Design Rental'!$I$15</f>
        <v>12.09</v>
      </c>
      <c r="K10" s="130">
        <f>'Rate Design Rental'!$I$15</f>
        <v>12.09</v>
      </c>
      <c r="L10" s="130">
        <f>'Rate Design Rental'!$I$15</f>
        <v>12.09</v>
      </c>
      <c r="M10" s="130">
        <f>'Rate Design Rental'!$I$15</f>
        <v>12.09</v>
      </c>
      <c r="N10" s="130">
        <f>'Rate Design Rental'!$I$15</f>
        <v>12.09</v>
      </c>
      <c r="O10" s="130">
        <f>'Rate Design Rental'!$I$15</f>
        <v>12.09</v>
      </c>
      <c r="P10" s="130">
        <f>'Rate Design Rental'!$I$15</f>
        <v>12.09</v>
      </c>
      <c r="Q10" s="130">
        <f>'Rate Design Rental'!$I$15</f>
        <v>12.09</v>
      </c>
    </row>
    <row r="11" spans="2:18" x14ac:dyDescent="0.2">
      <c r="B11" t="s">
        <v>38</v>
      </c>
      <c r="D11">
        <v>71</v>
      </c>
      <c r="E11" t="s">
        <v>5</v>
      </c>
      <c r="F11" s="130">
        <f>'Rate Design Rental'!$I$16</f>
        <v>17.149999999999999</v>
      </c>
      <c r="G11" s="130">
        <f>'Rate Design Rental'!$I$16</f>
        <v>17.149999999999999</v>
      </c>
      <c r="H11" s="130">
        <f>'Rate Design Rental'!$I$16</f>
        <v>17.149999999999999</v>
      </c>
      <c r="I11" s="130">
        <f>'Rate Design Rental'!$I$16</f>
        <v>17.149999999999999</v>
      </c>
      <c r="J11" s="130">
        <f>'Rate Design Rental'!$I$16</f>
        <v>17.149999999999999</v>
      </c>
      <c r="K11" s="130">
        <f>'Rate Design Rental'!$I$16</f>
        <v>17.149999999999999</v>
      </c>
      <c r="L11" s="130">
        <f>'Rate Design Rental'!$I$16</f>
        <v>17.149999999999999</v>
      </c>
      <c r="M11" s="130">
        <f>'Rate Design Rental'!$I$16</f>
        <v>17.149999999999999</v>
      </c>
      <c r="N11" s="130">
        <f>'Rate Design Rental'!$I$16</f>
        <v>17.149999999999999</v>
      </c>
      <c r="O11" s="130">
        <f>'Rate Design Rental'!$I$16</f>
        <v>17.149999999999999</v>
      </c>
      <c r="P11" s="130">
        <f>'Rate Design Rental'!$I$16</f>
        <v>17.149999999999999</v>
      </c>
      <c r="Q11" s="130">
        <f>'Rate Design Rental'!$I$16</f>
        <v>17.149999999999999</v>
      </c>
    </row>
    <row r="12" spans="2:18" x14ac:dyDescent="0.2">
      <c r="B12" t="s">
        <v>39</v>
      </c>
      <c r="D12">
        <v>71</v>
      </c>
      <c r="E12" t="s">
        <v>5</v>
      </c>
      <c r="F12" s="130">
        <f>'Rate Design Rental'!$I$17</f>
        <v>16.78</v>
      </c>
      <c r="G12" s="130">
        <f>'Rate Design Rental'!$I$17</f>
        <v>16.78</v>
      </c>
      <c r="H12" s="130">
        <f>'Rate Design Rental'!$I$17</f>
        <v>16.78</v>
      </c>
      <c r="I12" s="130">
        <f>'Rate Design Rental'!$I$17</f>
        <v>16.78</v>
      </c>
      <c r="J12" s="130">
        <f>'Rate Design Rental'!$I$17</f>
        <v>16.78</v>
      </c>
      <c r="K12" s="130">
        <f>'Rate Design Rental'!$I$17</f>
        <v>16.78</v>
      </c>
      <c r="L12" s="130">
        <f>'Rate Design Rental'!$I$17</f>
        <v>16.78</v>
      </c>
      <c r="M12" s="130">
        <f>'Rate Design Rental'!$I$17</f>
        <v>16.78</v>
      </c>
      <c r="N12" s="130">
        <f>'Rate Design Rental'!$I$17</f>
        <v>16.78</v>
      </c>
      <c r="O12" s="130">
        <f>'Rate Design Rental'!$I$17</f>
        <v>16.78</v>
      </c>
      <c r="P12" s="130">
        <f>'Rate Design Rental'!$I$17</f>
        <v>16.78</v>
      </c>
      <c r="Q12" s="130">
        <f>'Rate Design Rental'!$I$17</f>
        <v>16.78</v>
      </c>
    </row>
    <row r="13" spans="2:18" x14ac:dyDescent="0.2">
      <c r="B13" t="s">
        <v>40</v>
      </c>
      <c r="D13">
        <v>71</v>
      </c>
      <c r="E13" t="s">
        <v>5</v>
      </c>
      <c r="F13" s="130">
        <f>'Rate Design Rental'!$I$18</f>
        <v>5.83</v>
      </c>
      <c r="G13" s="130">
        <f>'Rate Design Rental'!$I$18</f>
        <v>5.83</v>
      </c>
      <c r="H13" s="130">
        <f>'Rate Design Rental'!$I$18</f>
        <v>5.83</v>
      </c>
      <c r="I13" s="130">
        <f>'Rate Design Rental'!$I$18</f>
        <v>5.83</v>
      </c>
      <c r="J13" s="130">
        <f>'Rate Design Rental'!$I$18</f>
        <v>5.83</v>
      </c>
      <c r="K13" s="130">
        <f>'Rate Design Rental'!$I$18</f>
        <v>5.83</v>
      </c>
      <c r="L13" s="130">
        <f>'Rate Design Rental'!$I$18</f>
        <v>5.83</v>
      </c>
      <c r="M13" s="130">
        <f>'Rate Design Rental'!$I$18</f>
        <v>5.83</v>
      </c>
      <c r="N13" s="130">
        <f>'Rate Design Rental'!$I$18</f>
        <v>5.83</v>
      </c>
      <c r="O13" s="130">
        <f>'Rate Design Rental'!$I$18</f>
        <v>5.83</v>
      </c>
      <c r="P13" s="130">
        <f>'Rate Design Rental'!$I$18</f>
        <v>5.83</v>
      </c>
      <c r="Q13" s="130">
        <f>'Rate Design Rental'!$I$18</f>
        <v>5.83</v>
      </c>
    </row>
    <row r="14" spans="2:18" x14ac:dyDescent="0.2">
      <c r="B14" t="s">
        <v>41</v>
      </c>
      <c r="D14">
        <v>71</v>
      </c>
      <c r="E14" t="s">
        <v>5</v>
      </c>
      <c r="F14" s="130">
        <f>'Rate Design Rental'!$I$19</f>
        <v>10.57</v>
      </c>
      <c r="G14" s="130">
        <f>'Rate Design Rental'!$I$19</f>
        <v>10.57</v>
      </c>
      <c r="H14" s="130">
        <f>'Rate Design Rental'!$I$19</f>
        <v>10.57</v>
      </c>
      <c r="I14" s="130">
        <f>'Rate Design Rental'!$I$19</f>
        <v>10.57</v>
      </c>
      <c r="J14" s="130">
        <f>'Rate Design Rental'!$I$19</f>
        <v>10.57</v>
      </c>
      <c r="K14" s="130">
        <f>'Rate Design Rental'!$I$19</f>
        <v>10.57</v>
      </c>
      <c r="L14" s="130">
        <f>'Rate Design Rental'!$I$19</f>
        <v>10.57</v>
      </c>
      <c r="M14" s="130">
        <f>'Rate Design Rental'!$I$19</f>
        <v>10.57</v>
      </c>
      <c r="N14" s="130">
        <f>'Rate Design Rental'!$I$19</f>
        <v>10.57</v>
      </c>
      <c r="O14" s="130">
        <f>'Rate Design Rental'!$I$19</f>
        <v>10.57</v>
      </c>
      <c r="P14" s="130">
        <f>'Rate Design Rental'!$I$19</f>
        <v>10.57</v>
      </c>
      <c r="Q14" s="130">
        <f>'Rate Design Rental'!$I$19</f>
        <v>10.57</v>
      </c>
    </row>
    <row r="16" spans="2:18" x14ac:dyDescent="0.2">
      <c r="B16" s="15" t="s">
        <v>8</v>
      </c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</row>
    <row r="17" spans="2:19" s="30" customFormat="1" ht="12.75" customHeight="1" x14ac:dyDescent="0.25">
      <c r="B17" s="30" t="s">
        <v>36</v>
      </c>
      <c r="E17" s="30" t="s">
        <v>69</v>
      </c>
      <c r="F17" s="179">
        <v>1085.1554347826088</v>
      </c>
      <c r="G17" s="179">
        <v>1095.271739130435</v>
      </c>
      <c r="H17" s="179">
        <v>1028.8304347826088</v>
      </c>
      <c r="I17" s="179">
        <v>1064.2445652173913</v>
      </c>
      <c r="J17" s="179">
        <v>1017.1434782608695</v>
      </c>
      <c r="K17" s="179">
        <v>1055.2872204071375</v>
      </c>
      <c r="L17" s="180">
        <v>1033.7757225433525</v>
      </c>
      <c r="M17" s="180">
        <v>945.84508670520233</v>
      </c>
      <c r="N17" s="180">
        <v>1078.1606936416185</v>
      </c>
      <c r="O17" s="184">
        <v>1042.8161849710982</v>
      </c>
      <c r="P17" s="184">
        <v>1040.7661428529932</v>
      </c>
      <c r="Q17" s="184">
        <v>993.1683417085427</v>
      </c>
      <c r="R17" s="46">
        <f>SUM(F17:Q17)</f>
        <v>12480.465045003857</v>
      </c>
      <c r="S17" s="31"/>
    </row>
    <row r="18" spans="2:19" s="30" customFormat="1" ht="12.75" customHeight="1" x14ac:dyDescent="0.25">
      <c r="B18" s="30" t="s">
        <v>37</v>
      </c>
      <c r="E18" s="30" t="s">
        <v>69</v>
      </c>
      <c r="F18" s="179">
        <v>16915.187327823693</v>
      </c>
      <c r="G18" s="179">
        <v>17070.690082644629</v>
      </c>
      <c r="H18" s="179">
        <v>15992.024104683196</v>
      </c>
      <c r="I18" s="179">
        <v>16515.414600550965</v>
      </c>
      <c r="J18" s="179">
        <v>15789.394628099175</v>
      </c>
      <c r="K18" s="179">
        <v>16300.663356438283</v>
      </c>
      <c r="L18" s="180">
        <v>16099.599706744868</v>
      </c>
      <c r="M18" s="180">
        <v>14678.629765395894</v>
      </c>
      <c r="N18" s="180">
        <v>16673.274926686216</v>
      </c>
      <c r="O18" s="184">
        <v>16173.826246334309</v>
      </c>
      <c r="P18" s="184">
        <v>16233.312189514972</v>
      </c>
      <c r="Q18" s="184">
        <v>15464.36593059937</v>
      </c>
      <c r="R18" s="46">
        <f t="shared" ref="R18:R22" si="1">SUM(F18:Q18)</f>
        <v>193906.38286551557</v>
      </c>
      <c r="S18" s="31"/>
    </row>
    <row r="19" spans="2:19" s="30" customFormat="1" ht="12.75" customHeight="1" x14ac:dyDescent="0.25">
      <c r="B19" s="30" t="s">
        <v>38</v>
      </c>
      <c r="E19" s="30" t="s">
        <v>69</v>
      </c>
      <c r="F19" s="179">
        <v>3184.9822046465647</v>
      </c>
      <c r="G19" s="179">
        <v>3215.2130499258528</v>
      </c>
      <c r="H19" s="179">
        <v>3013.5971329708354</v>
      </c>
      <c r="I19" s="179">
        <v>3126.019278299555</v>
      </c>
      <c r="J19" s="179">
        <v>2994.2886801779532</v>
      </c>
      <c r="K19" s="179">
        <v>3076.9092630323239</v>
      </c>
      <c r="L19" s="180">
        <v>3042.6304691618343</v>
      </c>
      <c r="M19" s="180">
        <v>2777.3674222456516</v>
      </c>
      <c r="N19" s="180">
        <v>3147.1560358460729</v>
      </c>
      <c r="O19" s="184">
        <v>3059.9393779652087</v>
      </c>
      <c r="P19" s="184">
        <v>3081.7409925717875</v>
      </c>
      <c r="Q19" s="184">
        <v>2920.3404735062009</v>
      </c>
      <c r="R19" s="46">
        <f t="shared" si="1"/>
        <v>36640.184380349841</v>
      </c>
      <c r="S19" s="31"/>
    </row>
    <row r="20" spans="2:19" s="30" customFormat="1" ht="12.75" customHeight="1" x14ac:dyDescent="0.25">
      <c r="B20" s="30" t="s">
        <v>39</v>
      </c>
      <c r="E20" s="30" t="s">
        <v>69</v>
      </c>
      <c r="F20" s="179">
        <v>721.73548712771333</v>
      </c>
      <c r="G20" s="179">
        <v>728.75012619888957</v>
      </c>
      <c r="H20" s="179">
        <v>678.68854114083797</v>
      </c>
      <c r="I20" s="179">
        <v>699.89500252397784</v>
      </c>
      <c r="J20" s="179">
        <v>667.3508329126704</v>
      </c>
      <c r="K20" s="179">
        <v>682.6099353215418</v>
      </c>
      <c r="L20" s="180">
        <v>674.62560516406677</v>
      </c>
      <c r="M20" s="180">
        <v>614.99300699300693</v>
      </c>
      <c r="N20" s="180">
        <v>696.23776223776224</v>
      </c>
      <c r="O20" s="184">
        <v>677.99731038192579</v>
      </c>
      <c r="P20" s="184">
        <v>680.11525501202652</v>
      </c>
      <c r="Q20" s="184">
        <v>643.05814622913067</v>
      </c>
      <c r="R20" s="46">
        <f t="shared" si="1"/>
        <v>8166.0570112435507</v>
      </c>
      <c r="S20" s="31"/>
    </row>
    <row r="21" spans="2:19" s="30" customFormat="1" ht="12.75" customHeight="1" x14ac:dyDescent="0.25">
      <c r="B21" s="30" t="s">
        <v>40</v>
      </c>
      <c r="E21" s="30" t="s">
        <v>69</v>
      </c>
      <c r="F21" s="179">
        <v>3555.6702412868631</v>
      </c>
      <c r="G21" s="179">
        <v>3601.2573726541555</v>
      </c>
      <c r="H21" s="179">
        <v>3377.5321715817695</v>
      </c>
      <c r="I21" s="179">
        <v>3485.516085790885</v>
      </c>
      <c r="J21" s="179">
        <v>3339.225201072386</v>
      </c>
      <c r="K21" s="179">
        <v>3457.5811829758713</v>
      </c>
      <c r="L21" s="180">
        <v>3394.727272727273</v>
      </c>
      <c r="M21" s="180">
        <v>3098.9715909090905</v>
      </c>
      <c r="N21" s="180">
        <v>3524.9573863636365</v>
      </c>
      <c r="O21" s="184">
        <v>3416.990056818182</v>
      </c>
      <c r="P21" s="184">
        <v>3438.2039082412916</v>
      </c>
      <c r="Q21" s="184">
        <v>3278.5747663551401</v>
      </c>
      <c r="R21" s="46">
        <f t="shared" si="1"/>
        <v>40969.207236776536</v>
      </c>
      <c r="S21" s="31"/>
    </row>
    <row r="22" spans="2:19" s="30" customFormat="1" ht="12.75" customHeight="1" x14ac:dyDescent="0.25">
      <c r="B22" s="30" t="s">
        <v>41</v>
      </c>
      <c r="E22" s="30" t="s">
        <v>69</v>
      </c>
      <c r="F22" s="179">
        <v>208.73692427790789</v>
      </c>
      <c r="G22" s="179">
        <v>209.17252146760342</v>
      </c>
      <c r="H22" s="179">
        <v>195.65573770491801</v>
      </c>
      <c r="I22" s="179">
        <v>202.91100702576111</v>
      </c>
      <c r="J22" s="179">
        <v>192.7166276346604</v>
      </c>
      <c r="K22" s="179">
        <v>199.79105320227924</v>
      </c>
      <c r="L22" s="180">
        <v>196.22028262676645</v>
      </c>
      <c r="M22" s="180">
        <v>178.50623441396507</v>
      </c>
      <c r="N22" s="180">
        <v>203.99833748960933</v>
      </c>
      <c r="O22" s="184">
        <v>198.78802992518706</v>
      </c>
      <c r="P22" s="184">
        <v>200.35938156401113</v>
      </c>
      <c r="Q22" s="184">
        <v>191.64605734767025</v>
      </c>
      <c r="R22" s="46">
        <f t="shared" si="1"/>
        <v>2378.5021946803395</v>
      </c>
      <c r="S22" s="31"/>
    </row>
    <row r="23" spans="2:19" x14ac:dyDescent="0.2">
      <c r="B23" t="s">
        <v>42</v>
      </c>
      <c r="F23" s="39">
        <f t="shared" ref="F23:K23" si="2">SUM(F17:F22)</f>
        <v>25671.46761994535</v>
      </c>
      <c r="G23" s="39">
        <f t="shared" si="2"/>
        <v>25920.354892021569</v>
      </c>
      <c r="H23" s="39">
        <f t="shared" si="2"/>
        <v>24286.328122864164</v>
      </c>
      <c r="I23" s="39">
        <f t="shared" si="2"/>
        <v>25094.000539408535</v>
      </c>
      <c r="J23" s="39">
        <f t="shared" si="2"/>
        <v>24000.119448157715</v>
      </c>
      <c r="K23" s="39">
        <f t="shared" si="2"/>
        <v>24772.842011377441</v>
      </c>
      <c r="L23" s="39">
        <f>SUM(L17:L22)</f>
        <v>24441.579058968164</v>
      </c>
      <c r="M23" s="39">
        <f>SUM(M17:M22)</f>
        <v>22294.313106662808</v>
      </c>
      <c r="N23" s="39">
        <f>SUM(N17:N22)</f>
        <v>25323.785142264915</v>
      </c>
      <c r="O23" s="39">
        <f t="shared" ref="O23:Q23" si="3">SUM(O17:O22)</f>
        <v>24570.357206395911</v>
      </c>
      <c r="P23" s="39">
        <f t="shared" si="3"/>
        <v>24674.497869757084</v>
      </c>
      <c r="Q23" s="39">
        <f t="shared" si="3"/>
        <v>23491.153715746052</v>
      </c>
      <c r="R23" s="39">
        <f>SUM(R17:R22)</f>
        <v>294540.79873356968</v>
      </c>
    </row>
    <row r="25" spans="2:19" x14ac:dyDescent="0.2">
      <c r="B25" s="15" t="s">
        <v>9</v>
      </c>
    </row>
    <row r="26" spans="2:19" x14ac:dyDescent="0.2">
      <c r="B26" t="s">
        <v>36</v>
      </c>
      <c r="D26">
        <v>71</v>
      </c>
      <c r="F26" s="23">
        <f t="shared" ref="F26:K26" si="4">F9*F17</f>
        <v>7997.5955543478276</v>
      </c>
      <c r="G26" s="23">
        <f t="shared" si="4"/>
        <v>8072.1527173913055</v>
      </c>
      <c r="H26" s="23">
        <f t="shared" si="4"/>
        <v>7582.4803043478269</v>
      </c>
      <c r="I26" s="23">
        <f t="shared" si="4"/>
        <v>7843.4824456521737</v>
      </c>
      <c r="J26" s="23">
        <f t="shared" si="4"/>
        <v>7496.3474347826086</v>
      </c>
      <c r="K26" s="23">
        <f t="shared" si="4"/>
        <v>7777.4668144006037</v>
      </c>
      <c r="L26" s="23">
        <f t="shared" ref="L26:N31" si="5">L9*L17</f>
        <v>7618.9270751445074</v>
      </c>
      <c r="M26" s="23">
        <f t="shared" si="5"/>
        <v>6970.8782890173416</v>
      </c>
      <c r="N26" s="23">
        <f t="shared" si="5"/>
        <v>7946.0443121387289</v>
      </c>
      <c r="O26" s="23">
        <f t="shared" ref="O26:Q26" si="6">O9*O17</f>
        <v>7685.555283236994</v>
      </c>
      <c r="P26" s="23">
        <f t="shared" si="6"/>
        <v>7670.4464728265602</v>
      </c>
      <c r="Q26" s="23">
        <f t="shared" si="6"/>
        <v>7319.6506783919594</v>
      </c>
      <c r="R26" s="23">
        <f>SUM(F26:Q26)</f>
        <v>91981.027381678447</v>
      </c>
    </row>
    <row r="27" spans="2:19" x14ac:dyDescent="0.2">
      <c r="B27" t="s">
        <v>37</v>
      </c>
      <c r="D27">
        <v>71</v>
      </c>
      <c r="F27" s="23">
        <f t="shared" ref="F27:K27" si="7">F10*F18</f>
        <v>204504.61479338843</v>
      </c>
      <c r="G27" s="23">
        <f t="shared" si="7"/>
        <v>206384.64309917355</v>
      </c>
      <c r="H27" s="23">
        <f t="shared" si="7"/>
        <v>193343.57142561983</v>
      </c>
      <c r="I27" s="23">
        <f t="shared" si="7"/>
        <v>199671.36252066115</v>
      </c>
      <c r="J27" s="23">
        <f t="shared" si="7"/>
        <v>190893.78105371902</v>
      </c>
      <c r="K27" s="23">
        <f t="shared" si="7"/>
        <v>197075.01997933883</v>
      </c>
      <c r="L27" s="23">
        <f t="shared" si="5"/>
        <v>194644.16045454546</v>
      </c>
      <c r="M27" s="23">
        <f t="shared" si="5"/>
        <v>177464.63386363635</v>
      </c>
      <c r="N27" s="23">
        <f t="shared" si="5"/>
        <v>201579.89386363633</v>
      </c>
      <c r="O27" s="23">
        <f t="shared" ref="O27:Q27" si="8">O10*O18</f>
        <v>195541.5593181818</v>
      </c>
      <c r="P27" s="23">
        <f t="shared" si="8"/>
        <v>196260.74437123601</v>
      </c>
      <c r="Q27" s="23">
        <f t="shared" si="8"/>
        <v>186964.18410094638</v>
      </c>
      <c r="R27" s="23">
        <f t="shared" ref="R27:R31" si="9">SUM(F27:Q27)</f>
        <v>2344328.1688440829</v>
      </c>
    </row>
    <row r="28" spans="2:19" x14ac:dyDescent="0.2">
      <c r="B28" t="s">
        <v>38</v>
      </c>
      <c r="D28">
        <v>71</v>
      </c>
      <c r="F28" s="23">
        <f t="shared" ref="F28:K28" si="10">F11*F19</f>
        <v>54622.444809688583</v>
      </c>
      <c r="G28" s="23">
        <f t="shared" si="10"/>
        <v>55140.903806228373</v>
      </c>
      <c r="H28" s="23">
        <f t="shared" si="10"/>
        <v>51683.190830449821</v>
      </c>
      <c r="I28" s="23">
        <f t="shared" si="10"/>
        <v>53611.230622837364</v>
      </c>
      <c r="J28" s="23">
        <f t="shared" si="10"/>
        <v>51352.050865051897</v>
      </c>
      <c r="K28" s="23">
        <f t="shared" si="10"/>
        <v>52768.993861004354</v>
      </c>
      <c r="L28" s="23">
        <f t="shared" si="5"/>
        <v>52181.112546125456</v>
      </c>
      <c r="M28" s="23">
        <f t="shared" si="5"/>
        <v>47631.851291512918</v>
      </c>
      <c r="N28" s="23">
        <f t="shared" si="5"/>
        <v>53973.726014760148</v>
      </c>
      <c r="O28" s="23">
        <f t="shared" ref="O28:Q28" si="11">O11*O19</f>
        <v>52477.960332103321</v>
      </c>
      <c r="P28" s="23">
        <f t="shared" si="11"/>
        <v>52851.858022606153</v>
      </c>
      <c r="Q28" s="23">
        <f t="shared" si="11"/>
        <v>50083.839120631339</v>
      </c>
      <c r="R28" s="23">
        <f t="shared" si="9"/>
        <v>628379.16212299967</v>
      </c>
    </row>
    <row r="29" spans="2:19" x14ac:dyDescent="0.2">
      <c r="B29" t="s">
        <v>39</v>
      </c>
      <c r="D29">
        <v>71</v>
      </c>
      <c r="F29" s="23">
        <f t="shared" ref="F29:K29" si="12">F12*F20</f>
        <v>12110.72147400303</v>
      </c>
      <c r="G29" s="23">
        <f t="shared" si="12"/>
        <v>12228.427117617368</v>
      </c>
      <c r="H29" s="23">
        <f t="shared" si="12"/>
        <v>11388.393720343262</v>
      </c>
      <c r="I29" s="23">
        <f t="shared" si="12"/>
        <v>11744.238142352349</v>
      </c>
      <c r="J29" s="23">
        <f t="shared" si="12"/>
        <v>11198.146976274609</v>
      </c>
      <c r="K29" s="23">
        <f t="shared" si="12"/>
        <v>11454.194714695472</v>
      </c>
      <c r="L29" s="23">
        <f t="shared" si="5"/>
        <v>11320.217654653041</v>
      </c>
      <c r="M29" s="23">
        <f t="shared" si="5"/>
        <v>10319.582657342657</v>
      </c>
      <c r="N29" s="23">
        <f t="shared" si="5"/>
        <v>11682.86965034965</v>
      </c>
      <c r="O29" s="23">
        <f t="shared" ref="O29:Q29" si="13">O12*O20</f>
        <v>11376.794868208715</v>
      </c>
      <c r="P29" s="23">
        <f t="shared" si="13"/>
        <v>11412.333979101806</v>
      </c>
      <c r="Q29" s="23">
        <f t="shared" si="13"/>
        <v>10790.515693724814</v>
      </c>
      <c r="R29" s="23">
        <f t="shared" si="9"/>
        <v>137026.43664866677</v>
      </c>
    </row>
    <row r="30" spans="2:19" x14ac:dyDescent="0.2">
      <c r="B30" t="s">
        <v>40</v>
      </c>
      <c r="D30">
        <v>71</v>
      </c>
      <c r="F30" s="23">
        <f t="shared" ref="F30:K30" si="14">F13*F21</f>
        <v>20729.557506702411</v>
      </c>
      <c r="G30" s="23">
        <f t="shared" si="14"/>
        <v>20995.330482573725</v>
      </c>
      <c r="H30" s="23">
        <f t="shared" si="14"/>
        <v>19691.012560321717</v>
      </c>
      <c r="I30" s="23">
        <f t="shared" si="14"/>
        <v>20320.55878016086</v>
      </c>
      <c r="J30" s="23">
        <f t="shared" si="14"/>
        <v>19467.68292225201</v>
      </c>
      <c r="K30" s="23">
        <f t="shared" si="14"/>
        <v>20157.698296749331</v>
      </c>
      <c r="L30" s="23">
        <f t="shared" si="5"/>
        <v>19791.260000000002</v>
      </c>
      <c r="M30" s="23">
        <f t="shared" si="5"/>
        <v>18067.004374999997</v>
      </c>
      <c r="N30" s="23">
        <f t="shared" si="5"/>
        <v>20550.501562500001</v>
      </c>
      <c r="O30" s="23">
        <f t="shared" ref="O30:Q30" si="15">O13*O21</f>
        <v>19921.052031250001</v>
      </c>
      <c r="P30" s="23">
        <f t="shared" si="15"/>
        <v>20044.728785046729</v>
      </c>
      <c r="Q30" s="23">
        <f t="shared" si="15"/>
        <v>19114.090887850467</v>
      </c>
      <c r="R30" s="23">
        <f t="shared" si="9"/>
        <v>238850.47819040724</v>
      </c>
    </row>
    <row r="31" spans="2:19" x14ac:dyDescent="0.2">
      <c r="B31" t="s">
        <v>41</v>
      </c>
      <c r="D31">
        <v>71</v>
      </c>
      <c r="F31" s="23">
        <f t="shared" ref="F31:K31" si="16">F14*F22</f>
        <v>2206.3492896174866</v>
      </c>
      <c r="G31" s="23">
        <f t="shared" si="16"/>
        <v>2210.9535519125684</v>
      </c>
      <c r="H31" s="23">
        <f t="shared" si="16"/>
        <v>2068.0811475409832</v>
      </c>
      <c r="I31" s="23">
        <f t="shared" si="16"/>
        <v>2144.7693442622949</v>
      </c>
      <c r="J31" s="23">
        <f t="shared" si="16"/>
        <v>2037.0147540983605</v>
      </c>
      <c r="K31" s="23">
        <f t="shared" si="16"/>
        <v>2111.7914323480918</v>
      </c>
      <c r="L31" s="23">
        <f t="shared" si="5"/>
        <v>2074.0483873649214</v>
      </c>
      <c r="M31" s="23">
        <f t="shared" si="5"/>
        <v>1886.810897755611</v>
      </c>
      <c r="N31" s="23">
        <f t="shared" si="5"/>
        <v>2156.2624272651706</v>
      </c>
      <c r="O31" s="23">
        <f t="shared" ref="O31:Q31" si="17">O14*O22</f>
        <v>2101.1894763092273</v>
      </c>
      <c r="P31" s="23">
        <f t="shared" si="17"/>
        <v>2117.7986631315976</v>
      </c>
      <c r="Q31" s="23">
        <f t="shared" si="17"/>
        <v>2025.6988261648746</v>
      </c>
      <c r="R31" s="23">
        <f t="shared" si="9"/>
        <v>25140.768197771187</v>
      </c>
    </row>
    <row r="32" spans="2:19" x14ac:dyDescent="0.2">
      <c r="B32" t="s">
        <v>24</v>
      </c>
      <c r="F32" s="24">
        <f t="shared" ref="F32:K32" si="18">SUM(F26:F31)</f>
        <v>302171.28342774784</v>
      </c>
      <c r="G32" s="24">
        <f t="shared" si="18"/>
        <v>305032.41077489691</v>
      </c>
      <c r="H32" s="24">
        <f t="shared" si="18"/>
        <v>285756.72998862341</v>
      </c>
      <c r="I32" s="24">
        <f t="shared" si="18"/>
        <v>295335.64185592619</v>
      </c>
      <c r="J32" s="24">
        <f t="shared" si="18"/>
        <v>282445.02400617849</v>
      </c>
      <c r="K32" s="24">
        <f t="shared" si="18"/>
        <v>291345.16509853664</v>
      </c>
      <c r="L32" s="24">
        <f>SUM(L26:L31)</f>
        <v>287629.72611783346</v>
      </c>
      <c r="M32" s="24">
        <f>SUM(M26:M31)</f>
        <v>262340.76137426484</v>
      </c>
      <c r="N32" s="24">
        <f>SUM(N26:N31)</f>
        <v>297889.29783065006</v>
      </c>
      <c r="O32" s="24">
        <f t="shared" ref="O32:Q32" si="19">SUM(O26:O31)</f>
        <v>289104.11130929005</v>
      </c>
      <c r="P32" s="24">
        <f t="shared" si="19"/>
        <v>290357.91029394884</v>
      </c>
      <c r="Q32" s="24">
        <f t="shared" si="19"/>
        <v>276297.97930770984</v>
      </c>
      <c r="R32" s="24">
        <f>SUM(R26:R31)</f>
        <v>3465706.0413856064</v>
      </c>
    </row>
    <row r="33" spans="2:19" x14ac:dyDescent="0.2"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</row>
    <row r="34" spans="2:19" x14ac:dyDescent="0.2">
      <c r="B34" s="15" t="s">
        <v>43</v>
      </c>
    </row>
    <row r="35" spans="2:19" x14ac:dyDescent="0.2">
      <c r="B35" s="15" t="s">
        <v>7</v>
      </c>
    </row>
    <row r="36" spans="2:19" x14ac:dyDescent="0.2">
      <c r="B36" t="s">
        <v>44</v>
      </c>
      <c r="D36">
        <v>72</v>
      </c>
      <c r="E36" t="s">
        <v>5</v>
      </c>
      <c r="F36" s="130">
        <f>'Rate Design Rental'!$I$20</f>
        <v>14.9</v>
      </c>
      <c r="G36" s="130">
        <f>'Rate Design Rental'!$I$20</f>
        <v>14.9</v>
      </c>
      <c r="H36" s="130">
        <f>'Rate Design Rental'!$I$20</f>
        <v>14.9</v>
      </c>
      <c r="I36" s="130">
        <f>'Rate Design Rental'!$I$20</f>
        <v>14.9</v>
      </c>
      <c r="J36" s="130">
        <f>'Rate Design Rental'!$I$20</f>
        <v>14.9</v>
      </c>
      <c r="K36" s="130">
        <f>'Rate Design Rental'!$I$20</f>
        <v>14.9</v>
      </c>
      <c r="L36" s="130">
        <f>'Rate Design Rental'!$I$20</f>
        <v>14.9</v>
      </c>
      <c r="M36" s="130">
        <f>'Rate Design Rental'!$I$20</f>
        <v>14.9</v>
      </c>
      <c r="N36" s="130">
        <f>'Rate Design Rental'!$I$20</f>
        <v>14.9</v>
      </c>
      <c r="O36" s="130">
        <f>'Rate Design Rental'!$I$20</f>
        <v>14.9</v>
      </c>
      <c r="P36" s="130">
        <f>'Rate Design Rental'!$I$20</f>
        <v>14.9</v>
      </c>
      <c r="Q36" s="130">
        <f>'Rate Design Rental'!$I$20</f>
        <v>14.9</v>
      </c>
    </row>
    <row r="37" spans="2:19" x14ac:dyDescent="0.2">
      <c r="B37" t="s">
        <v>45</v>
      </c>
      <c r="D37">
        <v>72</v>
      </c>
      <c r="E37" t="s">
        <v>5</v>
      </c>
      <c r="F37" s="130">
        <f>'Rate Design Rental'!$I$21</f>
        <v>19.600000000000001</v>
      </c>
      <c r="G37" s="130">
        <f>'Rate Design Rental'!$I$21</f>
        <v>19.600000000000001</v>
      </c>
      <c r="H37" s="130">
        <f>'Rate Design Rental'!$I$21</f>
        <v>19.600000000000001</v>
      </c>
      <c r="I37" s="130">
        <f>'Rate Design Rental'!$I$21</f>
        <v>19.600000000000001</v>
      </c>
      <c r="J37" s="130">
        <f>'Rate Design Rental'!$I$21</f>
        <v>19.600000000000001</v>
      </c>
      <c r="K37" s="130">
        <f>'Rate Design Rental'!$I$21</f>
        <v>19.600000000000001</v>
      </c>
      <c r="L37" s="130">
        <f>'Rate Design Rental'!$I$21</f>
        <v>19.600000000000001</v>
      </c>
      <c r="M37" s="130">
        <f>'Rate Design Rental'!$I$21</f>
        <v>19.600000000000001</v>
      </c>
      <c r="N37" s="130">
        <f>'Rate Design Rental'!$I$21</f>
        <v>19.600000000000001</v>
      </c>
      <c r="O37" s="130">
        <f>'Rate Design Rental'!$I$21</f>
        <v>19.600000000000001</v>
      </c>
      <c r="P37" s="130">
        <f>'Rate Design Rental'!$I$21</f>
        <v>19.600000000000001</v>
      </c>
      <c r="Q37" s="130">
        <f>'Rate Design Rental'!$I$21</f>
        <v>19.600000000000001</v>
      </c>
    </row>
    <row r="38" spans="2:19" x14ac:dyDescent="0.2">
      <c r="B38" t="s">
        <v>46</v>
      </c>
      <c r="D38">
        <v>72</v>
      </c>
      <c r="E38" t="s">
        <v>5</v>
      </c>
      <c r="F38" s="130">
        <f>'Rate Design Rental'!$I$22</f>
        <v>19.600000000000001</v>
      </c>
      <c r="G38" s="130">
        <f>'Rate Design Rental'!$I$22</f>
        <v>19.600000000000001</v>
      </c>
      <c r="H38" s="130">
        <f>'Rate Design Rental'!$I$22</f>
        <v>19.600000000000001</v>
      </c>
      <c r="I38" s="130">
        <f>'Rate Design Rental'!$I$22</f>
        <v>19.600000000000001</v>
      </c>
      <c r="J38" s="130">
        <f>'Rate Design Rental'!$I$22</f>
        <v>19.600000000000001</v>
      </c>
      <c r="K38" s="130">
        <f>'Rate Design Rental'!$I$22</f>
        <v>19.600000000000001</v>
      </c>
      <c r="L38" s="130">
        <f>'Rate Design Rental'!$I$22</f>
        <v>19.600000000000001</v>
      </c>
      <c r="M38" s="130">
        <f>'Rate Design Rental'!$I$22</f>
        <v>19.600000000000001</v>
      </c>
      <c r="N38" s="130">
        <f>'Rate Design Rental'!$I$22</f>
        <v>19.600000000000001</v>
      </c>
      <c r="O38" s="130">
        <f>'Rate Design Rental'!$I$22</f>
        <v>19.600000000000001</v>
      </c>
      <c r="P38" s="130">
        <f>'Rate Design Rental'!$I$22</f>
        <v>19.600000000000001</v>
      </c>
      <c r="Q38" s="130">
        <f>'Rate Design Rental'!$I$22</f>
        <v>19.600000000000001</v>
      </c>
    </row>
    <row r="39" spans="2:19" x14ac:dyDescent="0.2">
      <c r="B39" t="s">
        <v>47</v>
      </c>
      <c r="D39">
        <v>72</v>
      </c>
      <c r="E39" t="s">
        <v>5</v>
      </c>
      <c r="F39" s="130">
        <f>'Rate Design Rental'!$I$23</f>
        <v>30.95</v>
      </c>
      <c r="G39" s="130">
        <f>'Rate Design Rental'!$I$23</f>
        <v>30.95</v>
      </c>
      <c r="H39" s="130">
        <f>'Rate Design Rental'!$I$23</f>
        <v>30.95</v>
      </c>
      <c r="I39" s="130">
        <f>'Rate Design Rental'!$I$23</f>
        <v>30.95</v>
      </c>
      <c r="J39" s="130">
        <f>'Rate Design Rental'!$I$23</f>
        <v>30.95</v>
      </c>
      <c r="K39" s="130">
        <f>'Rate Design Rental'!$I$23</f>
        <v>30.95</v>
      </c>
      <c r="L39" s="130">
        <f>'Rate Design Rental'!$I$23</f>
        <v>30.95</v>
      </c>
      <c r="M39" s="130">
        <f>'Rate Design Rental'!$I$23</f>
        <v>30.95</v>
      </c>
      <c r="N39" s="130">
        <f>'Rate Design Rental'!$I$23</f>
        <v>30.95</v>
      </c>
      <c r="O39" s="130">
        <f>'Rate Design Rental'!$I$23</f>
        <v>30.95</v>
      </c>
      <c r="P39" s="130">
        <f>'Rate Design Rental'!$I$23</f>
        <v>30.95</v>
      </c>
      <c r="Q39" s="130">
        <f>'Rate Design Rental'!$I$23</f>
        <v>30.95</v>
      </c>
    </row>
    <row r="40" spans="2:19" x14ac:dyDescent="0.2">
      <c r="B40" t="s">
        <v>48</v>
      </c>
      <c r="D40">
        <v>72</v>
      </c>
      <c r="E40" t="s">
        <v>5</v>
      </c>
      <c r="F40" s="130">
        <f>'Rate Design Rental'!$I$24</f>
        <v>40.51</v>
      </c>
      <c r="G40" s="130">
        <f>'Rate Design Rental'!$I$24</f>
        <v>40.51</v>
      </c>
      <c r="H40" s="130">
        <f>'Rate Design Rental'!$I$24</f>
        <v>40.51</v>
      </c>
      <c r="I40" s="130">
        <f>'Rate Design Rental'!$I$24</f>
        <v>40.51</v>
      </c>
      <c r="J40" s="130">
        <f>'Rate Design Rental'!$I$24</f>
        <v>40.51</v>
      </c>
      <c r="K40" s="130">
        <f>'Rate Design Rental'!$I$24</f>
        <v>40.51</v>
      </c>
      <c r="L40" s="130">
        <f>'Rate Design Rental'!$I$24</f>
        <v>40.51</v>
      </c>
      <c r="M40" s="130">
        <f>'Rate Design Rental'!$I$24</f>
        <v>40.51</v>
      </c>
      <c r="N40" s="130">
        <f>'Rate Design Rental'!$I$24</f>
        <v>40.51</v>
      </c>
      <c r="O40" s="130">
        <f>'Rate Design Rental'!$I$24</f>
        <v>40.51</v>
      </c>
      <c r="P40" s="130">
        <f>'Rate Design Rental'!$I$24</f>
        <v>40.51</v>
      </c>
      <c r="Q40" s="130">
        <f>'Rate Design Rental'!$I$24</f>
        <v>40.51</v>
      </c>
    </row>
    <row r="41" spans="2:19" x14ac:dyDescent="0.2">
      <c r="B41" t="s">
        <v>49</v>
      </c>
      <c r="D41">
        <v>72</v>
      </c>
      <c r="E41" t="s">
        <v>5</v>
      </c>
      <c r="F41" s="130">
        <f>'Rate Design Rental'!$I$25</f>
        <v>54.25</v>
      </c>
      <c r="G41" s="130">
        <f>'Rate Design Rental'!$I$25</f>
        <v>54.25</v>
      </c>
      <c r="H41" s="130">
        <f>'Rate Design Rental'!$I$25</f>
        <v>54.25</v>
      </c>
      <c r="I41" s="130">
        <f>'Rate Design Rental'!$I$25</f>
        <v>54.25</v>
      </c>
      <c r="J41" s="130">
        <f>'Rate Design Rental'!$I$25</f>
        <v>54.25</v>
      </c>
      <c r="K41" s="130">
        <f>'Rate Design Rental'!$I$25</f>
        <v>54.25</v>
      </c>
      <c r="L41" s="130">
        <f>'Rate Design Rental'!$I$25</f>
        <v>54.25</v>
      </c>
      <c r="M41" s="130">
        <f>'Rate Design Rental'!$I$25</f>
        <v>54.25</v>
      </c>
      <c r="N41" s="130">
        <f>'Rate Design Rental'!$I$25</f>
        <v>54.25</v>
      </c>
      <c r="O41" s="130">
        <f>'Rate Design Rental'!$I$25</f>
        <v>54.25</v>
      </c>
      <c r="P41" s="130">
        <f>'Rate Design Rental'!$I$25</f>
        <v>54.25</v>
      </c>
      <c r="Q41" s="130">
        <f>'Rate Design Rental'!$I$25</f>
        <v>54.25</v>
      </c>
    </row>
    <row r="42" spans="2:19" x14ac:dyDescent="0.2">
      <c r="B42" t="s">
        <v>50</v>
      </c>
      <c r="D42">
        <v>72</v>
      </c>
      <c r="E42" t="s">
        <v>5</v>
      </c>
      <c r="F42" s="130">
        <f>'Rate Design Rental'!$I$26</f>
        <v>63.09</v>
      </c>
      <c r="G42" s="130">
        <f>'Rate Design Rental'!$I$26</f>
        <v>63.09</v>
      </c>
      <c r="H42" s="130">
        <f>'Rate Design Rental'!$I$26</f>
        <v>63.09</v>
      </c>
      <c r="I42" s="130">
        <f>'Rate Design Rental'!$I$26</f>
        <v>63.09</v>
      </c>
      <c r="J42" s="130">
        <f>'Rate Design Rental'!$I$26</f>
        <v>63.09</v>
      </c>
      <c r="K42" s="130">
        <f>'Rate Design Rental'!$I$26</f>
        <v>63.09</v>
      </c>
      <c r="L42" s="130">
        <f>'Rate Design Rental'!$I$26</f>
        <v>63.09</v>
      </c>
      <c r="M42" s="130">
        <f>'Rate Design Rental'!$I$26</f>
        <v>63.09</v>
      </c>
      <c r="N42" s="130">
        <f>'Rate Design Rental'!$I$26</f>
        <v>63.09</v>
      </c>
      <c r="O42" s="130">
        <f>'Rate Design Rental'!$I$26</f>
        <v>63.09</v>
      </c>
      <c r="P42" s="130">
        <f>'Rate Design Rental'!$I$26</f>
        <v>63.09</v>
      </c>
      <c r="Q42" s="130">
        <f>'Rate Design Rental'!$I$26</f>
        <v>63.09</v>
      </c>
    </row>
    <row r="44" spans="2:19" x14ac:dyDescent="0.2">
      <c r="B44" s="15" t="s">
        <v>8</v>
      </c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</row>
    <row r="45" spans="2:19" s="30" customFormat="1" ht="12.75" customHeight="1" x14ac:dyDescent="0.25">
      <c r="B45" s="30" t="s">
        <v>44</v>
      </c>
      <c r="E45" s="30" t="s">
        <v>69</v>
      </c>
      <c r="F45" s="179">
        <v>119.81165158371041</v>
      </c>
      <c r="G45" s="179">
        <v>121.00339366515838</v>
      </c>
      <c r="H45" s="179">
        <v>115.11877828054298</v>
      </c>
      <c r="I45" s="179">
        <v>118.77205882352941</v>
      </c>
      <c r="J45" s="179">
        <v>111.72794117647058</v>
      </c>
      <c r="K45" s="179">
        <v>115.58367188160562</v>
      </c>
      <c r="L45" s="180">
        <v>114.13321277878241</v>
      </c>
      <c r="M45" s="180">
        <v>104.43821579264618</v>
      </c>
      <c r="N45" s="180">
        <v>119.22242314647379</v>
      </c>
      <c r="O45" s="184">
        <v>116.44665461121157</v>
      </c>
      <c r="P45" s="184">
        <v>116.83931767213754</v>
      </c>
      <c r="Q45" s="184">
        <v>112.28276307295029</v>
      </c>
      <c r="R45" s="46">
        <f>SUM(F45:Q45)</f>
        <v>1385.380082485219</v>
      </c>
      <c r="S45" s="31"/>
    </row>
    <row r="46" spans="2:19" s="30" customFormat="1" ht="12.75" customHeight="1" x14ac:dyDescent="0.25">
      <c r="B46" s="30" t="s">
        <v>45</v>
      </c>
      <c r="E46" s="30" t="s">
        <v>69</v>
      </c>
      <c r="F46" s="179">
        <v>89.358539765319421</v>
      </c>
      <c r="G46" s="179">
        <v>89.996523250760546</v>
      </c>
      <c r="H46" s="179">
        <v>85.253802694480655</v>
      </c>
      <c r="I46" s="179">
        <v>88.504997827031715</v>
      </c>
      <c r="J46" s="179">
        <v>84.224250325945235</v>
      </c>
      <c r="K46" s="179">
        <v>87.802691457049804</v>
      </c>
      <c r="L46" s="180">
        <v>87.45779220779221</v>
      </c>
      <c r="M46" s="180">
        <v>79.320500927643792</v>
      </c>
      <c r="N46" s="180">
        <v>89.946196660482386</v>
      </c>
      <c r="O46" s="184">
        <v>86.881725417439711</v>
      </c>
      <c r="P46" s="184">
        <v>85.684886895457893</v>
      </c>
      <c r="Q46" s="184">
        <v>83.126300148588399</v>
      </c>
      <c r="R46" s="46">
        <f t="shared" ref="R46:R51" si="20">SUM(F46:Q46)</f>
        <v>1037.5582075779919</v>
      </c>
      <c r="S46" s="31"/>
    </row>
    <row r="47" spans="2:19" s="30" customFormat="1" ht="12.75" customHeight="1" x14ac:dyDescent="0.25">
      <c r="B47" s="30" t="s">
        <v>46</v>
      </c>
      <c r="E47" s="30" t="s">
        <v>69</v>
      </c>
      <c r="F47" s="179">
        <v>241.72316384180789</v>
      </c>
      <c r="G47" s="179">
        <v>243.94654498044326</v>
      </c>
      <c r="H47" s="179">
        <v>230.81790525858321</v>
      </c>
      <c r="I47" s="179">
        <v>237.77183833116035</v>
      </c>
      <c r="J47" s="179">
        <v>226.77879182963929</v>
      </c>
      <c r="K47" s="179">
        <v>233.77839110042498</v>
      </c>
      <c r="L47" s="180">
        <v>232.46382189239333</v>
      </c>
      <c r="M47" s="180">
        <v>211.23423005565863</v>
      </c>
      <c r="N47" s="180">
        <v>236.86456400742117</v>
      </c>
      <c r="O47" s="184">
        <v>229.18877551020412</v>
      </c>
      <c r="P47" s="184">
        <v>230.01569091772868</v>
      </c>
      <c r="Q47" s="184">
        <v>217.35661218424963</v>
      </c>
      <c r="R47" s="46">
        <f t="shared" si="20"/>
        <v>2771.9403299097144</v>
      </c>
      <c r="S47" s="31"/>
    </row>
    <row r="48" spans="2:19" s="30" customFormat="1" ht="12.75" customHeight="1" x14ac:dyDescent="0.25">
      <c r="B48" s="30" t="s">
        <v>47</v>
      </c>
      <c r="E48" s="30" t="s">
        <v>69</v>
      </c>
      <c r="F48" s="179">
        <v>13.316568873987148</v>
      </c>
      <c r="G48" s="179">
        <v>13.436714165968148</v>
      </c>
      <c r="H48" s="179">
        <v>12.781782620843812</v>
      </c>
      <c r="I48" s="179">
        <v>13.176306230790724</v>
      </c>
      <c r="J48" s="179">
        <v>12.522771723945237</v>
      </c>
      <c r="K48" s="179">
        <v>13.209126172347609</v>
      </c>
      <c r="L48" s="180">
        <v>13.094542201014017</v>
      </c>
      <c r="M48" s="180">
        <v>11.847002684163435</v>
      </c>
      <c r="N48" s="180">
        <v>13.679391589621234</v>
      </c>
      <c r="O48" s="184">
        <v>13.234118699671935</v>
      </c>
      <c r="P48" s="184">
        <v>13.267633297091864</v>
      </c>
      <c r="Q48" s="184">
        <v>12.857641090678502</v>
      </c>
      <c r="R48" s="46">
        <f t="shared" si="20"/>
        <v>156.42359935012365</v>
      </c>
      <c r="S48" s="31"/>
    </row>
    <row r="49" spans="2:19" s="30" customFormat="1" ht="12.75" customHeight="1" x14ac:dyDescent="0.25">
      <c r="B49" s="30" t="s">
        <v>48</v>
      </c>
      <c r="E49" s="30" t="s">
        <v>69</v>
      </c>
      <c r="F49" s="179">
        <v>577.36504187245009</v>
      </c>
      <c r="G49" s="179">
        <v>581.67275069787411</v>
      </c>
      <c r="H49" s="179">
        <v>550.9944170066567</v>
      </c>
      <c r="I49" s="179">
        <v>564.87975091260466</v>
      </c>
      <c r="J49" s="179">
        <v>538.88490444492163</v>
      </c>
      <c r="K49" s="179">
        <v>560.78133148080269</v>
      </c>
      <c r="L49" s="180">
        <v>553.85946813388352</v>
      </c>
      <c r="M49" s="180">
        <v>503.65910132966536</v>
      </c>
      <c r="N49" s="180">
        <v>571.99426868408989</v>
      </c>
      <c r="O49" s="184">
        <v>555.40829894543788</v>
      </c>
      <c r="P49" s="184">
        <v>558.05272074351478</v>
      </c>
      <c r="Q49" s="184">
        <v>535.53892944038932</v>
      </c>
      <c r="R49" s="46">
        <f t="shared" si="20"/>
        <v>6653.0909836922901</v>
      </c>
      <c r="S49" s="31"/>
    </row>
    <row r="50" spans="2:19" s="30" customFormat="1" ht="12.75" customHeight="1" x14ac:dyDescent="0.25">
      <c r="B50" s="30" t="s">
        <v>49</v>
      </c>
      <c r="E50" s="30" t="s">
        <v>69</v>
      </c>
      <c r="F50" s="179">
        <v>389.67493556701032</v>
      </c>
      <c r="G50" s="179">
        <v>392.11082474226805</v>
      </c>
      <c r="H50" s="179">
        <v>369.97309922680415</v>
      </c>
      <c r="I50" s="179">
        <v>379.37113402061857</v>
      </c>
      <c r="J50" s="179">
        <v>363.68073453608247</v>
      </c>
      <c r="K50" s="179">
        <v>378.20374964850703</v>
      </c>
      <c r="L50" s="180">
        <v>373.6085011185682</v>
      </c>
      <c r="M50" s="180">
        <v>340.57683703321283</v>
      </c>
      <c r="N50" s="180">
        <v>386.75253828945102</v>
      </c>
      <c r="O50" s="184">
        <v>375.70108415074861</v>
      </c>
      <c r="P50" s="184">
        <v>378.61723041300604</v>
      </c>
      <c r="Q50" s="184">
        <v>364.7448942377826</v>
      </c>
      <c r="R50" s="46">
        <f t="shared" si="20"/>
        <v>4493.0155629840601</v>
      </c>
      <c r="S50" s="31"/>
    </row>
    <row r="51" spans="2:19" s="30" customFormat="1" ht="12.75" customHeight="1" x14ac:dyDescent="0.25">
      <c r="B51" s="30" t="s">
        <v>50</v>
      </c>
      <c r="E51" s="30" t="s">
        <v>69</v>
      </c>
      <c r="F51" s="179">
        <v>1116.8391394864677</v>
      </c>
      <c r="G51" s="179">
        <v>1128.0147120055519</v>
      </c>
      <c r="H51" s="179">
        <v>1066.6023594725884</v>
      </c>
      <c r="I51" s="179">
        <v>1094.7529493407355</v>
      </c>
      <c r="J51" s="179">
        <v>1047.997918112422</v>
      </c>
      <c r="K51" s="179">
        <v>1093.5556146960353</v>
      </c>
      <c r="L51" s="180">
        <v>1087.2295373665479</v>
      </c>
      <c r="M51" s="180">
        <v>986.3290332147094</v>
      </c>
      <c r="N51" s="180">
        <v>1124.0837781731911</v>
      </c>
      <c r="O51" s="184">
        <v>1088.1192170818506</v>
      </c>
      <c r="P51" s="184">
        <v>1093.9170118460033</v>
      </c>
      <c r="Q51" s="184">
        <v>1052.2836055276382</v>
      </c>
      <c r="R51" s="46">
        <f t="shared" si="20"/>
        <v>12979.72487632374</v>
      </c>
      <c r="S51" s="31"/>
    </row>
    <row r="52" spans="2:19" x14ac:dyDescent="0.2">
      <c r="B52" t="s">
        <v>42</v>
      </c>
      <c r="F52" s="39">
        <f t="shared" ref="F52:R52" si="21">SUM(F45:F51)</f>
        <v>2548.0890409907533</v>
      </c>
      <c r="G52" s="39">
        <f t="shared" si="21"/>
        <v>2570.1814635080245</v>
      </c>
      <c r="H52" s="39">
        <f t="shared" si="21"/>
        <v>2431.5421445604998</v>
      </c>
      <c r="I52" s="39">
        <f t="shared" si="21"/>
        <v>2497.2290354864708</v>
      </c>
      <c r="J52" s="39">
        <f t="shared" si="21"/>
        <v>2385.8173121494265</v>
      </c>
      <c r="K52" s="39">
        <f t="shared" si="21"/>
        <v>2482.9145764367731</v>
      </c>
      <c r="L52" s="39">
        <f t="shared" si="21"/>
        <v>2461.8468756989814</v>
      </c>
      <c r="M52" s="39">
        <f t="shared" si="21"/>
        <v>2237.4049210376998</v>
      </c>
      <c r="N52" s="39">
        <f t="shared" si="21"/>
        <v>2542.5431605507306</v>
      </c>
      <c r="O52" s="39">
        <f t="shared" si="21"/>
        <v>2464.9798744165646</v>
      </c>
      <c r="P52" s="39">
        <f t="shared" si="21"/>
        <v>2476.3944917849403</v>
      </c>
      <c r="Q52" s="39">
        <f t="shared" si="21"/>
        <v>2378.1907457022771</v>
      </c>
      <c r="R52" s="39">
        <f t="shared" si="21"/>
        <v>29477.133642323141</v>
      </c>
    </row>
    <row r="54" spans="2:19" x14ac:dyDescent="0.2">
      <c r="B54" s="15" t="s">
        <v>9</v>
      </c>
    </row>
    <row r="55" spans="2:19" x14ac:dyDescent="0.2">
      <c r="B55" t="s">
        <v>44</v>
      </c>
      <c r="D55">
        <v>72</v>
      </c>
      <c r="F55" s="23">
        <f t="shared" ref="F55:N55" si="22">F36*F45</f>
        <v>1785.1936085972852</v>
      </c>
      <c r="G55" s="23">
        <f t="shared" si="22"/>
        <v>1802.9505656108599</v>
      </c>
      <c r="H55" s="23">
        <f t="shared" si="22"/>
        <v>1715.2697963800904</v>
      </c>
      <c r="I55" s="23">
        <f t="shared" si="22"/>
        <v>1769.7036764705881</v>
      </c>
      <c r="J55" s="23">
        <f t="shared" si="22"/>
        <v>1664.7463235294117</v>
      </c>
      <c r="K55" s="23">
        <f t="shared" si="22"/>
        <v>1722.196711035924</v>
      </c>
      <c r="L55" s="23">
        <f t="shared" si="22"/>
        <v>1700.5848704038578</v>
      </c>
      <c r="M55" s="23">
        <f t="shared" si="22"/>
        <v>1556.1294153104282</v>
      </c>
      <c r="N55" s="23">
        <f t="shared" si="22"/>
        <v>1776.4141048824595</v>
      </c>
      <c r="O55" s="23">
        <f t="shared" ref="O55:Q55" si="23">O36*O45</f>
        <v>1735.0551537070523</v>
      </c>
      <c r="P55" s="23">
        <f t="shared" si="23"/>
        <v>1740.9058333148494</v>
      </c>
      <c r="Q55" s="23">
        <f t="shared" si="23"/>
        <v>1673.0131697869595</v>
      </c>
      <c r="R55" s="23">
        <f>SUM(F55:Q55)</f>
        <v>20642.163229029764</v>
      </c>
    </row>
    <row r="56" spans="2:19" x14ac:dyDescent="0.2">
      <c r="B56" t="s">
        <v>45</v>
      </c>
      <c r="D56">
        <v>72</v>
      </c>
      <c r="F56" s="23">
        <f t="shared" ref="F56:N56" si="24">F37*F46</f>
        <v>1751.4273794002609</v>
      </c>
      <c r="G56" s="23">
        <f t="shared" si="24"/>
        <v>1763.9318557149068</v>
      </c>
      <c r="H56" s="23">
        <f t="shared" si="24"/>
        <v>1670.9745328118211</v>
      </c>
      <c r="I56" s="23">
        <f t="shared" si="24"/>
        <v>1734.6979574098218</v>
      </c>
      <c r="J56" s="23">
        <f t="shared" si="24"/>
        <v>1650.7953063885268</v>
      </c>
      <c r="K56" s="23">
        <f t="shared" si="24"/>
        <v>1720.9327525581762</v>
      </c>
      <c r="L56" s="23">
        <f t="shared" si="24"/>
        <v>1714.1727272727273</v>
      </c>
      <c r="M56" s="23">
        <f t="shared" si="24"/>
        <v>1554.6818181818185</v>
      </c>
      <c r="N56" s="23">
        <f t="shared" si="24"/>
        <v>1762.9454545454548</v>
      </c>
      <c r="O56" s="23">
        <f t="shared" ref="O56:Q56" si="25">O37*O46</f>
        <v>1702.8818181818185</v>
      </c>
      <c r="P56" s="23">
        <f t="shared" si="25"/>
        <v>1679.4237831509749</v>
      </c>
      <c r="Q56" s="23">
        <f t="shared" si="25"/>
        <v>1629.2754829123328</v>
      </c>
      <c r="R56" s="23">
        <f t="shared" ref="R56:R61" si="26">SUM(F56:Q56)</f>
        <v>20336.140868528641</v>
      </c>
    </row>
    <row r="57" spans="2:19" x14ac:dyDescent="0.2">
      <c r="B57" t="s">
        <v>46</v>
      </c>
      <c r="D57">
        <v>72</v>
      </c>
      <c r="F57" s="23">
        <f t="shared" ref="F57:N57" si="27">F38*F47</f>
        <v>4737.7740112994352</v>
      </c>
      <c r="G57" s="23">
        <f t="shared" si="27"/>
        <v>4781.3522816166887</v>
      </c>
      <c r="H57" s="23">
        <f t="shared" si="27"/>
        <v>4524.030943068231</v>
      </c>
      <c r="I57" s="23">
        <f t="shared" si="27"/>
        <v>4660.3280312907436</v>
      </c>
      <c r="J57" s="23">
        <f t="shared" si="27"/>
        <v>4444.8643198609307</v>
      </c>
      <c r="K57" s="23">
        <f t="shared" si="27"/>
        <v>4582.0564655683302</v>
      </c>
      <c r="L57" s="23">
        <f t="shared" si="27"/>
        <v>4556.2909090909097</v>
      </c>
      <c r="M57" s="23">
        <f t="shared" si="27"/>
        <v>4140.1909090909094</v>
      </c>
      <c r="N57" s="23">
        <f t="shared" si="27"/>
        <v>4642.545454545455</v>
      </c>
      <c r="O57" s="23">
        <f t="shared" ref="O57:Q57" si="28">O38*O47</f>
        <v>4492.1000000000013</v>
      </c>
      <c r="P57" s="23">
        <f t="shared" si="28"/>
        <v>4508.3075419874822</v>
      </c>
      <c r="Q57" s="23">
        <f t="shared" si="28"/>
        <v>4260.1895988112929</v>
      </c>
      <c r="R57" s="23">
        <f t="shared" si="26"/>
        <v>54330.030466230412</v>
      </c>
    </row>
    <row r="58" spans="2:19" x14ac:dyDescent="0.2">
      <c r="B58" t="s">
        <v>47</v>
      </c>
      <c r="D58">
        <v>72</v>
      </c>
      <c r="F58" s="23">
        <f t="shared" ref="F58:N58" si="29">F39*F48</f>
        <v>412.14780664990224</v>
      </c>
      <c r="G58" s="23">
        <f t="shared" si="29"/>
        <v>415.86630343671419</v>
      </c>
      <c r="H58" s="23">
        <f t="shared" si="29"/>
        <v>395.59617211511596</v>
      </c>
      <c r="I58" s="23">
        <f t="shared" si="29"/>
        <v>407.80667784297287</v>
      </c>
      <c r="J58" s="23">
        <f t="shared" si="29"/>
        <v>387.57978485610505</v>
      </c>
      <c r="K58" s="23">
        <f t="shared" si="29"/>
        <v>408.82245503415851</v>
      </c>
      <c r="L58" s="23">
        <f t="shared" si="29"/>
        <v>405.27608112138381</v>
      </c>
      <c r="M58" s="23">
        <f t="shared" si="29"/>
        <v>366.6647330748583</v>
      </c>
      <c r="N58" s="23">
        <f t="shared" si="29"/>
        <v>423.37716969877721</v>
      </c>
      <c r="O58" s="23">
        <f t="shared" ref="O58:Q58" si="30">O39*O48</f>
        <v>409.5959737548464</v>
      </c>
      <c r="P58" s="23">
        <f t="shared" si="30"/>
        <v>410.63325054499319</v>
      </c>
      <c r="Q58" s="23">
        <f t="shared" si="30"/>
        <v>397.94399175649966</v>
      </c>
      <c r="R58" s="23">
        <f t="shared" si="26"/>
        <v>4841.310399886328</v>
      </c>
    </row>
    <row r="59" spans="2:19" x14ac:dyDescent="0.2">
      <c r="B59" t="s">
        <v>48</v>
      </c>
      <c r="D59">
        <v>72</v>
      </c>
      <c r="F59" s="23">
        <f t="shared" ref="F59:N59" si="31">F40*F49</f>
        <v>23389.057846252952</v>
      </c>
      <c r="G59" s="23">
        <f t="shared" si="31"/>
        <v>23563.563130770879</v>
      </c>
      <c r="H59" s="23">
        <f t="shared" si="31"/>
        <v>22320.783832939662</v>
      </c>
      <c r="I59" s="23">
        <f t="shared" si="31"/>
        <v>22883.278709469614</v>
      </c>
      <c r="J59" s="23">
        <f t="shared" si="31"/>
        <v>21830.227479063775</v>
      </c>
      <c r="K59" s="23">
        <f t="shared" si="31"/>
        <v>22717.251738287316</v>
      </c>
      <c r="L59" s="23">
        <f t="shared" si="31"/>
        <v>22436.847054103622</v>
      </c>
      <c r="M59" s="23">
        <f t="shared" si="31"/>
        <v>20403.230194864744</v>
      </c>
      <c r="N59" s="23">
        <f t="shared" si="31"/>
        <v>23171.48782439248</v>
      </c>
      <c r="O59" s="23">
        <f t="shared" ref="O59:Q59" si="32">O40*O49</f>
        <v>22499.590190279687</v>
      </c>
      <c r="P59" s="23">
        <f t="shared" si="32"/>
        <v>22606.715717319781</v>
      </c>
      <c r="Q59" s="23">
        <f t="shared" si="32"/>
        <v>21694.682031630171</v>
      </c>
      <c r="R59" s="23">
        <f t="shared" si="26"/>
        <v>269516.71574937465</v>
      </c>
    </row>
    <row r="60" spans="2:19" x14ac:dyDescent="0.2">
      <c r="B60" t="s">
        <v>49</v>
      </c>
      <c r="D60">
        <v>72</v>
      </c>
      <c r="F60" s="23">
        <f t="shared" ref="F60:N60" si="33">F41*F50</f>
        <v>21139.86525451031</v>
      </c>
      <c r="G60" s="23">
        <f t="shared" si="33"/>
        <v>21272.012242268043</v>
      </c>
      <c r="H60" s="23">
        <f t="shared" si="33"/>
        <v>20071.040633054126</v>
      </c>
      <c r="I60" s="23">
        <f t="shared" si="33"/>
        <v>20580.884020618556</v>
      </c>
      <c r="J60" s="23">
        <f t="shared" si="33"/>
        <v>19729.679848582473</v>
      </c>
      <c r="K60" s="23">
        <f t="shared" si="33"/>
        <v>20517.553418431507</v>
      </c>
      <c r="L60" s="23">
        <f t="shared" si="33"/>
        <v>20268.261185682324</v>
      </c>
      <c r="M60" s="23">
        <f t="shared" si="33"/>
        <v>18476.293409051796</v>
      </c>
      <c r="N60" s="23">
        <f t="shared" si="33"/>
        <v>20981.325202202719</v>
      </c>
      <c r="O60" s="23">
        <f t="shared" ref="O60:Q60" si="34">O41*O50</f>
        <v>20381.783815178111</v>
      </c>
      <c r="P60" s="23">
        <f t="shared" si="34"/>
        <v>20539.98474990558</v>
      </c>
      <c r="Q60" s="23">
        <f t="shared" si="34"/>
        <v>19787.410512399707</v>
      </c>
      <c r="R60" s="23">
        <f t="shared" si="26"/>
        <v>243746.09429188527</v>
      </c>
    </row>
    <row r="61" spans="2:19" x14ac:dyDescent="0.2">
      <c r="B61" t="s">
        <v>50</v>
      </c>
      <c r="D61">
        <v>72</v>
      </c>
      <c r="F61" s="23">
        <f t="shared" ref="F61:N61" si="35">F42*F51</f>
        <v>70461.38131020125</v>
      </c>
      <c r="G61" s="23">
        <f t="shared" si="35"/>
        <v>71166.448180430278</v>
      </c>
      <c r="H61" s="23">
        <f t="shared" si="35"/>
        <v>67291.942859125615</v>
      </c>
      <c r="I61" s="23">
        <f t="shared" si="35"/>
        <v>69067.963573907007</v>
      </c>
      <c r="J61" s="23">
        <f t="shared" si="35"/>
        <v>66118.188653712714</v>
      </c>
      <c r="K61" s="23">
        <f t="shared" si="35"/>
        <v>68992.423731172865</v>
      </c>
      <c r="L61" s="23">
        <f t="shared" si="35"/>
        <v>68593.311512455504</v>
      </c>
      <c r="M61" s="23">
        <f t="shared" si="35"/>
        <v>62227.498705516016</v>
      </c>
      <c r="N61" s="23">
        <f t="shared" si="35"/>
        <v>70918.44556494664</v>
      </c>
      <c r="O61" s="23">
        <f t="shared" ref="O61:Q61" si="36">O42*O51</f>
        <v>68649.441405693957</v>
      </c>
      <c r="P61" s="23">
        <f t="shared" si="36"/>
        <v>69015.224277364352</v>
      </c>
      <c r="Q61" s="23">
        <f t="shared" si="36"/>
        <v>66388.572672738694</v>
      </c>
      <c r="R61" s="23">
        <f t="shared" si="26"/>
        <v>818890.84244726493</v>
      </c>
    </row>
    <row r="62" spans="2:19" x14ac:dyDescent="0.2">
      <c r="B62" t="s">
        <v>24</v>
      </c>
      <c r="F62" s="24">
        <f t="shared" ref="F62:R62" si="37">SUM(F55:F61)</f>
        <v>123676.8472169114</v>
      </c>
      <c r="G62" s="24">
        <f t="shared" si="37"/>
        <v>124766.12455984837</v>
      </c>
      <c r="H62" s="24">
        <f t="shared" si="37"/>
        <v>117989.63876949466</v>
      </c>
      <c r="I62" s="24">
        <f t="shared" si="37"/>
        <v>121104.6626470093</v>
      </c>
      <c r="J62" s="24">
        <f t="shared" si="37"/>
        <v>115826.08171599393</v>
      </c>
      <c r="K62" s="24">
        <f t="shared" si="37"/>
        <v>120661.23727208827</v>
      </c>
      <c r="L62" s="24">
        <f t="shared" si="37"/>
        <v>119674.74434013033</v>
      </c>
      <c r="M62" s="24">
        <f t="shared" si="37"/>
        <v>108724.68918509057</v>
      </c>
      <c r="N62" s="24">
        <f t="shared" si="37"/>
        <v>123676.54077521399</v>
      </c>
      <c r="O62" s="24">
        <f t="shared" ref="O62:Q62" si="38">SUM(O55:O61)</f>
        <v>119870.44835679547</v>
      </c>
      <c r="P62" s="24">
        <f t="shared" si="38"/>
        <v>120501.19515358801</v>
      </c>
      <c r="Q62" s="24">
        <f t="shared" si="38"/>
        <v>115831.08746003566</v>
      </c>
      <c r="R62" s="24">
        <f t="shared" si="37"/>
        <v>1432303.2974522</v>
      </c>
    </row>
    <row r="63" spans="2:19" x14ac:dyDescent="0.2"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</row>
    <row r="64" spans="2:19" x14ac:dyDescent="0.2">
      <c r="B64" s="15" t="s">
        <v>51</v>
      </c>
    </row>
    <row r="65" spans="2:19" x14ac:dyDescent="0.2">
      <c r="B65" s="15" t="s">
        <v>7</v>
      </c>
    </row>
    <row r="66" spans="2:19" x14ac:dyDescent="0.2">
      <c r="B66" t="s">
        <v>52</v>
      </c>
      <c r="E66" t="s">
        <v>5</v>
      </c>
      <c r="F66" s="130">
        <f>'Rate Design Rental'!$I$27</f>
        <v>10.16</v>
      </c>
      <c r="G66" s="130">
        <f>'Rate Design Rental'!$I$27</f>
        <v>10.16</v>
      </c>
      <c r="H66" s="130">
        <f>'Rate Design Rental'!$I$27</f>
        <v>10.16</v>
      </c>
      <c r="I66" s="130">
        <f>'Rate Design Rental'!$I$27</f>
        <v>10.16</v>
      </c>
      <c r="J66" s="130">
        <f>'Rate Design Rental'!$I$27</f>
        <v>10.16</v>
      </c>
      <c r="K66" s="130">
        <f>'Rate Design Rental'!$I$27</f>
        <v>10.16</v>
      </c>
      <c r="L66" s="130">
        <f>'Rate Design Rental'!$I$27</f>
        <v>10.16</v>
      </c>
      <c r="M66" s="130">
        <f>'Rate Design Rental'!$I$27</f>
        <v>10.16</v>
      </c>
      <c r="N66" s="130">
        <f>'Rate Design Rental'!$I$27</f>
        <v>10.16</v>
      </c>
      <c r="O66" s="130">
        <f>'Rate Design Rental'!$I$27</f>
        <v>10.16</v>
      </c>
      <c r="P66" s="130">
        <f>'Rate Design Rental'!$I$27</f>
        <v>10.16</v>
      </c>
      <c r="Q66" s="130">
        <f>'Rate Design Rental'!$I$27</f>
        <v>10.16</v>
      </c>
      <c r="R66" s="19"/>
    </row>
    <row r="67" spans="2:19" x14ac:dyDescent="0.2">
      <c r="B67" t="s">
        <v>54</v>
      </c>
      <c r="E67" t="s">
        <v>5</v>
      </c>
      <c r="F67" s="130">
        <f>'Rate Design Rental'!$I$28</f>
        <v>27.71</v>
      </c>
      <c r="G67" s="130">
        <f>'Rate Design Rental'!$I$28</f>
        <v>27.71</v>
      </c>
      <c r="H67" s="130">
        <f>'Rate Design Rental'!$I$28</f>
        <v>27.71</v>
      </c>
      <c r="I67" s="130">
        <f>'Rate Design Rental'!$I$28</f>
        <v>27.71</v>
      </c>
      <c r="J67" s="130">
        <f>'Rate Design Rental'!$I$28</f>
        <v>27.71</v>
      </c>
      <c r="K67" s="130">
        <f>'Rate Design Rental'!$I$28</f>
        <v>27.71</v>
      </c>
      <c r="L67" s="130">
        <f>'Rate Design Rental'!$I$28</f>
        <v>27.71</v>
      </c>
      <c r="M67" s="130">
        <f>'Rate Design Rental'!$I$28</f>
        <v>27.71</v>
      </c>
      <c r="N67" s="130">
        <f>'Rate Design Rental'!$I$28</f>
        <v>27.71</v>
      </c>
      <c r="O67" s="130">
        <f>'Rate Design Rental'!$I$28</f>
        <v>27.71</v>
      </c>
      <c r="P67" s="130">
        <f>'Rate Design Rental'!$I$28</f>
        <v>27.71</v>
      </c>
      <c r="Q67" s="130">
        <f>'Rate Design Rental'!$I$28</f>
        <v>27.71</v>
      </c>
      <c r="R67" s="19"/>
    </row>
    <row r="68" spans="2:19" x14ac:dyDescent="0.2">
      <c r="B68" t="s">
        <v>55</v>
      </c>
      <c r="E68" t="s">
        <v>5</v>
      </c>
      <c r="F68" s="130">
        <f>'Rate Design Rental'!$I$29</f>
        <v>37.58</v>
      </c>
      <c r="G68" s="130">
        <f>'Rate Design Rental'!$I$29</f>
        <v>37.58</v>
      </c>
      <c r="H68" s="130">
        <f>'Rate Design Rental'!$I$29</f>
        <v>37.58</v>
      </c>
      <c r="I68" s="130">
        <f>'Rate Design Rental'!$I$29</f>
        <v>37.58</v>
      </c>
      <c r="J68" s="130">
        <f>'Rate Design Rental'!$I$29</f>
        <v>37.58</v>
      </c>
      <c r="K68" s="130">
        <f>'Rate Design Rental'!$I$29</f>
        <v>37.58</v>
      </c>
      <c r="L68" s="130">
        <f>'Rate Design Rental'!$I$29</f>
        <v>37.58</v>
      </c>
      <c r="M68" s="130">
        <f>'Rate Design Rental'!$I$29</f>
        <v>37.58</v>
      </c>
      <c r="N68" s="130">
        <f>'Rate Design Rental'!$I$29</f>
        <v>37.58</v>
      </c>
      <c r="O68" s="130">
        <f>'Rate Design Rental'!$I$29</f>
        <v>37.58</v>
      </c>
      <c r="P68" s="130">
        <f>'Rate Design Rental'!$I$29</f>
        <v>37.58</v>
      </c>
      <c r="Q68" s="130">
        <f>'Rate Design Rental'!$I$29</f>
        <v>37.58</v>
      </c>
      <c r="R68" s="19"/>
    </row>
    <row r="69" spans="2:19" x14ac:dyDescent="0.2">
      <c r="B69" t="s">
        <v>53</v>
      </c>
      <c r="E69" t="s">
        <v>5</v>
      </c>
      <c r="F69" s="130">
        <f>'Rate Design Rental'!$I$30</f>
        <v>15.51</v>
      </c>
      <c r="G69" s="130">
        <f>'Rate Design Rental'!$I$30</f>
        <v>15.51</v>
      </c>
      <c r="H69" s="130">
        <f>'Rate Design Rental'!$I$30</f>
        <v>15.51</v>
      </c>
      <c r="I69" s="130">
        <f>'Rate Design Rental'!$I$30</f>
        <v>15.51</v>
      </c>
      <c r="J69" s="130">
        <f>'Rate Design Rental'!$I$30</f>
        <v>15.51</v>
      </c>
      <c r="K69" s="130">
        <f>'Rate Design Rental'!$I$30</f>
        <v>15.51</v>
      </c>
      <c r="L69" s="130">
        <f>'Rate Design Rental'!$I$30</f>
        <v>15.51</v>
      </c>
      <c r="M69" s="130">
        <f>'Rate Design Rental'!$I$30</f>
        <v>15.51</v>
      </c>
      <c r="N69" s="130">
        <f>'Rate Design Rental'!$I$30</f>
        <v>15.51</v>
      </c>
      <c r="O69" s="130">
        <f>'Rate Design Rental'!$I$30</f>
        <v>15.51</v>
      </c>
      <c r="P69" s="130">
        <f>'Rate Design Rental'!$I$30</f>
        <v>15.51</v>
      </c>
      <c r="Q69" s="130">
        <f>'Rate Design Rental'!$I$30</f>
        <v>15.51</v>
      </c>
      <c r="R69" s="19"/>
    </row>
    <row r="70" spans="2:19" x14ac:dyDescent="0.2">
      <c r="F70" s="30"/>
      <c r="G70" s="30"/>
      <c r="H70" s="30"/>
      <c r="I70" s="30"/>
    </row>
    <row r="71" spans="2:19" x14ac:dyDescent="0.2">
      <c r="B71" s="15" t="s">
        <v>8</v>
      </c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</row>
    <row r="72" spans="2:19" s="30" customFormat="1" ht="12.75" customHeight="1" x14ac:dyDescent="0.25">
      <c r="B72" s="30" t="s">
        <v>52</v>
      </c>
      <c r="E72" s="30" t="s">
        <v>68</v>
      </c>
      <c r="F72" s="179">
        <v>1052.3862348178138</v>
      </c>
      <c r="G72" s="179">
        <v>1055.6639676113361</v>
      </c>
      <c r="H72" s="179">
        <v>991.00161943319847</v>
      </c>
      <c r="I72" s="179">
        <v>1013.4566801619434</v>
      </c>
      <c r="J72" s="179">
        <v>969.88582995951424</v>
      </c>
      <c r="K72" s="179">
        <v>984.75416375820191</v>
      </c>
      <c r="L72" s="180">
        <v>973.20517241379321</v>
      </c>
      <c r="M72" s="180">
        <v>888.79224137931033</v>
      </c>
      <c r="N72" s="180">
        <v>1009.196551724138</v>
      </c>
      <c r="O72" s="184">
        <v>976.72241379310344</v>
      </c>
      <c r="P72" s="184">
        <v>979.85421010425034</v>
      </c>
      <c r="Q72" s="184">
        <v>931.993488372093</v>
      </c>
      <c r="R72" s="46">
        <f>SUM(F72:Q72)</f>
        <v>11826.912573528694</v>
      </c>
      <c r="S72" s="31"/>
    </row>
    <row r="73" spans="2:19" s="30" customFormat="1" ht="12.75" customHeight="1" x14ac:dyDescent="0.25">
      <c r="B73" s="30" t="s">
        <v>54</v>
      </c>
      <c r="E73" s="30" t="s">
        <v>68</v>
      </c>
      <c r="F73" s="179">
        <v>72.595208462974483</v>
      </c>
      <c r="G73" s="179">
        <v>73.464530180460486</v>
      </c>
      <c r="H73" s="179">
        <v>70.158058494088365</v>
      </c>
      <c r="I73" s="179">
        <v>71.00560049782203</v>
      </c>
      <c r="J73" s="179">
        <v>68.061294337274418</v>
      </c>
      <c r="K73" s="179">
        <v>70.558293480299909</v>
      </c>
      <c r="L73" s="180">
        <v>70.18658698539177</v>
      </c>
      <c r="M73" s="180">
        <v>64.407038512616197</v>
      </c>
      <c r="N73" s="180">
        <v>73.05511288180611</v>
      </c>
      <c r="O73" s="184">
        <v>71.342297476759626</v>
      </c>
      <c r="P73" s="184">
        <v>71.807372160357403</v>
      </c>
      <c r="Q73" s="184">
        <v>69.021554770318019</v>
      </c>
      <c r="R73" s="46">
        <f t="shared" ref="R73:R75" si="39">SUM(F73:Q73)</f>
        <v>845.66294824016904</v>
      </c>
      <c r="S73" s="31"/>
    </row>
    <row r="74" spans="2:19" s="30" customFormat="1" ht="12.75" customHeight="1" x14ac:dyDescent="0.25">
      <c r="B74" s="30" t="s">
        <v>55</v>
      </c>
      <c r="E74" s="30" t="s">
        <v>68</v>
      </c>
      <c r="F74" s="179">
        <v>46.607027276930189</v>
      </c>
      <c r="G74" s="179">
        <v>46.817845584835879</v>
      </c>
      <c r="H74" s="179">
        <v>44.730929264909847</v>
      </c>
      <c r="I74" s="179">
        <v>45.026121128062876</v>
      </c>
      <c r="J74" s="179">
        <v>43.791030975497002</v>
      </c>
      <c r="K74" s="179">
        <v>44.375569816437064</v>
      </c>
      <c r="L74" s="180">
        <v>44.235874660745125</v>
      </c>
      <c r="M74" s="180">
        <v>40.671107821366888</v>
      </c>
      <c r="N74" s="180">
        <v>45.754502837404395</v>
      </c>
      <c r="O74" s="184">
        <v>44.633851468048356</v>
      </c>
      <c r="P74" s="184">
        <v>45.26855857555713</v>
      </c>
      <c r="Q74" s="184">
        <v>43.597065758449041</v>
      </c>
      <c r="R74" s="46">
        <f t="shared" si="39"/>
        <v>535.50948516824371</v>
      </c>
      <c r="S74" s="31"/>
    </row>
    <row r="75" spans="2:19" s="30" customFormat="1" ht="12.75" customHeight="1" x14ac:dyDescent="0.25">
      <c r="B75" s="30" t="s">
        <v>53</v>
      </c>
      <c r="E75" s="30" t="s">
        <v>68</v>
      </c>
      <c r="F75" s="179">
        <v>1709.8026101141925</v>
      </c>
      <c r="G75" s="179">
        <v>1722.1386623164763</v>
      </c>
      <c r="H75" s="179">
        <v>1615.3442088091354</v>
      </c>
      <c r="I75" s="179">
        <v>1663.2131593257204</v>
      </c>
      <c r="J75" s="179">
        <v>1595.9869494290376</v>
      </c>
      <c r="K75" s="179">
        <v>1641.6552928103647</v>
      </c>
      <c r="L75" s="180">
        <v>1623.6892753623188</v>
      </c>
      <c r="M75" s="180">
        <v>1473.6950724637682</v>
      </c>
      <c r="N75" s="180">
        <v>1670.1843478260869</v>
      </c>
      <c r="O75" s="184">
        <v>1621.919420289855</v>
      </c>
      <c r="P75" s="184">
        <v>1626.9458385093164</v>
      </c>
      <c r="Q75" s="184">
        <v>1547.8161490683228</v>
      </c>
      <c r="R75" s="46">
        <f t="shared" si="39"/>
        <v>19512.390986324594</v>
      </c>
      <c r="S75" s="31"/>
    </row>
    <row r="76" spans="2:19" x14ac:dyDescent="0.2">
      <c r="B76" t="s">
        <v>42</v>
      </c>
      <c r="F76" s="39">
        <f t="shared" ref="F76:K76" si="40">SUM(F72:F75)</f>
        <v>2881.3910806719114</v>
      </c>
      <c r="G76" s="39">
        <f t="shared" si="40"/>
        <v>2898.0850056931085</v>
      </c>
      <c r="H76" s="39">
        <f t="shared" si="40"/>
        <v>2721.2348160013321</v>
      </c>
      <c r="I76" s="39">
        <f t="shared" si="40"/>
        <v>2792.7015611135485</v>
      </c>
      <c r="J76" s="39">
        <f t="shared" si="40"/>
        <v>2677.7251047013233</v>
      </c>
      <c r="K76" s="39">
        <f t="shared" si="40"/>
        <v>2741.3433198653038</v>
      </c>
      <c r="L76" s="39">
        <f>SUM(L72:L75)</f>
        <v>2711.316909422249</v>
      </c>
      <c r="M76" s="39">
        <f>SUM(M72:M75)</f>
        <v>2467.5654601770616</v>
      </c>
      <c r="N76" s="39">
        <f>SUM(N72:N75)</f>
        <v>2798.1905152694353</v>
      </c>
      <c r="O76" s="39">
        <f t="shared" ref="O76:Q76" si="41">SUM(O72:O75)</f>
        <v>2714.6179830277661</v>
      </c>
      <c r="P76" s="39">
        <f t="shared" si="41"/>
        <v>2723.875979349481</v>
      </c>
      <c r="Q76" s="39">
        <f t="shared" si="41"/>
        <v>2592.4282579691826</v>
      </c>
      <c r="R76" s="39">
        <f>SUM(R72:R75)</f>
        <v>32720.475993261702</v>
      </c>
    </row>
    <row r="78" spans="2:19" x14ac:dyDescent="0.2">
      <c r="B78" s="15" t="s">
        <v>9</v>
      </c>
    </row>
    <row r="79" spans="2:19" x14ac:dyDescent="0.2">
      <c r="B79" t="s">
        <v>52</v>
      </c>
      <c r="E79" t="s">
        <v>5</v>
      </c>
      <c r="F79" s="23">
        <f t="shared" ref="F79:K79" si="42">F66*F72</f>
        <v>10692.244145748989</v>
      </c>
      <c r="G79" s="23">
        <f t="shared" si="42"/>
        <v>10725.545910931176</v>
      </c>
      <c r="H79" s="23">
        <f t="shared" si="42"/>
        <v>10068.576453441297</v>
      </c>
      <c r="I79" s="23">
        <f t="shared" si="42"/>
        <v>10296.719870445346</v>
      </c>
      <c r="J79" s="23">
        <f t="shared" si="42"/>
        <v>9854.0400323886643</v>
      </c>
      <c r="K79" s="23">
        <f t="shared" si="42"/>
        <v>10005.102303783331</v>
      </c>
      <c r="L79" s="23">
        <f t="shared" ref="L79:N82" si="43">L66*L72</f>
        <v>9887.7645517241399</v>
      </c>
      <c r="M79" s="23">
        <f t="shared" si="43"/>
        <v>9030.1291724137936</v>
      </c>
      <c r="N79" s="23">
        <f t="shared" si="43"/>
        <v>10253.436965517241</v>
      </c>
      <c r="O79" s="23">
        <f t="shared" ref="O79:Q79" si="44">O66*O72</f>
        <v>9923.4997241379315</v>
      </c>
      <c r="P79" s="23">
        <f t="shared" si="44"/>
        <v>9955.318774659183</v>
      </c>
      <c r="Q79" s="23">
        <f t="shared" si="44"/>
        <v>9469.0538418604647</v>
      </c>
      <c r="R79" s="23">
        <f>SUM(F79:Q79)</f>
        <v>120161.43174705158</v>
      </c>
    </row>
    <row r="80" spans="2:19" x14ac:dyDescent="0.2">
      <c r="B80" t="s">
        <v>54</v>
      </c>
      <c r="E80" t="s">
        <v>5</v>
      </c>
      <c r="F80" s="23">
        <f t="shared" ref="F80:K80" si="45">F67*F73</f>
        <v>2011.613226509023</v>
      </c>
      <c r="G80" s="23">
        <f t="shared" si="45"/>
        <v>2035.70213130056</v>
      </c>
      <c r="H80" s="23">
        <f t="shared" si="45"/>
        <v>1944.0798008711886</v>
      </c>
      <c r="I80" s="23">
        <f t="shared" si="45"/>
        <v>1967.5651897946484</v>
      </c>
      <c r="J80" s="23">
        <f t="shared" si="45"/>
        <v>1885.9784660858743</v>
      </c>
      <c r="K80" s="23">
        <f t="shared" si="45"/>
        <v>1955.1703123391105</v>
      </c>
      <c r="L80" s="23">
        <f t="shared" si="43"/>
        <v>1944.8703253652061</v>
      </c>
      <c r="M80" s="23">
        <f t="shared" si="43"/>
        <v>1784.7190371845948</v>
      </c>
      <c r="N80" s="23">
        <f t="shared" si="43"/>
        <v>2024.3571779548474</v>
      </c>
      <c r="O80" s="23">
        <f t="shared" ref="O80:Q80" si="46">O67*O73</f>
        <v>1976.8950630810093</v>
      </c>
      <c r="P80" s="23">
        <f t="shared" si="46"/>
        <v>1989.7822825635037</v>
      </c>
      <c r="Q80" s="23">
        <f t="shared" si="46"/>
        <v>1912.5872826855123</v>
      </c>
      <c r="R80" s="23">
        <f t="shared" ref="R80:R82" si="47">SUM(F80:Q80)</f>
        <v>23433.32029573508</v>
      </c>
    </row>
    <row r="81" spans="2:20" x14ac:dyDescent="0.2">
      <c r="B81" t="s">
        <v>55</v>
      </c>
      <c r="E81" t="s">
        <v>5</v>
      </c>
      <c r="F81" s="23">
        <f t="shared" ref="F81:K81" si="48">F68*F74</f>
        <v>1751.4920850670364</v>
      </c>
      <c r="G81" s="23">
        <f t="shared" si="48"/>
        <v>1759.4146370781323</v>
      </c>
      <c r="H81" s="23">
        <f t="shared" si="48"/>
        <v>1680.988321775312</v>
      </c>
      <c r="I81" s="23">
        <f t="shared" si="48"/>
        <v>1692.0816319926028</v>
      </c>
      <c r="J81" s="23">
        <f t="shared" si="48"/>
        <v>1645.6669440591772</v>
      </c>
      <c r="K81" s="23">
        <f t="shared" si="48"/>
        <v>1667.6339137017048</v>
      </c>
      <c r="L81" s="23">
        <f t="shared" si="43"/>
        <v>1662.3841697508017</v>
      </c>
      <c r="M81" s="23">
        <f t="shared" si="43"/>
        <v>1528.4202319269675</v>
      </c>
      <c r="N81" s="23">
        <f t="shared" si="43"/>
        <v>1719.4542166296571</v>
      </c>
      <c r="O81" s="23">
        <f t="shared" ref="O81:Q81" si="49">O68*O74</f>
        <v>1677.3401381692572</v>
      </c>
      <c r="P81" s="23">
        <f t="shared" si="49"/>
        <v>1701.1924312694368</v>
      </c>
      <c r="Q81" s="23">
        <f t="shared" si="49"/>
        <v>1638.377731202515</v>
      </c>
      <c r="R81" s="23">
        <f t="shared" si="47"/>
        <v>20124.4464526226</v>
      </c>
    </row>
    <row r="82" spans="2:20" x14ac:dyDescent="0.2">
      <c r="B82" t="s">
        <v>53</v>
      </c>
      <c r="E82" t="s">
        <v>5</v>
      </c>
      <c r="F82" s="23">
        <f t="shared" ref="F82:K82" si="50">F69*F75</f>
        <v>26519.038482871125</v>
      </c>
      <c r="G82" s="23">
        <f t="shared" si="50"/>
        <v>26710.370652528545</v>
      </c>
      <c r="H82" s="23">
        <f t="shared" si="50"/>
        <v>25053.988678629688</v>
      </c>
      <c r="I82" s="23">
        <f t="shared" si="50"/>
        <v>25796.436101141924</v>
      </c>
      <c r="J82" s="23">
        <f t="shared" si="50"/>
        <v>24753.757585644373</v>
      </c>
      <c r="K82" s="23">
        <f t="shared" si="50"/>
        <v>25462.073591488755</v>
      </c>
      <c r="L82" s="23">
        <f t="shared" si="43"/>
        <v>25183.420660869564</v>
      </c>
      <c r="M82" s="23">
        <f t="shared" si="43"/>
        <v>22857.010573913045</v>
      </c>
      <c r="N82" s="23">
        <f t="shared" si="43"/>
        <v>25904.559234782606</v>
      </c>
      <c r="O82" s="23">
        <f t="shared" ref="O82:Q82" si="51">O69*O75</f>
        <v>25155.970208695649</v>
      </c>
      <c r="P82" s="23">
        <f t="shared" si="51"/>
        <v>25233.929955279498</v>
      </c>
      <c r="Q82" s="23">
        <f t="shared" si="51"/>
        <v>24006.628472049688</v>
      </c>
      <c r="R82" s="23">
        <f t="shared" si="47"/>
        <v>302637.18419789447</v>
      </c>
    </row>
    <row r="83" spans="2:20" x14ac:dyDescent="0.2">
      <c r="B83" t="s">
        <v>24</v>
      </c>
      <c r="F83" s="24">
        <f t="shared" ref="F83:K83" si="52">SUM(F79:F82)</f>
        <v>40974.387940196175</v>
      </c>
      <c r="G83" s="24">
        <f t="shared" si="52"/>
        <v>41231.033331838415</v>
      </c>
      <c r="H83" s="24">
        <f t="shared" si="52"/>
        <v>38747.633254717482</v>
      </c>
      <c r="I83" s="24">
        <f t="shared" si="52"/>
        <v>39752.802793374518</v>
      </c>
      <c r="J83" s="24">
        <f t="shared" si="52"/>
        <v>38139.443028178088</v>
      </c>
      <c r="K83" s="24">
        <f t="shared" si="52"/>
        <v>39089.980121312903</v>
      </c>
      <c r="L83" s="24">
        <f>SUM(L79:L82)</f>
        <v>38678.439707709709</v>
      </c>
      <c r="M83" s="24">
        <f>SUM(M79:M82)</f>
        <v>35200.279015438398</v>
      </c>
      <c r="N83" s="24">
        <f>SUM(N79:N82)</f>
        <v>39901.807594884354</v>
      </c>
      <c r="O83" s="24">
        <f t="shared" ref="O83:Q83" si="53">SUM(O79:O82)</f>
        <v>38733.705134083844</v>
      </c>
      <c r="P83" s="24">
        <f t="shared" si="53"/>
        <v>38880.223443771625</v>
      </c>
      <c r="Q83" s="24">
        <f t="shared" si="53"/>
        <v>37026.647327798179</v>
      </c>
      <c r="R83" s="24">
        <f>SUM(R79:R82)</f>
        <v>466356.38269330375</v>
      </c>
    </row>
    <row r="84" spans="2:20" x14ac:dyDescent="0.2"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</row>
    <row r="85" spans="2:20" x14ac:dyDescent="0.2">
      <c r="B85" s="15" t="s">
        <v>77</v>
      </c>
    </row>
    <row r="86" spans="2:20" x14ac:dyDescent="0.2">
      <c r="B86" s="15" t="s">
        <v>66</v>
      </c>
    </row>
    <row r="87" spans="2:20" x14ac:dyDescent="0.2">
      <c r="B87" t="s">
        <v>76</v>
      </c>
      <c r="D87">
        <v>71</v>
      </c>
      <c r="F87" s="22">
        <f t="shared" ref="F87:K87" si="54">F23</f>
        <v>25671.46761994535</v>
      </c>
      <c r="G87" s="22">
        <f t="shared" si="54"/>
        <v>25920.354892021569</v>
      </c>
      <c r="H87" s="22">
        <f t="shared" si="54"/>
        <v>24286.328122864164</v>
      </c>
      <c r="I87" s="22">
        <f t="shared" si="54"/>
        <v>25094.000539408535</v>
      </c>
      <c r="J87" s="22">
        <f t="shared" si="54"/>
        <v>24000.119448157715</v>
      </c>
      <c r="K87" s="22">
        <f t="shared" si="54"/>
        <v>24772.842011377441</v>
      </c>
      <c r="L87" s="22">
        <f>L23</f>
        <v>24441.579058968164</v>
      </c>
      <c r="M87" s="22">
        <f>M23</f>
        <v>22294.313106662808</v>
      </c>
      <c r="N87" s="22">
        <f>N23</f>
        <v>25323.785142264915</v>
      </c>
      <c r="O87" s="22">
        <f t="shared" ref="O87:Q87" si="55">O23</f>
        <v>24570.357206395911</v>
      </c>
      <c r="P87" s="22">
        <f t="shared" si="55"/>
        <v>24674.497869757084</v>
      </c>
      <c r="Q87" s="22">
        <f t="shared" si="55"/>
        <v>23491.153715746052</v>
      </c>
      <c r="R87" s="22">
        <f>R23</f>
        <v>294540.79873356968</v>
      </c>
    </row>
    <row r="88" spans="2:20" x14ac:dyDescent="0.2">
      <c r="B88" t="s">
        <v>78</v>
      </c>
      <c r="D88">
        <v>72</v>
      </c>
      <c r="F88" s="22">
        <f t="shared" ref="F88:K88" si="56">F52</f>
        <v>2548.0890409907533</v>
      </c>
      <c r="G88" s="22">
        <f t="shared" si="56"/>
        <v>2570.1814635080245</v>
      </c>
      <c r="H88" s="22">
        <f t="shared" si="56"/>
        <v>2431.5421445604998</v>
      </c>
      <c r="I88" s="22">
        <f t="shared" si="56"/>
        <v>2497.2290354864708</v>
      </c>
      <c r="J88" s="22">
        <f t="shared" si="56"/>
        <v>2385.8173121494265</v>
      </c>
      <c r="K88" s="22">
        <f t="shared" si="56"/>
        <v>2482.9145764367731</v>
      </c>
      <c r="L88" s="22">
        <f>L52</f>
        <v>2461.8468756989814</v>
      </c>
      <c r="M88" s="22">
        <f>M52</f>
        <v>2237.4049210376998</v>
      </c>
      <c r="N88" s="22">
        <f>N52</f>
        <v>2542.5431605507306</v>
      </c>
      <c r="O88" s="22">
        <f t="shared" ref="O88:Q88" si="57">O52</f>
        <v>2464.9798744165646</v>
      </c>
      <c r="P88" s="22">
        <f t="shared" si="57"/>
        <v>2476.3944917849403</v>
      </c>
      <c r="Q88" s="22">
        <f t="shared" si="57"/>
        <v>2378.1907457022771</v>
      </c>
      <c r="R88" s="22">
        <f>R52</f>
        <v>29477.133642323141</v>
      </c>
    </row>
    <row r="89" spans="2:20" x14ac:dyDescent="0.2">
      <c r="B89" t="s">
        <v>82</v>
      </c>
      <c r="D89">
        <v>74</v>
      </c>
      <c r="F89" s="22">
        <f t="shared" ref="F89:K89" si="58">F76</f>
        <v>2881.3910806719114</v>
      </c>
      <c r="G89" s="22">
        <f t="shared" si="58"/>
        <v>2898.0850056931085</v>
      </c>
      <c r="H89" s="22">
        <f t="shared" si="58"/>
        <v>2721.2348160013321</v>
      </c>
      <c r="I89" s="22">
        <f t="shared" si="58"/>
        <v>2792.7015611135485</v>
      </c>
      <c r="J89" s="22">
        <f t="shared" si="58"/>
        <v>2677.7251047013233</v>
      </c>
      <c r="K89" s="22">
        <f t="shared" si="58"/>
        <v>2741.3433198653038</v>
      </c>
      <c r="L89" s="22">
        <f>L76</f>
        <v>2711.316909422249</v>
      </c>
      <c r="M89" s="22">
        <f>M76</f>
        <v>2467.5654601770616</v>
      </c>
      <c r="N89" s="22">
        <f>N76</f>
        <v>2798.1905152694353</v>
      </c>
      <c r="O89" s="22">
        <f t="shared" ref="O89:Q89" si="59">O76</f>
        <v>2714.6179830277661</v>
      </c>
      <c r="P89" s="22">
        <f t="shared" si="59"/>
        <v>2723.875979349481</v>
      </c>
      <c r="Q89" s="22">
        <f t="shared" si="59"/>
        <v>2592.4282579691826</v>
      </c>
      <c r="R89" s="22">
        <f>R76</f>
        <v>32720.475993261702</v>
      </c>
    </row>
    <row r="90" spans="2:20" x14ac:dyDescent="0.2">
      <c r="B90" t="s">
        <v>83</v>
      </c>
      <c r="F90" s="39">
        <f t="shared" ref="F90:K90" si="60">SUM(F87:F89)</f>
        <v>31100.947741608015</v>
      </c>
      <c r="G90" s="39">
        <f t="shared" si="60"/>
        <v>31388.6213612227</v>
      </c>
      <c r="H90" s="39">
        <f t="shared" si="60"/>
        <v>29439.105083425995</v>
      </c>
      <c r="I90" s="39">
        <f t="shared" si="60"/>
        <v>30383.931136008556</v>
      </c>
      <c r="J90" s="39">
        <f t="shared" si="60"/>
        <v>29063.661865008464</v>
      </c>
      <c r="K90" s="39">
        <f t="shared" si="60"/>
        <v>29997.099907679516</v>
      </c>
      <c r="L90" s="39">
        <f>SUM(L87:L89)</f>
        <v>29614.742844089396</v>
      </c>
      <c r="M90" s="39">
        <f>SUM(M87:M89)</f>
        <v>26999.283487877572</v>
      </c>
      <c r="N90" s="39">
        <f>SUM(N87:N89)</f>
        <v>30664.518818085078</v>
      </c>
      <c r="O90" s="39">
        <f t="shared" ref="O90:Q90" si="61">SUM(O87:O89)</f>
        <v>29749.95506384024</v>
      </c>
      <c r="P90" s="39">
        <f t="shared" si="61"/>
        <v>29874.768340891504</v>
      </c>
      <c r="Q90" s="39">
        <f t="shared" si="61"/>
        <v>28461.772719417513</v>
      </c>
      <c r="R90" s="39">
        <f>SUM(R87:R89)</f>
        <v>356738.40836915455</v>
      </c>
    </row>
    <row r="92" spans="2:20" x14ac:dyDescent="0.2">
      <c r="B92" s="15" t="s">
        <v>70</v>
      </c>
    </row>
    <row r="93" spans="2:20" x14ac:dyDescent="0.2">
      <c r="B93" t="s">
        <v>76</v>
      </c>
      <c r="D93">
        <v>71</v>
      </c>
      <c r="E93" s="23"/>
      <c r="F93" s="23">
        <f t="shared" ref="F93:K93" si="62">F32</f>
        <v>302171.28342774784</v>
      </c>
      <c r="G93" s="23">
        <f t="shared" si="62"/>
        <v>305032.41077489691</v>
      </c>
      <c r="H93" s="23">
        <f t="shared" si="62"/>
        <v>285756.72998862341</v>
      </c>
      <c r="I93" s="23">
        <f t="shared" si="62"/>
        <v>295335.64185592619</v>
      </c>
      <c r="J93" s="23">
        <f t="shared" si="62"/>
        <v>282445.02400617849</v>
      </c>
      <c r="K93" s="23">
        <f t="shared" si="62"/>
        <v>291345.16509853664</v>
      </c>
      <c r="L93" s="23">
        <f>L32</f>
        <v>287629.72611783346</v>
      </c>
      <c r="M93" s="23">
        <f>M32</f>
        <v>262340.76137426484</v>
      </c>
      <c r="N93" s="23">
        <f>N32</f>
        <v>297889.29783065006</v>
      </c>
      <c r="O93" s="23">
        <f t="shared" ref="O93:Q93" si="63">O32</f>
        <v>289104.11130929005</v>
      </c>
      <c r="P93" s="23">
        <f t="shared" si="63"/>
        <v>290357.91029394884</v>
      </c>
      <c r="Q93" s="23">
        <f t="shared" si="63"/>
        <v>276297.97930770984</v>
      </c>
      <c r="R93" s="23">
        <f>SUM(F93:Q93)</f>
        <v>3465706.0413856069</v>
      </c>
      <c r="S93" s="40"/>
      <c r="T93" s="23"/>
    </row>
    <row r="94" spans="2:20" x14ac:dyDescent="0.2">
      <c r="B94" t="s">
        <v>78</v>
      </c>
      <c r="D94">
        <v>72</v>
      </c>
      <c r="E94" s="23"/>
      <c r="F94" s="23">
        <f t="shared" ref="F94:K94" si="64">F62</f>
        <v>123676.8472169114</v>
      </c>
      <c r="G94" s="23">
        <f t="shared" si="64"/>
        <v>124766.12455984837</v>
      </c>
      <c r="H94" s="23">
        <f t="shared" si="64"/>
        <v>117989.63876949466</v>
      </c>
      <c r="I94" s="23">
        <f t="shared" si="64"/>
        <v>121104.6626470093</v>
      </c>
      <c r="J94" s="23">
        <f t="shared" si="64"/>
        <v>115826.08171599393</v>
      </c>
      <c r="K94" s="23">
        <f t="shared" si="64"/>
        <v>120661.23727208827</v>
      </c>
      <c r="L94" s="23">
        <f>L62</f>
        <v>119674.74434013033</v>
      </c>
      <c r="M94" s="23">
        <f>M62</f>
        <v>108724.68918509057</v>
      </c>
      <c r="N94" s="23">
        <f>N62</f>
        <v>123676.54077521399</v>
      </c>
      <c r="O94" s="23">
        <f t="shared" ref="O94:Q94" si="65">O62</f>
        <v>119870.44835679547</v>
      </c>
      <c r="P94" s="23">
        <f t="shared" si="65"/>
        <v>120501.19515358801</v>
      </c>
      <c r="Q94" s="23">
        <f t="shared" si="65"/>
        <v>115831.08746003566</v>
      </c>
      <c r="R94" s="23">
        <f t="shared" ref="R94:R95" si="66">SUM(F94:Q94)</f>
        <v>1432303.2974522</v>
      </c>
      <c r="S94" s="40"/>
      <c r="T94" s="23"/>
    </row>
    <row r="95" spans="2:20" x14ac:dyDescent="0.2">
      <c r="B95" t="s">
        <v>79</v>
      </c>
      <c r="D95">
        <v>74</v>
      </c>
      <c r="E95" s="23"/>
      <c r="F95" s="23">
        <f t="shared" ref="F95:K95" si="67">F83</f>
        <v>40974.387940196175</v>
      </c>
      <c r="G95" s="23">
        <f t="shared" si="67"/>
        <v>41231.033331838415</v>
      </c>
      <c r="H95" s="23">
        <f t="shared" si="67"/>
        <v>38747.633254717482</v>
      </c>
      <c r="I95" s="23">
        <f t="shared" si="67"/>
        <v>39752.802793374518</v>
      </c>
      <c r="J95" s="23">
        <f t="shared" si="67"/>
        <v>38139.443028178088</v>
      </c>
      <c r="K95" s="23">
        <f t="shared" si="67"/>
        <v>39089.980121312903</v>
      </c>
      <c r="L95" s="23">
        <f>L83</f>
        <v>38678.439707709709</v>
      </c>
      <c r="M95" s="23">
        <f>M83</f>
        <v>35200.279015438398</v>
      </c>
      <c r="N95" s="23">
        <f>N83</f>
        <v>39901.807594884354</v>
      </c>
      <c r="O95" s="23">
        <f t="shared" ref="O95:Q95" si="68">O83</f>
        <v>38733.705134083844</v>
      </c>
      <c r="P95" s="23">
        <f t="shared" si="68"/>
        <v>38880.223443771625</v>
      </c>
      <c r="Q95" s="23">
        <f t="shared" si="68"/>
        <v>37026.647327798179</v>
      </c>
      <c r="R95" s="23">
        <f t="shared" si="66"/>
        <v>466356.38269330375</v>
      </c>
      <c r="S95" s="40"/>
      <c r="T95" s="23"/>
    </row>
    <row r="96" spans="2:20" x14ac:dyDescent="0.2">
      <c r="B96" t="s">
        <v>80</v>
      </c>
      <c r="E96" s="40"/>
      <c r="F96" s="24">
        <f t="shared" ref="F96:K96" si="69">SUM(F93:F95)</f>
        <v>466822.51858485537</v>
      </c>
      <c r="G96" s="24">
        <f t="shared" si="69"/>
        <v>471029.56866658374</v>
      </c>
      <c r="H96" s="24">
        <f t="shared" si="69"/>
        <v>442494.00201283558</v>
      </c>
      <c r="I96" s="24">
        <f t="shared" si="69"/>
        <v>456193.10729631002</v>
      </c>
      <c r="J96" s="24">
        <f t="shared" si="69"/>
        <v>436410.54875035048</v>
      </c>
      <c r="K96" s="24">
        <f t="shared" si="69"/>
        <v>451096.38249193784</v>
      </c>
      <c r="L96" s="24">
        <f>SUM(L93:L95)</f>
        <v>445982.91016567347</v>
      </c>
      <c r="M96" s="24">
        <f>SUM(M93:M95)</f>
        <v>406265.72957479383</v>
      </c>
      <c r="N96" s="24">
        <f>SUM(N93:N95)</f>
        <v>461467.64620074839</v>
      </c>
      <c r="O96" s="24">
        <f t="shared" ref="O96:Q96" si="70">SUM(O93:O95)</f>
        <v>447708.26480016939</v>
      </c>
      <c r="P96" s="24">
        <f t="shared" si="70"/>
        <v>449739.32889130851</v>
      </c>
      <c r="Q96" s="24">
        <f t="shared" si="70"/>
        <v>429155.71409554372</v>
      </c>
      <c r="R96" s="24">
        <f>SUM(R93:R95)</f>
        <v>5364365.7215311108</v>
      </c>
      <c r="S96" s="40"/>
      <c r="T96" s="23"/>
    </row>
    <row r="97" spans="3:21" x14ac:dyDescent="0.2"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</row>
    <row r="98" spans="3:21" s="30" customFormat="1" x14ac:dyDescent="0.2">
      <c r="C98" t="s">
        <v>543</v>
      </c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1"/>
      <c r="T98" s="34"/>
      <c r="U98" s="34"/>
    </row>
    <row r="99" spans="3:21" x14ac:dyDescent="0.2"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</row>
    <row r="100" spans="3:21" x14ac:dyDescent="0.2">
      <c r="E100" s="56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</row>
  </sheetData>
  <mergeCells count="4">
    <mergeCell ref="B1:R1"/>
    <mergeCell ref="B2:R2"/>
    <mergeCell ref="B3:R3"/>
    <mergeCell ref="B4:R4"/>
  </mergeCells>
  <phoneticPr fontId="9" type="noConversion"/>
  <printOptions horizontalCentered="1"/>
  <pageMargins left="0.5" right="0.5" top="1" bottom="1" header="0.5" footer="0.5"/>
  <pageSetup scale="65" fitToHeight="2" orientation="landscape" blackAndWhite="1" horizontalDpi="300" verticalDpi="300" r:id="rId1"/>
  <headerFooter alignWithMargins="0">
    <oddFooter>&amp;L&amp;F  
&amp;A&amp;C&amp;P&amp;R&amp;D</oddFooter>
  </headerFooter>
  <rowBreaks count="1" manualBreakCount="1">
    <brk id="62" min="1" max="17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6"/>
  <sheetViews>
    <sheetView workbookViewId="0">
      <selection activeCell="E33" sqref="E33"/>
    </sheetView>
  </sheetViews>
  <sheetFormatPr defaultRowHeight="12.75" x14ac:dyDescent="0.2"/>
  <cols>
    <col min="1" max="1" width="2.5703125" style="207" customWidth="1"/>
    <col min="2" max="2" width="32.28515625" style="212" customWidth="1"/>
    <col min="3" max="3" width="9.85546875" style="212" bestFit="1" customWidth="1"/>
    <col min="4" max="4" width="12.140625" style="213" bestFit="1" customWidth="1"/>
    <col min="5" max="5" width="10.5703125" style="213" customWidth="1"/>
    <col min="6" max="6" width="15.5703125" style="212" customWidth="1"/>
    <col min="7" max="7" width="3.28515625" style="214" customWidth="1"/>
    <col min="8" max="8" width="10.42578125" style="207" bestFit="1" customWidth="1"/>
    <col min="9" max="9" width="14.85546875" style="215" customWidth="1"/>
    <col min="10" max="10" width="3" style="216" customWidth="1"/>
    <col min="11" max="11" width="13.7109375" style="207" bestFit="1" customWidth="1"/>
    <col min="12" max="12" width="11.140625" style="217" bestFit="1" customWidth="1"/>
    <col min="13" max="13" width="2.42578125" style="217" customWidth="1"/>
    <col min="14" max="14" width="1.5703125" style="217" customWidth="1"/>
    <col min="15" max="15" width="14" style="207" customWidth="1"/>
    <col min="16" max="16" width="3" style="207" customWidth="1"/>
    <col min="17" max="17" width="10.140625" style="220" bestFit="1" customWidth="1"/>
    <col min="18" max="16384" width="9.140625" style="207"/>
  </cols>
  <sheetData>
    <row r="1" spans="2:26" x14ac:dyDescent="0.2">
      <c r="B1" s="199"/>
      <c r="C1" s="199"/>
      <c r="D1" s="200"/>
      <c r="E1" s="200"/>
      <c r="F1" s="199"/>
      <c r="G1" s="201"/>
      <c r="H1" s="202"/>
      <c r="I1" s="203"/>
      <c r="J1" s="204"/>
      <c r="K1" s="202"/>
      <c r="L1" s="205"/>
      <c r="M1" s="205"/>
      <c r="N1" s="205"/>
      <c r="O1" s="202"/>
      <c r="P1" s="202"/>
      <c r="Q1" s="206"/>
    </row>
    <row r="2" spans="2:26" x14ac:dyDescent="0.2">
      <c r="B2" s="199" t="s">
        <v>1</v>
      </c>
      <c r="C2" s="199"/>
      <c r="D2" s="208"/>
      <c r="E2" s="208"/>
      <c r="F2" s="199"/>
      <c r="G2" s="199"/>
      <c r="H2" s="199"/>
      <c r="I2" s="199"/>
      <c r="J2" s="199"/>
      <c r="K2" s="199"/>
      <c r="L2" s="199"/>
      <c r="M2" s="205"/>
      <c r="N2" s="205"/>
      <c r="O2" s="202"/>
      <c r="P2" s="202"/>
      <c r="Q2" s="206"/>
    </row>
    <row r="3" spans="2:26" x14ac:dyDescent="0.2">
      <c r="B3" s="697" t="s">
        <v>540</v>
      </c>
      <c r="C3" s="199"/>
      <c r="D3" s="208"/>
      <c r="E3" s="208"/>
      <c r="F3" s="199"/>
      <c r="G3" s="199"/>
      <c r="H3" s="199"/>
      <c r="I3" s="199"/>
      <c r="J3" s="199"/>
      <c r="K3" s="199"/>
      <c r="L3" s="199"/>
      <c r="M3" s="205"/>
      <c r="N3" s="205"/>
      <c r="O3" s="202"/>
      <c r="P3" s="202"/>
      <c r="Q3" s="206"/>
    </row>
    <row r="4" spans="2:26" x14ac:dyDescent="0.2">
      <c r="B4" s="697" t="s">
        <v>531</v>
      </c>
      <c r="C4" s="199"/>
      <c r="D4" s="208"/>
      <c r="E4" s="208"/>
      <c r="F4" s="199"/>
      <c r="G4" s="199"/>
      <c r="H4" s="199"/>
      <c r="I4" s="199"/>
      <c r="J4" s="199"/>
      <c r="K4" s="199"/>
      <c r="L4" s="199"/>
      <c r="M4" s="205"/>
      <c r="N4" s="205"/>
      <c r="O4" s="202"/>
      <c r="P4" s="202"/>
      <c r="Q4" s="206"/>
    </row>
    <row r="5" spans="2:26" x14ac:dyDescent="0.2">
      <c r="B5" s="209" t="s">
        <v>408</v>
      </c>
      <c r="C5" s="199"/>
      <c r="D5" s="208"/>
      <c r="E5" s="208"/>
      <c r="F5" s="199"/>
      <c r="G5" s="199"/>
      <c r="H5" s="199"/>
      <c r="I5" s="199"/>
      <c r="J5" s="199"/>
      <c r="K5" s="199"/>
      <c r="L5" s="199"/>
      <c r="M5" s="205"/>
      <c r="N5" s="210"/>
      <c r="O5" s="211"/>
      <c r="P5" s="202"/>
      <c r="Q5" s="206"/>
    </row>
    <row r="6" spans="2:26" x14ac:dyDescent="0.2">
      <c r="N6" s="218"/>
      <c r="O6" s="219"/>
    </row>
    <row r="7" spans="2:26" ht="15" customHeight="1" x14ac:dyDescent="0.2">
      <c r="B7" s="221"/>
      <c r="C7" s="222"/>
      <c r="D7" s="223" t="s">
        <v>409</v>
      </c>
      <c r="E7" s="224" t="s">
        <v>410</v>
      </c>
      <c r="F7" s="225"/>
      <c r="G7" s="226"/>
      <c r="H7" s="227" t="s">
        <v>411</v>
      </c>
      <c r="I7" s="225"/>
      <c r="J7" s="228"/>
      <c r="K7" s="225" t="s">
        <v>412</v>
      </c>
      <c r="L7" s="229"/>
      <c r="M7" s="230"/>
      <c r="N7" s="230"/>
      <c r="O7" s="231" t="s">
        <v>413</v>
      </c>
      <c r="Q7" s="232" t="s">
        <v>414</v>
      </c>
    </row>
    <row r="8" spans="2:26" x14ac:dyDescent="0.2">
      <c r="B8" s="233" t="s">
        <v>116</v>
      </c>
      <c r="C8" s="234" t="s">
        <v>2</v>
      </c>
      <c r="D8" s="235" t="s">
        <v>415</v>
      </c>
      <c r="E8" s="235" t="s">
        <v>7</v>
      </c>
      <c r="F8" s="236" t="s">
        <v>416</v>
      </c>
      <c r="G8" s="234"/>
      <c r="H8" s="234" t="s">
        <v>7</v>
      </c>
      <c r="I8" s="236" t="s">
        <v>416</v>
      </c>
      <c r="J8" s="236"/>
      <c r="K8" s="236" t="s">
        <v>417</v>
      </c>
      <c r="L8" s="237" t="s">
        <v>418</v>
      </c>
      <c r="M8" s="238"/>
      <c r="N8" s="238"/>
      <c r="O8" s="239" t="s">
        <v>419</v>
      </c>
      <c r="Q8" s="240" t="s">
        <v>420</v>
      </c>
    </row>
    <row r="9" spans="2:26" x14ac:dyDescent="0.2">
      <c r="B9" s="219"/>
      <c r="C9" s="219"/>
      <c r="D9" s="241"/>
      <c r="E9" s="241"/>
      <c r="F9" s="219"/>
      <c r="H9" s="219"/>
      <c r="I9" s="216"/>
      <c r="K9" s="219"/>
      <c r="L9" s="218"/>
      <c r="M9" s="218"/>
      <c r="N9" s="218"/>
      <c r="O9" s="219"/>
    </row>
    <row r="10" spans="2:26" x14ac:dyDescent="0.2">
      <c r="B10" s="242" t="s">
        <v>421</v>
      </c>
      <c r="C10" s="243"/>
      <c r="D10" s="244"/>
      <c r="E10" s="244"/>
      <c r="F10" s="245"/>
      <c r="G10" s="246"/>
      <c r="H10" s="244"/>
      <c r="I10" s="247"/>
      <c r="J10" s="247"/>
      <c r="K10" s="247"/>
      <c r="L10" s="248"/>
      <c r="M10" s="218"/>
      <c r="N10" s="218"/>
      <c r="O10" s="219"/>
    </row>
    <row r="11" spans="2:26" x14ac:dyDescent="0.2">
      <c r="B11" s="249"/>
      <c r="C11" s="219"/>
      <c r="D11" s="241"/>
      <c r="E11" s="241"/>
      <c r="F11" s="219"/>
      <c r="G11" s="250"/>
      <c r="H11" s="241"/>
      <c r="I11" s="251"/>
      <c r="J11" s="251"/>
      <c r="K11" s="251"/>
      <c r="L11" s="252"/>
      <c r="M11" s="218"/>
      <c r="N11" s="218"/>
      <c r="O11" s="253" t="s">
        <v>422</v>
      </c>
      <c r="P11" s="219"/>
    </row>
    <row r="12" spans="2:26" x14ac:dyDescent="0.2">
      <c r="B12" s="254" t="s">
        <v>423</v>
      </c>
      <c r="C12" s="255" t="s">
        <v>22</v>
      </c>
      <c r="D12" s="256">
        <v>9046017.5601524524</v>
      </c>
      <c r="E12" s="257">
        <v>10.34</v>
      </c>
      <c r="F12" s="251">
        <f>SUM(+D12*E12)</f>
        <v>93535821.571976364</v>
      </c>
      <c r="H12" s="258">
        <v>11</v>
      </c>
      <c r="I12" s="251">
        <f>SUM(+D12*H12)</f>
        <v>99506193.161676973</v>
      </c>
      <c r="J12" s="251"/>
      <c r="K12" s="251">
        <f>I12-F12</f>
        <v>5970371.5897006094</v>
      </c>
      <c r="L12" s="259">
        <f>ROUND(K12/F12,5)</f>
        <v>6.3829999999999998E-2</v>
      </c>
      <c r="M12" s="218"/>
      <c r="N12" s="218"/>
      <c r="O12" s="260">
        <v>-4940805.2914509522</v>
      </c>
      <c r="P12" s="219"/>
      <c r="Q12" s="261">
        <f>H12/E12-1</f>
        <v>6.3829787234042534E-2</v>
      </c>
    </row>
    <row r="13" spans="2:26" x14ac:dyDescent="0.2">
      <c r="B13" s="249" t="s">
        <v>424</v>
      </c>
      <c r="C13" s="219" t="s">
        <v>10</v>
      </c>
      <c r="D13" s="262">
        <v>577531151.08299994</v>
      </c>
      <c r="E13" s="263">
        <v>0.36492000000000002</v>
      </c>
      <c r="F13" s="251">
        <f>ROUND(D13*E13,2)</f>
        <v>210752667.65000001</v>
      </c>
      <c r="H13" s="264">
        <f>ROUND(E13*(1+$O$16),5)</f>
        <v>0.34603</v>
      </c>
      <c r="I13" s="251">
        <f>ROUND(D13*H13,2)</f>
        <v>199843104.21000001</v>
      </c>
      <c r="J13" s="251"/>
      <c r="K13" s="251">
        <f>I13-F13</f>
        <v>-10909563.439999998</v>
      </c>
      <c r="L13" s="259">
        <f>ROUND(K13/F13,5)</f>
        <v>-5.176E-2</v>
      </c>
      <c r="M13" s="219"/>
      <c r="N13" s="219"/>
      <c r="O13" s="265" t="s">
        <v>425</v>
      </c>
      <c r="P13" s="219"/>
      <c r="Q13" s="261">
        <f>H13/E13-1</f>
        <v>-5.1764770360626988E-2</v>
      </c>
    </row>
    <row r="14" spans="2:26" x14ac:dyDescent="0.2">
      <c r="B14" s="266"/>
      <c r="C14" s="267"/>
      <c r="D14" s="268"/>
      <c r="E14" s="269"/>
      <c r="F14" s="247">
        <f>SUM(F12:F13)</f>
        <v>304288489.2219764</v>
      </c>
      <c r="H14" s="241"/>
      <c r="I14" s="247">
        <f>SUM(I12:I13)</f>
        <v>299349297.37167698</v>
      </c>
      <c r="J14" s="251"/>
      <c r="K14" s="247">
        <f>SUM(K12:K13)</f>
        <v>-4939191.8502993882</v>
      </c>
      <c r="L14" s="270">
        <f>ROUND(K14/F14,5)</f>
        <v>-1.6230000000000001E-2</v>
      </c>
      <c r="M14" s="219"/>
      <c r="N14" s="219"/>
      <c r="O14" s="271">
        <f>(K14+K26)-O12</f>
        <v>1617.3111515641212</v>
      </c>
      <c r="P14" s="219"/>
      <c r="Q14" s="272"/>
    </row>
    <row r="15" spans="2:26" x14ac:dyDescent="0.2">
      <c r="B15" s="266"/>
      <c r="C15" s="273"/>
      <c r="D15" s="241"/>
      <c r="E15" s="263"/>
      <c r="F15" s="274"/>
      <c r="H15" s="241"/>
      <c r="I15" s="251"/>
      <c r="J15" s="251"/>
      <c r="K15" s="251"/>
      <c r="L15" s="252"/>
      <c r="M15" s="261"/>
      <c r="N15" s="261"/>
      <c r="O15" s="275"/>
      <c r="Q15" s="276"/>
    </row>
    <row r="16" spans="2:26" x14ac:dyDescent="0.2">
      <c r="B16" s="249" t="s">
        <v>426</v>
      </c>
      <c r="C16" s="219" t="s">
        <v>10</v>
      </c>
      <c r="D16" s="268">
        <f>D13</f>
        <v>577531151.08299994</v>
      </c>
      <c r="E16" s="263">
        <v>0.4173</v>
      </c>
      <c r="F16" s="247">
        <f>E16*D16</f>
        <v>241003749.34693587</v>
      </c>
      <c r="G16" s="219"/>
      <c r="H16" s="263">
        <v>0.40933000000000003</v>
      </c>
      <c r="I16" s="247">
        <f>H16*D16</f>
        <v>236400826.07280439</v>
      </c>
      <c r="J16" s="251"/>
      <c r="K16" s="247">
        <f>I16-F16</f>
        <v>-4602923.2741314769</v>
      </c>
      <c r="L16" s="270">
        <f>ROUND(K16/F16,5)</f>
        <v>-1.9099999999999999E-2</v>
      </c>
      <c r="M16" s="261"/>
      <c r="N16" s="261"/>
      <c r="O16" s="277">
        <v>-5.1767237933664494E-2</v>
      </c>
      <c r="P16" s="278"/>
      <c r="Q16" s="279"/>
      <c r="R16" s="219"/>
      <c r="Z16" s="219"/>
    </row>
    <row r="17" spans="1:26" ht="14.25" customHeight="1" x14ac:dyDescent="0.2">
      <c r="B17" s="249"/>
      <c r="C17" s="219"/>
      <c r="D17" s="241"/>
      <c r="E17" s="241"/>
      <c r="F17" s="251"/>
      <c r="H17" s="280"/>
      <c r="I17" s="251"/>
      <c r="J17" s="251"/>
      <c r="K17" s="251"/>
      <c r="L17" s="252"/>
      <c r="M17" s="219"/>
      <c r="N17" s="219"/>
      <c r="O17" s="278"/>
      <c r="P17" s="278"/>
      <c r="Q17" s="278"/>
      <c r="R17" s="219"/>
      <c r="Z17" s="219"/>
    </row>
    <row r="18" spans="1:26" x14ac:dyDescent="0.2">
      <c r="B18" s="281" t="s">
        <v>427</v>
      </c>
      <c r="C18" s="267"/>
      <c r="D18" s="282"/>
      <c r="E18" s="241"/>
      <c r="F18" s="247">
        <f>F14+F16</f>
        <v>545292238.56891227</v>
      </c>
      <c r="H18" s="241"/>
      <c r="I18" s="247">
        <f>I14+I16</f>
        <v>535750123.44448137</v>
      </c>
      <c r="J18" s="251"/>
      <c r="K18" s="247">
        <f>K14+K16</f>
        <v>-9542115.124430865</v>
      </c>
      <c r="L18" s="270">
        <f>ROUND(K18/F18,5)</f>
        <v>-1.7500000000000002E-2</v>
      </c>
      <c r="M18" s="261"/>
      <c r="N18" s="261"/>
      <c r="O18" s="261"/>
      <c r="P18" s="283"/>
      <c r="Q18" s="232"/>
      <c r="R18" s="219"/>
      <c r="Z18" s="219"/>
    </row>
    <row r="19" spans="1:26" x14ac:dyDescent="0.2">
      <c r="B19" s="281"/>
      <c r="C19" s="267"/>
      <c r="D19" s="284"/>
      <c r="E19" s="241"/>
      <c r="F19" s="285"/>
      <c r="H19" s="241"/>
      <c r="I19" s="251"/>
      <c r="J19" s="251"/>
      <c r="K19" s="286"/>
      <c r="L19" s="259"/>
      <c r="M19" s="261"/>
      <c r="N19" s="218"/>
      <c r="O19" s="219"/>
      <c r="Q19" s="276"/>
      <c r="R19" s="219"/>
      <c r="Z19" s="219"/>
    </row>
    <row r="20" spans="1:26" s="213" customFormat="1" x14ac:dyDescent="0.2">
      <c r="B20" s="287"/>
      <c r="C20" s="288"/>
      <c r="D20" s="288"/>
      <c r="E20" s="288"/>
      <c r="F20" s="289"/>
      <c r="G20" s="290"/>
      <c r="H20" s="288"/>
      <c r="I20" s="289"/>
      <c r="J20" s="289"/>
      <c r="K20" s="289"/>
      <c r="L20" s="291"/>
      <c r="M20" s="241"/>
      <c r="N20" s="241"/>
      <c r="Q20" s="241"/>
      <c r="R20" s="241"/>
      <c r="Z20" s="241"/>
    </row>
    <row r="21" spans="1:26" s="213" customFormat="1" x14ac:dyDescent="0.2">
      <c r="B21" s="241"/>
      <c r="C21" s="241"/>
      <c r="D21" s="241"/>
      <c r="F21" s="292"/>
      <c r="G21" s="268"/>
      <c r="H21" s="241"/>
      <c r="I21" s="285"/>
      <c r="J21" s="285"/>
      <c r="K21" s="285"/>
      <c r="L21" s="293"/>
      <c r="M21" s="241"/>
      <c r="N21" s="241"/>
      <c r="O21" s="241"/>
      <c r="Q21" s="241"/>
      <c r="R21" s="241"/>
      <c r="Z21" s="241"/>
    </row>
    <row r="22" spans="1:26" x14ac:dyDescent="0.2">
      <c r="A22" s="213"/>
      <c r="B22" s="294" t="s">
        <v>428</v>
      </c>
      <c r="C22" s="295"/>
      <c r="D22" s="244"/>
      <c r="E22" s="296"/>
      <c r="F22" s="297"/>
      <c r="G22" s="246"/>
      <c r="H22" s="244"/>
      <c r="I22" s="247"/>
      <c r="J22" s="247"/>
      <c r="K22" s="247"/>
      <c r="L22" s="270"/>
      <c r="M22" s="219"/>
      <c r="N22" s="219"/>
      <c r="O22" s="219"/>
      <c r="Q22" s="276"/>
      <c r="R22" s="219"/>
      <c r="Z22" s="219"/>
    </row>
    <row r="23" spans="1:26" s="213" customFormat="1" x14ac:dyDescent="0.2">
      <c r="B23" s="298"/>
      <c r="C23" s="241"/>
      <c r="D23" s="241"/>
      <c r="E23" s="241"/>
      <c r="F23" s="285"/>
      <c r="G23" s="299"/>
      <c r="H23" s="241"/>
      <c r="I23" s="285"/>
      <c r="J23" s="285"/>
      <c r="K23" s="285"/>
      <c r="L23" s="300"/>
      <c r="M23" s="301"/>
      <c r="N23" s="301"/>
      <c r="O23" s="278"/>
      <c r="P23" s="241"/>
      <c r="Q23" s="302"/>
      <c r="R23" s="241"/>
      <c r="Z23" s="241"/>
    </row>
    <row r="24" spans="1:26" s="213" customFormat="1" ht="13.5" customHeight="1" x14ac:dyDescent="0.2">
      <c r="B24" s="254" t="s">
        <v>423</v>
      </c>
      <c r="C24" s="255" t="s">
        <v>22</v>
      </c>
      <c r="D24" s="256">
        <v>13.000000000000002</v>
      </c>
      <c r="E24" s="257">
        <v>10.34</v>
      </c>
      <c r="F24" s="285">
        <f>SUM(+D24*E24)</f>
        <v>134.42000000000002</v>
      </c>
      <c r="G24" s="268"/>
      <c r="H24" s="303">
        <f>H12</f>
        <v>11</v>
      </c>
      <c r="I24" s="285">
        <f>SUM(+D24*H24)</f>
        <v>143.00000000000003</v>
      </c>
      <c r="J24" s="285"/>
      <c r="K24" s="285">
        <f>I24-F24</f>
        <v>8.5800000000000125</v>
      </c>
      <c r="L24" s="300"/>
      <c r="M24" s="301"/>
      <c r="N24" s="301"/>
      <c r="O24" s="304"/>
      <c r="P24" s="241"/>
      <c r="Q24" s="261">
        <f>H24/E24-1</f>
        <v>6.3829787234042534E-2</v>
      </c>
      <c r="R24" s="241"/>
      <c r="Z24" s="241"/>
    </row>
    <row r="25" spans="1:26" s="213" customFormat="1" ht="13.5" customHeight="1" x14ac:dyDescent="0.2">
      <c r="B25" s="249" t="s">
        <v>424</v>
      </c>
      <c r="C25" s="219" t="s">
        <v>10</v>
      </c>
      <c r="D25" s="256">
        <v>249.405</v>
      </c>
      <c r="E25" s="263">
        <v>0.36492000000000002</v>
      </c>
      <c r="F25" s="285">
        <f>ROUND(D25*E25,2)</f>
        <v>91.01</v>
      </c>
      <c r="G25" s="268"/>
      <c r="H25" s="264">
        <f>H13</f>
        <v>0.34603</v>
      </c>
      <c r="I25" s="285">
        <f>ROUND(D25*H25,2)</f>
        <v>86.3</v>
      </c>
      <c r="J25" s="285"/>
      <c r="K25" s="285">
        <f>I25-F25</f>
        <v>-4.710000000000008</v>
      </c>
      <c r="L25" s="305"/>
      <c r="M25" s="301"/>
      <c r="N25" s="301"/>
      <c r="O25" s="306"/>
      <c r="P25" s="241"/>
      <c r="Q25" s="261">
        <f>H25/E25-1</f>
        <v>-5.1764770360626988E-2</v>
      </c>
      <c r="R25" s="241"/>
      <c r="Z25" s="241"/>
    </row>
    <row r="26" spans="1:26" s="213" customFormat="1" ht="13.5" customHeight="1" x14ac:dyDescent="0.2">
      <c r="B26" s="281" t="s">
        <v>429</v>
      </c>
      <c r="C26" s="255"/>
      <c r="D26" s="268"/>
      <c r="E26" s="241"/>
      <c r="F26" s="247">
        <f>SUM(F24:F25)</f>
        <v>225.43</v>
      </c>
      <c r="G26" s="268"/>
      <c r="H26" s="241"/>
      <c r="I26" s="247">
        <f>SUM(I24:I25)</f>
        <v>229.3</v>
      </c>
      <c r="J26" s="285"/>
      <c r="K26" s="247">
        <f>SUM(K24:K25)</f>
        <v>3.8700000000000045</v>
      </c>
      <c r="L26" s="270">
        <f>ROUND(K26/F26,5)</f>
        <v>1.7170000000000001E-2</v>
      </c>
      <c r="M26" s="241"/>
      <c r="N26" s="241"/>
      <c r="O26" s="306"/>
      <c r="P26" s="241"/>
      <c r="Q26" s="272"/>
      <c r="R26" s="241"/>
      <c r="Z26" s="241"/>
    </row>
    <row r="27" spans="1:26" s="213" customFormat="1" ht="13.5" customHeight="1" x14ac:dyDescent="0.2">
      <c r="B27" s="307"/>
      <c r="C27" s="308"/>
      <c r="D27" s="241"/>
      <c r="E27" s="241"/>
      <c r="F27" s="309"/>
      <c r="G27" s="268"/>
      <c r="H27" s="241"/>
      <c r="I27" s="285"/>
      <c r="J27" s="285"/>
      <c r="K27" s="285"/>
      <c r="L27" s="300"/>
      <c r="M27" s="241"/>
      <c r="N27" s="241"/>
      <c r="O27" s="310"/>
      <c r="Q27" s="302"/>
      <c r="R27" s="241"/>
      <c r="Z27" s="241"/>
    </row>
    <row r="28" spans="1:26" s="213" customFormat="1" ht="13.5" customHeight="1" x14ac:dyDescent="0.2">
      <c r="B28" s="249" t="s">
        <v>162</v>
      </c>
      <c r="C28" s="219" t="s">
        <v>10</v>
      </c>
      <c r="D28" s="268">
        <f>D25</f>
        <v>249.405</v>
      </c>
      <c r="E28" s="263">
        <v>4.0064099999999998</v>
      </c>
      <c r="F28" s="247">
        <f>E28*D28</f>
        <v>999.21868604999997</v>
      </c>
      <c r="G28" s="241"/>
      <c r="H28" s="264">
        <f>E28</f>
        <v>4.0064099999999998</v>
      </c>
      <c r="I28" s="247">
        <f>F28</f>
        <v>999.21868604999997</v>
      </c>
      <c r="J28" s="285"/>
      <c r="K28" s="247">
        <f>I28-F28</f>
        <v>0</v>
      </c>
      <c r="L28" s="270">
        <f>ROUND(K28/F28,5)</f>
        <v>0</v>
      </c>
      <c r="M28" s="301"/>
      <c r="N28" s="301"/>
      <c r="O28" s="311"/>
      <c r="P28" s="278"/>
      <c r="Q28" s="278"/>
      <c r="R28" s="241"/>
      <c r="Z28" s="241"/>
    </row>
    <row r="29" spans="1:26" s="213" customFormat="1" ht="13.5" customHeight="1" x14ac:dyDescent="0.2">
      <c r="B29" s="298"/>
      <c r="C29" s="241"/>
      <c r="D29" s="241"/>
      <c r="E29" s="312"/>
      <c r="F29" s="285"/>
      <c r="G29" s="268"/>
      <c r="H29" s="280"/>
      <c r="I29" s="285"/>
      <c r="J29" s="285"/>
      <c r="K29" s="285"/>
      <c r="L29" s="305"/>
      <c r="M29" s="313"/>
      <c r="N29" s="313"/>
      <c r="O29" s="310"/>
      <c r="P29" s="278"/>
      <c r="Q29" s="278"/>
      <c r="R29" s="241"/>
      <c r="Z29" s="241"/>
    </row>
    <row r="30" spans="1:26" s="213" customFormat="1" ht="13.5" customHeight="1" x14ac:dyDescent="0.2">
      <c r="B30" s="254" t="s">
        <v>427</v>
      </c>
      <c r="C30" s="255"/>
      <c r="D30" s="241"/>
      <c r="E30" s="241"/>
      <c r="F30" s="247">
        <f>F26+F28</f>
        <v>1224.6486860499999</v>
      </c>
      <c r="G30" s="268"/>
      <c r="H30" s="241"/>
      <c r="I30" s="247">
        <f>I26+I28</f>
        <v>1228.51868605</v>
      </c>
      <c r="J30" s="285"/>
      <c r="K30" s="247">
        <f>K26+K28</f>
        <v>3.8700000000000045</v>
      </c>
      <c r="L30" s="270">
        <f>ROUND(K30/F30,5)</f>
        <v>3.16E-3</v>
      </c>
      <c r="M30" s="241"/>
      <c r="N30" s="241"/>
      <c r="O30" s="314"/>
      <c r="P30" s="278"/>
      <c r="Q30" s="272"/>
      <c r="R30" s="241"/>
      <c r="Z30" s="241"/>
    </row>
    <row r="31" spans="1:26" s="213" customFormat="1" ht="13.5" customHeight="1" x14ac:dyDescent="0.2">
      <c r="B31" s="298"/>
      <c r="C31" s="241"/>
      <c r="D31" s="241"/>
      <c r="E31" s="241"/>
      <c r="F31" s="315"/>
      <c r="G31" s="268"/>
      <c r="H31" s="241"/>
      <c r="I31" s="285"/>
      <c r="J31" s="285"/>
      <c r="K31" s="285"/>
      <c r="L31" s="305"/>
      <c r="M31" s="313"/>
      <c r="N31" s="313"/>
      <c r="P31" s="278"/>
      <c r="Q31" s="241"/>
      <c r="R31" s="241"/>
      <c r="Z31" s="241"/>
    </row>
    <row r="32" spans="1:26" s="213" customFormat="1" ht="13.5" customHeight="1" x14ac:dyDescent="0.2">
      <c r="B32" s="287"/>
      <c r="C32" s="288"/>
      <c r="D32" s="288"/>
      <c r="E32" s="288"/>
      <c r="F32" s="289"/>
      <c r="G32" s="288"/>
      <c r="H32" s="288"/>
      <c r="I32" s="289"/>
      <c r="J32" s="289"/>
      <c r="K32" s="289"/>
      <c r="L32" s="291"/>
      <c r="M32" s="241"/>
      <c r="N32" s="241"/>
      <c r="P32" s="278"/>
      <c r="Q32" s="302"/>
      <c r="R32" s="241"/>
      <c r="Z32" s="241"/>
    </row>
    <row r="33" spans="2:26" s="213" customFormat="1" ht="13.5" customHeight="1" x14ac:dyDescent="0.2">
      <c r="B33" s="241"/>
      <c r="C33" s="241"/>
      <c r="D33" s="241"/>
      <c r="E33" s="316"/>
      <c r="F33" s="315"/>
      <c r="G33" s="268"/>
      <c r="H33" s="241"/>
      <c r="I33" s="285"/>
      <c r="J33" s="285"/>
      <c r="K33" s="285"/>
      <c r="L33" s="293"/>
      <c r="M33" s="241"/>
      <c r="N33" s="241"/>
      <c r="P33" s="278"/>
      <c r="Q33" s="302"/>
      <c r="R33" s="241"/>
      <c r="Z33" s="241"/>
    </row>
    <row r="34" spans="2:26" s="213" customFormat="1" ht="13.5" customHeight="1" x14ac:dyDescent="0.2">
      <c r="B34" s="241"/>
      <c r="C34" s="241"/>
      <c r="D34" s="241"/>
      <c r="E34" s="316"/>
      <c r="F34" s="315"/>
      <c r="G34" s="268"/>
      <c r="H34" s="241"/>
      <c r="I34" s="285"/>
      <c r="J34" s="285"/>
      <c r="K34" s="285"/>
      <c r="L34" s="293"/>
      <c r="M34" s="241"/>
      <c r="N34" s="241"/>
      <c r="P34" s="278"/>
      <c r="Q34" s="302"/>
      <c r="R34" s="241"/>
      <c r="Z34" s="241"/>
    </row>
    <row r="35" spans="2:26" ht="13.5" customHeight="1" x14ac:dyDescent="0.2">
      <c r="B35" s="294" t="s">
        <v>430</v>
      </c>
      <c r="C35" s="243"/>
      <c r="D35" s="244"/>
      <c r="E35" s="296"/>
      <c r="F35" s="297"/>
      <c r="G35" s="246"/>
      <c r="H35" s="245"/>
      <c r="I35" s="247"/>
      <c r="J35" s="247"/>
      <c r="K35" s="247"/>
      <c r="L35" s="270"/>
      <c r="M35" s="219"/>
      <c r="N35" s="219"/>
      <c r="P35" s="278"/>
      <c r="Q35" s="276"/>
      <c r="R35" s="219"/>
      <c r="Z35" s="219"/>
    </row>
    <row r="36" spans="2:26" ht="13.5" customHeight="1" x14ac:dyDescent="0.2">
      <c r="B36" s="266"/>
      <c r="C36" s="273"/>
      <c r="D36" s="241"/>
      <c r="E36" s="241"/>
      <c r="F36" s="251"/>
      <c r="G36" s="317"/>
      <c r="H36" s="219"/>
      <c r="I36" s="251"/>
      <c r="J36" s="251"/>
      <c r="K36" s="251"/>
      <c r="L36" s="252"/>
      <c r="M36" s="218"/>
      <c r="N36" s="218"/>
      <c r="O36" s="318" t="s">
        <v>431</v>
      </c>
      <c r="P36" s="278"/>
      <c r="Q36" s="276"/>
      <c r="R36" s="219"/>
      <c r="Z36" s="219"/>
    </row>
    <row r="37" spans="2:26" ht="13.5" customHeight="1" x14ac:dyDescent="0.2">
      <c r="B37" s="298" t="s">
        <v>432</v>
      </c>
      <c r="C37" s="319" t="s">
        <v>11</v>
      </c>
      <c r="D37" s="256">
        <v>509.99942105263153</v>
      </c>
      <c r="E37" s="257">
        <v>9.85</v>
      </c>
      <c r="F37" s="251">
        <f>ROUND(D37*E37,2)</f>
        <v>5023.49</v>
      </c>
      <c r="H37" s="303">
        <f>ROUND(E37*(1+$O$41),2)</f>
        <v>9.69</v>
      </c>
      <c r="I37" s="251">
        <f>ROUND(D37*H37,2)</f>
        <v>4941.8900000000003</v>
      </c>
      <c r="J37" s="251"/>
      <c r="K37" s="251">
        <f>I37-F37</f>
        <v>-81.599999999999454</v>
      </c>
      <c r="L37" s="259">
        <f>ROUND(K37/F37,5)</f>
        <v>-1.6240000000000001E-2</v>
      </c>
      <c r="M37" s="320"/>
      <c r="N37" s="320"/>
      <c r="O37" s="260">
        <v>-82.898261263035238</v>
      </c>
      <c r="P37" s="278"/>
      <c r="Q37" s="261">
        <f>H37/E37-1</f>
        <v>-1.624365482233503E-2</v>
      </c>
      <c r="R37" s="219"/>
      <c r="Z37" s="219"/>
    </row>
    <row r="38" spans="2:26" ht="13.5" customHeight="1" x14ac:dyDescent="0.2">
      <c r="B38" s="249"/>
      <c r="C38" s="219"/>
      <c r="D38" s="269"/>
      <c r="E38" s="269"/>
      <c r="F38" s="251"/>
      <c r="G38" s="219"/>
      <c r="H38" s="219"/>
      <c r="I38" s="251"/>
      <c r="J38" s="251"/>
      <c r="K38" s="251"/>
      <c r="L38" s="259"/>
      <c r="M38" s="320"/>
      <c r="N38" s="320"/>
      <c r="O38" s="265" t="s">
        <v>425</v>
      </c>
      <c r="P38" s="278"/>
      <c r="Q38" s="261"/>
      <c r="R38" s="219"/>
      <c r="Z38" s="219"/>
    </row>
    <row r="39" spans="2:26" ht="13.5" customHeight="1" x14ac:dyDescent="0.2">
      <c r="B39" s="281" t="s">
        <v>433</v>
      </c>
      <c r="C39" s="267"/>
      <c r="D39" s="256">
        <v>9689.9889999999996</v>
      </c>
      <c r="E39" s="256"/>
      <c r="F39" s="274"/>
      <c r="H39" s="219"/>
      <c r="I39" s="251"/>
      <c r="J39" s="251"/>
      <c r="K39" s="251"/>
      <c r="L39" s="252"/>
      <c r="M39" s="320"/>
      <c r="N39" s="320"/>
      <c r="O39" s="271">
        <f>K37-O37</f>
        <v>1.2982612630357835</v>
      </c>
      <c r="P39" s="278"/>
      <c r="Q39" s="261"/>
      <c r="R39" s="219"/>
      <c r="Z39" s="219"/>
    </row>
    <row r="40" spans="2:26" ht="13.5" customHeight="1" x14ac:dyDescent="0.2">
      <c r="B40" s="249"/>
      <c r="C40" s="219"/>
      <c r="D40" s="241"/>
      <c r="E40" s="241"/>
      <c r="F40" s="321"/>
      <c r="G40" s="268"/>
      <c r="H40" s="241"/>
      <c r="I40" s="285"/>
      <c r="J40" s="251"/>
      <c r="K40" s="251"/>
      <c r="L40" s="252"/>
      <c r="M40" s="261"/>
      <c r="N40" s="261"/>
      <c r="P40" s="278"/>
      <c r="Q40" s="261"/>
      <c r="R40" s="219"/>
      <c r="Z40" s="219"/>
    </row>
    <row r="41" spans="2:26" ht="13.5" customHeight="1" x14ac:dyDescent="0.2">
      <c r="B41" s="249" t="s">
        <v>426</v>
      </c>
      <c r="C41" s="267"/>
      <c r="D41" s="268">
        <f>D39</f>
        <v>9689.9889999999996</v>
      </c>
      <c r="E41" s="263">
        <v>0.41737000000000002</v>
      </c>
      <c r="F41" s="247">
        <f>D41*E41</f>
        <v>4044.3107089300001</v>
      </c>
      <c r="G41" s="322"/>
      <c r="H41" s="323">
        <f>ROUND(7.77/19,5)</f>
        <v>0.40894999999999998</v>
      </c>
      <c r="I41" s="247">
        <f>D41*H41</f>
        <v>3962.7210015499995</v>
      </c>
      <c r="J41" s="251"/>
      <c r="K41" s="247">
        <f>I41-F41</f>
        <v>-81.589707380000618</v>
      </c>
      <c r="L41" s="270">
        <f>ROUND(K41/F41,5)</f>
        <v>-2.017E-2</v>
      </c>
      <c r="M41" s="219"/>
      <c r="N41" s="219"/>
      <c r="O41" s="277">
        <v>-1.6155942202292047E-2</v>
      </c>
      <c r="P41" s="278"/>
      <c r="Q41" s="278"/>
      <c r="R41" s="219"/>
      <c r="Z41" s="219"/>
    </row>
    <row r="42" spans="2:26" ht="13.5" customHeight="1" x14ac:dyDescent="0.2">
      <c r="B42" s="249"/>
      <c r="C42" s="219"/>
      <c r="D42" s="241"/>
      <c r="E42" s="241"/>
      <c r="F42" s="251"/>
      <c r="H42" s="219"/>
      <c r="I42" s="251"/>
      <c r="J42" s="251"/>
      <c r="K42" s="251"/>
      <c r="L42" s="324"/>
      <c r="O42" s="311"/>
      <c r="P42" s="278"/>
      <c r="Q42" s="278"/>
      <c r="R42" s="219"/>
      <c r="Z42" s="219"/>
    </row>
    <row r="43" spans="2:26" ht="13.5" customHeight="1" x14ac:dyDescent="0.2">
      <c r="B43" s="249" t="s">
        <v>427</v>
      </c>
      <c r="C43" s="219"/>
      <c r="D43" s="241"/>
      <c r="E43" s="241"/>
      <c r="F43" s="247">
        <f>F37+F41</f>
        <v>9067.8007089300008</v>
      </c>
      <c r="H43" s="219"/>
      <c r="I43" s="247">
        <f>I37+I41</f>
        <v>8904.6110015499999</v>
      </c>
      <c r="J43" s="251"/>
      <c r="K43" s="247">
        <f>K37+K41</f>
        <v>-163.18970738000007</v>
      </c>
      <c r="L43" s="270">
        <f>ROUND(K43/F43,5)</f>
        <v>-1.7999999999999999E-2</v>
      </c>
      <c r="M43" s="218"/>
      <c r="N43" s="218"/>
      <c r="O43" s="278"/>
      <c r="P43" s="278"/>
      <c r="Q43" s="278"/>
      <c r="R43" s="219"/>
      <c r="Z43" s="219"/>
    </row>
    <row r="44" spans="2:26" ht="13.5" customHeight="1" x14ac:dyDescent="0.2">
      <c r="B44" s="249"/>
      <c r="C44" s="219"/>
      <c r="D44" s="241"/>
      <c r="E44" s="241"/>
      <c r="F44" s="285"/>
      <c r="H44" s="219"/>
      <c r="I44" s="251"/>
      <c r="J44" s="251"/>
      <c r="K44" s="251"/>
      <c r="L44" s="324"/>
      <c r="M44" s="261"/>
      <c r="N44" s="261"/>
      <c r="O44" s="325"/>
      <c r="P44" s="326"/>
      <c r="Q44" s="232"/>
      <c r="R44" s="219"/>
      <c r="Z44" s="219"/>
    </row>
    <row r="45" spans="2:26" ht="13.5" customHeight="1" x14ac:dyDescent="0.2">
      <c r="B45" s="327"/>
      <c r="C45" s="328"/>
      <c r="D45" s="288"/>
      <c r="E45" s="288"/>
      <c r="F45" s="329"/>
      <c r="G45" s="330"/>
      <c r="H45" s="331"/>
      <c r="I45" s="332"/>
      <c r="J45" s="332"/>
      <c r="K45" s="331"/>
      <c r="L45" s="333"/>
      <c r="M45" s="306"/>
      <c r="N45" s="306"/>
      <c r="Q45" s="276"/>
      <c r="R45" s="219"/>
      <c r="Z45" s="219"/>
    </row>
    <row r="46" spans="2:26" ht="13.5" customHeight="1" x14ac:dyDescent="0.2">
      <c r="B46" s="207"/>
      <c r="K46" s="219"/>
      <c r="M46" s="261"/>
      <c r="N46" s="261"/>
      <c r="Q46" s="276"/>
      <c r="R46" s="219"/>
      <c r="Z46" s="219"/>
    </row>
    <row r="47" spans="2:26" x14ac:dyDescent="0.2">
      <c r="B47" s="212" t="s">
        <v>434</v>
      </c>
      <c r="K47" s="219"/>
      <c r="M47" s="306"/>
      <c r="N47" s="306"/>
      <c r="Q47" s="276"/>
      <c r="R47" s="219"/>
      <c r="Z47" s="219"/>
    </row>
    <row r="48" spans="2:26" x14ac:dyDescent="0.2">
      <c r="B48" s="207"/>
      <c r="D48" s="334" t="s">
        <v>10</v>
      </c>
      <c r="F48" s="234" t="s">
        <v>410</v>
      </c>
      <c r="I48" s="236" t="s">
        <v>411</v>
      </c>
      <c r="K48" s="236" t="s">
        <v>281</v>
      </c>
      <c r="Q48" s="276"/>
      <c r="R48" s="219"/>
      <c r="Z48" s="219"/>
    </row>
    <row r="49" spans="2:26" x14ac:dyDescent="0.2">
      <c r="B49" s="207" t="s">
        <v>435</v>
      </c>
      <c r="F49" s="335">
        <f>F16+F28+F41</f>
        <v>241008792.87633085</v>
      </c>
      <c r="I49" s="335">
        <f>I16+I28+I41</f>
        <v>236405788.01249197</v>
      </c>
      <c r="J49" s="335"/>
      <c r="K49" s="251">
        <f>I49-F49</f>
        <v>-4603004.8638388813</v>
      </c>
      <c r="Q49" s="276"/>
      <c r="R49" s="219"/>
      <c r="Z49" s="219"/>
    </row>
    <row r="50" spans="2:26" x14ac:dyDescent="0.2">
      <c r="B50" s="207" t="s">
        <v>436</v>
      </c>
      <c r="F50" s="335">
        <f>F14+F26+F37</f>
        <v>304293738.14197642</v>
      </c>
      <c r="G50" s="335"/>
      <c r="H50" s="335"/>
      <c r="I50" s="335">
        <f>I14+I26+I37</f>
        <v>299354468.56167698</v>
      </c>
      <c r="J50" s="335"/>
      <c r="K50" s="251">
        <f>I50-F50</f>
        <v>-4939269.580299437</v>
      </c>
      <c r="L50" s="336">
        <f>K50/F50</f>
        <v>-1.6231913316582573E-2</v>
      </c>
    </row>
    <row r="51" spans="2:26" x14ac:dyDescent="0.2">
      <c r="B51" s="207" t="s">
        <v>437</v>
      </c>
      <c r="D51" s="337">
        <f>D13+D25+D39</f>
        <v>577541090.47699988</v>
      </c>
      <c r="F51" s="247">
        <f>F49+F50</f>
        <v>545302531.01830721</v>
      </c>
      <c r="I51" s="247">
        <f>I49+I50</f>
        <v>535760256.57416892</v>
      </c>
      <c r="K51" s="247">
        <f>K49+K50</f>
        <v>-9542274.4441383183</v>
      </c>
      <c r="L51" s="336">
        <f>K51/F51</f>
        <v>-1.7499046678398709E-2</v>
      </c>
    </row>
    <row r="52" spans="2:26" x14ac:dyDescent="0.2">
      <c r="B52" s="207"/>
      <c r="F52" s="335"/>
      <c r="I52" s="335"/>
      <c r="K52" s="251"/>
    </row>
    <row r="53" spans="2:26" x14ac:dyDescent="0.2">
      <c r="B53" s="207" t="s">
        <v>438</v>
      </c>
      <c r="F53" s="338"/>
      <c r="K53" s="219"/>
      <c r="O53" s="339"/>
      <c r="P53" s="335"/>
    </row>
    <row r="54" spans="2:26" x14ac:dyDescent="0.2">
      <c r="B54" s="207"/>
      <c r="F54" s="207"/>
    </row>
    <row r="55" spans="2:26" x14ac:dyDescent="0.2">
      <c r="B55" s="207"/>
      <c r="F55" s="207"/>
    </row>
    <row r="56" spans="2:26" s="340" customFormat="1" x14ac:dyDescent="0.2">
      <c r="E56" s="341"/>
    </row>
  </sheetData>
  <dataConsolidate/>
  <printOptions horizontalCentered="1"/>
  <pageMargins left="0.5" right="0.5" top="1" bottom="0.7" header="0.75" footer="0.5"/>
  <pageSetup scale="77" fitToHeight="2" orientation="landscape" blackAndWhite="1" r:id="rId1"/>
  <headerFooter alignWithMargins="0">
    <oddFooter>&amp;L&amp;F 
&amp;A&amp;C&amp;P&amp;R&amp;D</oddFooter>
  </headerFooter>
  <rowBreaks count="1" manualBreakCount="1">
    <brk id="46" min="1" max="16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Q148"/>
  <sheetViews>
    <sheetView workbookViewId="0">
      <selection activeCell="E33" sqref="E33"/>
    </sheetView>
  </sheetViews>
  <sheetFormatPr defaultRowHeight="12.75" x14ac:dyDescent="0.2"/>
  <cols>
    <col min="1" max="1" width="2.42578125" style="342" customWidth="1"/>
    <col min="2" max="2" width="31.42578125" style="342" bestFit="1" customWidth="1"/>
    <col min="3" max="3" width="9.85546875" style="342" bestFit="1" customWidth="1"/>
    <col min="4" max="4" width="12.5703125" style="342" bestFit="1" customWidth="1"/>
    <col min="5" max="5" width="11.28515625" style="342" bestFit="1" customWidth="1"/>
    <col min="6" max="6" width="14" style="507" bestFit="1" customWidth="1"/>
    <col min="7" max="7" width="6" style="491" customWidth="1"/>
    <col min="8" max="8" width="11" style="450" bestFit="1" customWidth="1"/>
    <col min="9" max="9" width="14.85546875" style="507" bestFit="1" customWidth="1"/>
    <col min="10" max="10" width="2.28515625" style="507" customWidth="1"/>
    <col min="11" max="11" width="12.85546875" style="507" bestFit="1" customWidth="1"/>
    <col min="12" max="12" width="7.28515625" style="492" customWidth="1"/>
    <col min="13" max="13" width="2.140625" style="357" customWidth="1"/>
    <col min="14" max="14" width="2" style="501" customWidth="1"/>
    <col min="15" max="15" width="18.7109375" style="342" bestFit="1" customWidth="1"/>
    <col min="16" max="16" width="2.28515625" style="342" customWidth="1"/>
    <col min="17" max="17" width="8.85546875" style="360" bestFit="1" customWidth="1"/>
    <col min="18" max="16384" width="9.140625" style="342"/>
  </cols>
  <sheetData>
    <row r="2" spans="1:17" x14ac:dyDescent="0.2">
      <c r="B2" s="209" t="s">
        <v>1</v>
      </c>
      <c r="C2" s="343"/>
      <c r="D2" s="343"/>
      <c r="E2" s="343"/>
      <c r="F2" s="344"/>
      <c r="G2" s="345"/>
      <c r="H2" s="346"/>
      <c r="I2" s="344"/>
      <c r="J2" s="344"/>
      <c r="K2" s="344"/>
      <c r="L2" s="347"/>
      <c r="M2" s="348"/>
      <c r="N2" s="348"/>
      <c r="O2" s="343"/>
      <c r="P2" s="343"/>
      <c r="Q2" s="349"/>
    </row>
    <row r="3" spans="1:17" x14ac:dyDescent="0.2">
      <c r="B3" s="697" t="s">
        <v>541</v>
      </c>
      <c r="C3" s="343"/>
      <c r="D3" s="343"/>
      <c r="E3" s="343"/>
      <c r="F3" s="343"/>
      <c r="G3" s="346"/>
      <c r="H3" s="346"/>
      <c r="I3" s="343"/>
      <c r="J3" s="343"/>
      <c r="K3" s="343"/>
      <c r="L3" s="347"/>
      <c r="M3" s="343"/>
      <c r="N3" s="348"/>
      <c r="O3" s="343"/>
      <c r="P3" s="343"/>
      <c r="Q3" s="349"/>
    </row>
    <row r="4" spans="1:17" x14ac:dyDescent="0.2">
      <c r="B4" s="697" t="s">
        <v>531</v>
      </c>
      <c r="C4" s="343"/>
      <c r="D4" s="343"/>
      <c r="E4" s="343"/>
      <c r="F4" s="343"/>
      <c r="G4" s="346"/>
      <c r="H4" s="346"/>
      <c r="I4" s="343"/>
      <c r="J4" s="343"/>
      <c r="K4" s="343"/>
      <c r="L4" s="347"/>
      <c r="M4" s="343"/>
      <c r="N4" s="348"/>
      <c r="O4" s="343"/>
      <c r="P4" s="343"/>
      <c r="Q4" s="349"/>
    </row>
    <row r="5" spans="1:17" x14ac:dyDescent="0.2">
      <c r="B5" s="209" t="s">
        <v>408</v>
      </c>
      <c r="C5" s="343"/>
      <c r="D5" s="343"/>
      <c r="E5" s="343"/>
      <c r="F5" s="343"/>
      <c r="G5" s="346"/>
      <c r="H5" s="346"/>
      <c r="I5" s="343"/>
      <c r="J5" s="343"/>
      <c r="K5" s="343"/>
      <c r="L5" s="347"/>
      <c r="M5" s="343"/>
      <c r="N5" s="350"/>
      <c r="O5" s="351"/>
      <c r="P5" s="343"/>
      <c r="Q5" s="349"/>
    </row>
    <row r="6" spans="1:17" ht="13.5" customHeight="1" x14ac:dyDescent="0.2">
      <c r="B6" s="352"/>
      <c r="C6" s="352"/>
      <c r="D6" s="352"/>
      <c r="E6" s="352"/>
      <c r="F6" s="353"/>
      <c r="G6" s="354"/>
      <c r="H6" s="355"/>
      <c r="I6" s="353"/>
      <c r="J6" s="353"/>
      <c r="K6" s="353"/>
      <c r="L6" s="356"/>
      <c r="N6" s="358"/>
      <c r="O6" s="359"/>
    </row>
    <row r="7" spans="1:17" ht="12" customHeight="1" x14ac:dyDescent="0.2">
      <c r="B7" s="361"/>
      <c r="C7" s="362"/>
      <c r="D7" s="363" t="s">
        <v>409</v>
      </c>
      <c r="E7" s="227" t="s">
        <v>410</v>
      </c>
      <c r="F7" s="364"/>
      <c r="G7" s="365"/>
      <c r="H7" s="366" t="s">
        <v>411</v>
      </c>
      <c r="I7" s="364"/>
      <c r="J7" s="367"/>
      <c r="K7" s="849" t="s">
        <v>412</v>
      </c>
      <c r="L7" s="850"/>
      <c r="M7" s="368"/>
      <c r="N7" s="350"/>
      <c r="O7" s="231" t="s">
        <v>413</v>
      </c>
      <c r="Q7" s="232" t="s">
        <v>414</v>
      </c>
    </row>
    <row r="8" spans="1:17" x14ac:dyDescent="0.2">
      <c r="B8" s="369" t="s">
        <v>116</v>
      </c>
      <c r="C8" s="239" t="s">
        <v>2</v>
      </c>
      <c r="D8" s="370" t="s">
        <v>415</v>
      </c>
      <c r="E8" s="239" t="s">
        <v>7</v>
      </c>
      <c r="F8" s="371" t="s">
        <v>416</v>
      </c>
      <c r="G8" s="370"/>
      <c r="H8" s="370" t="s">
        <v>7</v>
      </c>
      <c r="I8" s="371" t="s">
        <v>416</v>
      </c>
      <c r="J8" s="371"/>
      <c r="K8" s="371" t="s">
        <v>417</v>
      </c>
      <c r="L8" s="372" t="s">
        <v>418</v>
      </c>
      <c r="M8" s="373"/>
      <c r="N8" s="374"/>
      <c r="O8" s="239" t="s">
        <v>419</v>
      </c>
      <c r="Q8" s="240" t="s">
        <v>420</v>
      </c>
    </row>
    <row r="9" spans="1:17" x14ac:dyDescent="0.2">
      <c r="A9" s="359"/>
      <c r="B9" s="231"/>
      <c r="C9" s="231"/>
      <c r="D9" s="231"/>
      <c r="E9" s="231"/>
      <c r="F9" s="375"/>
      <c r="G9" s="365"/>
      <c r="H9" s="365"/>
      <c r="I9" s="375"/>
      <c r="J9" s="375"/>
      <c r="K9" s="375"/>
      <c r="L9" s="376"/>
      <c r="M9" s="373"/>
      <c r="N9" s="374"/>
      <c r="O9" s="359"/>
      <c r="P9" s="359"/>
      <c r="Q9" s="377"/>
    </row>
    <row r="10" spans="1:17" x14ac:dyDescent="0.2">
      <c r="B10" s="378" t="s">
        <v>439</v>
      </c>
      <c r="C10" s="379"/>
      <c r="D10" s="380"/>
      <c r="E10" s="380"/>
      <c r="F10" s="381"/>
      <c r="G10" s="382"/>
      <c r="H10" s="383"/>
      <c r="I10" s="381"/>
      <c r="J10" s="381"/>
      <c r="K10" s="381"/>
      <c r="L10" s="384"/>
      <c r="M10" s="385"/>
      <c r="N10" s="358"/>
      <c r="O10" s="359"/>
      <c r="P10" s="359"/>
      <c r="Q10" s="377"/>
    </row>
    <row r="11" spans="1:17" x14ac:dyDescent="0.2">
      <c r="B11" s="386"/>
      <c r="C11" s="359"/>
      <c r="D11" s="387"/>
      <c r="E11" s="359"/>
      <c r="F11" s="388"/>
      <c r="G11" s="389"/>
      <c r="H11" s="390"/>
      <c r="I11" s="388"/>
      <c r="J11" s="388"/>
      <c r="K11" s="388"/>
      <c r="L11" s="391"/>
      <c r="M11" s="385"/>
      <c r="N11" s="358"/>
      <c r="O11" s="392" t="s">
        <v>440</v>
      </c>
      <c r="P11" s="359"/>
      <c r="Q11" s="377"/>
    </row>
    <row r="12" spans="1:17" x14ac:dyDescent="0.2">
      <c r="B12" s="393" t="s">
        <v>423</v>
      </c>
      <c r="C12" s="394" t="s">
        <v>22</v>
      </c>
      <c r="D12" s="395">
        <v>679614.01800213428</v>
      </c>
      <c r="E12" s="396">
        <v>33.42</v>
      </c>
      <c r="F12" s="388">
        <f>ROUND(D12*E12,2)</f>
        <v>22712700.48</v>
      </c>
      <c r="G12" s="389"/>
      <c r="H12" s="303">
        <f>ROUND(E12*(1+$O$16),2)</f>
        <v>32.159999999999997</v>
      </c>
      <c r="I12" s="397">
        <f>ROUND(D12*H12,2)</f>
        <v>21856386.82</v>
      </c>
      <c r="J12" s="388"/>
      <c r="K12" s="388">
        <f>I12-F12</f>
        <v>-856313.66000000015</v>
      </c>
      <c r="L12" s="391"/>
      <c r="M12" s="385"/>
      <c r="N12" s="358"/>
      <c r="O12" s="398">
        <v>-1436063.4611234923</v>
      </c>
      <c r="P12" s="359"/>
      <c r="Q12" s="261">
        <f>H12/E12-1</f>
        <v>-3.7701974865350207E-2</v>
      </c>
    </row>
    <row r="13" spans="1:17" x14ac:dyDescent="0.2">
      <c r="B13" s="386" t="s">
        <v>424</v>
      </c>
      <c r="C13" s="399" t="s">
        <v>10</v>
      </c>
      <c r="D13" s="395">
        <v>214564223.29299998</v>
      </c>
      <c r="E13" s="400">
        <v>0.30626999999999999</v>
      </c>
      <c r="F13" s="388">
        <f>ROUND(D13*E13,2)</f>
        <v>65714584.670000002</v>
      </c>
      <c r="G13" s="389"/>
      <c r="H13" s="401">
        <f>ROUND(E13*(1+$O$16),5)</f>
        <v>0.29475000000000001</v>
      </c>
      <c r="I13" s="397">
        <f>ROUND(D13*H13,2)</f>
        <v>63242804.82</v>
      </c>
      <c r="J13" s="388"/>
      <c r="K13" s="388">
        <f>I13-F13</f>
        <v>-2471779.8500000015</v>
      </c>
      <c r="L13" s="391"/>
      <c r="M13" s="385"/>
      <c r="N13" s="358"/>
      <c r="O13" s="402" t="s">
        <v>425</v>
      </c>
      <c r="P13" s="359"/>
      <c r="Q13" s="261">
        <f>H13/E13-1</f>
        <v>-3.7613870114604708E-2</v>
      </c>
    </row>
    <row r="14" spans="1:17" x14ac:dyDescent="0.2">
      <c r="B14" s="386" t="s">
        <v>441</v>
      </c>
      <c r="C14" s="399"/>
      <c r="D14" s="403">
        <f>D13</f>
        <v>214564223.29299998</v>
      </c>
      <c r="E14" s="400">
        <v>0</v>
      </c>
      <c r="F14" s="388">
        <f>ROUND(D14*E14,2)</f>
        <v>0</v>
      </c>
      <c r="G14" s="389"/>
      <c r="H14" s="400">
        <v>8.8199999999999997E-3</v>
      </c>
      <c r="I14" s="388">
        <f>ROUND(D14*H14,2)</f>
        <v>1892456.45</v>
      </c>
      <c r="J14" s="404"/>
      <c r="K14" s="388">
        <f>I14-F14</f>
        <v>1892456.45</v>
      </c>
      <c r="L14" s="405"/>
      <c r="M14" s="373"/>
      <c r="N14" s="373"/>
      <c r="O14" s="406">
        <f>K15+K27-O12</f>
        <v>-31.718876509461552</v>
      </c>
      <c r="P14" s="359"/>
      <c r="Q14" s="377"/>
    </row>
    <row r="15" spans="1:17" x14ac:dyDescent="0.2">
      <c r="B15" s="281" t="s">
        <v>429</v>
      </c>
      <c r="C15" s="407"/>
      <c r="D15" s="389"/>
      <c r="E15" s="408"/>
      <c r="F15" s="381">
        <f>SUM(F12:F14)</f>
        <v>88427285.150000006</v>
      </c>
      <c r="G15" s="389"/>
      <c r="H15" s="389"/>
      <c r="I15" s="409">
        <f>SUM(I12:I14)</f>
        <v>86991648.090000004</v>
      </c>
      <c r="J15" s="388"/>
      <c r="K15" s="381">
        <f>SUM(K12:K14)</f>
        <v>-1435637.0600000017</v>
      </c>
      <c r="L15" s="384">
        <f>ROUND(K15/F15,5)</f>
        <v>-1.6240000000000001E-2</v>
      </c>
      <c r="M15" s="385"/>
      <c r="N15" s="358"/>
      <c r="O15" s="410"/>
      <c r="P15" s="411"/>
      <c r="Q15" s="412"/>
    </row>
    <row r="16" spans="1:17" x14ac:dyDescent="0.2">
      <c r="B16" s="386"/>
      <c r="C16" s="359"/>
      <c r="D16" s="390"/>
      <c r="E16" s="408"/>
      <c r="F16" s="388"/>
      <c r="G16" s="389"/>
      <c r="H16" s="389"/>
      <c r="I16" s="397"/>
      <c r="J16" s="388"/>
      <c r="K16" s="388"/>
      <c r="L16" s="391"/>
      <c r="M16" s="385"/>
      <c r="N16" s="358"/>
      <c r="O16" s="413">
        <v>-3.7605143002000636E-2</v>
      </c>
      <c r="P16" s="359"/>
      <c r="Q16" s="377"/>
    </row>
    <row r="17" spans="1:17" ht="15" x14ac:dyDescent="0.25">
      <c r="B17" s="249" t="s">
        <v>426</v>
      </c>
      <c r="C17" s="399" t="s">
        <v>10</v>
      </c>
      <c r="D17" s="389">
        <f>D13</f>
        <v>214564223.29299998</v>
      </c>
      <c r="E17" s="414">
        <v>0.41065000000000002</v>
      </c>
      <c r="F17" s="388">
        <f>E17*D17</f>
        <v>88110798.295270443</v>
      </c>
      <c r="G17" s="390"/>
      <c r="H17" s="400">
        <v>0.40664</v>
      </c>
      <c r="I17" s="397">
        <f>H17*D17</f>
        <v>87250395.759865507</v>
      </c>
      <c r="J17" s="388"/>
      <c r="K17" s="388">
        <f>I17-F17</f>
        <v>-860402.53540493548</v>
      </c>
      <c r="L17" s="391">
        <f>ROUND(K17/F17,5)</f>
        <v>-9.7699999999999992E-3</v>
      </c>
      <c r="M17" s="385"/>
      <c r="N17" s="358"/>
      <c r="O17" s="231"/>
      <c r="P17" s="231"/>
      <c r="Q17" s="231"/>
    </row>
    <row r="18" spans="1:17" x14ac:dyDescent="0.2">
      <c r="B18" s="386"/>
      <c r="C18" s="359"/>
      <c r="D18" s="390"/>
      <c r="E18" s="415"/>
      <c r="F18" s="388"/>
      <c r="G18" s="416"/>
      <c r="H18" s="417"/>
      <c r="I18" s="397"/>
      <c r="J18" s="388"/>
      <c r="K18" s="388"/>
      <c r="L18" s="391"/>
      <c r="M18" s="385"/>
      <c r="N18" s="358"/>
      <c r="O18" s="418"/>
      <c r="P18" s="231"/>
      <c r="Q18" s="231"/>
    </row>
    <row r="19" spans="1:17" x14ac:dyDescent="0.2">
      <c r="B19" s="419" t="s">
        <v>427</v>
      </c>
      <c r="C19" s="359"/>
      <c r="D19" s="390"/>
      <c r="E19" s="359"/>
      <c r="F19" s="381">
        <f>F17+F15</f>
        <v>176538083.44527045</v>
      </c>
      <c r="G19" s="416"/>
      <c r="H19" s="420"/>
      <c r="I19" s="409">
        <f>I17+I15</f>
        <v>174242043.8498655</v>
      </c>
      <c r="J19" s="388"/>
      <c r="K19" s="381">
        <f>K15+K17</f>
        <v>-2296039.5954049369</v>
      </c>
      <c r="L19" s="384">
        <f>ROUND(K19/F19,5)</f>
        <v>-1.3010000000000001E-2</v>
      </c>
      <c r="M19" s="385"/>
      <c r="N19" s="358"/>
      <c r="O19" s="231"/>
      <c r="P19" s="231"/>
      <c r="Q19" s="231"/>
    </row>
    <row r="20" spans="1:17" x14ac:dyDescent="0.2">
      <c r="B20" s="421"/>
      <c r="C20" s="422"/>
      <c r="D20" s="423"/>
      <c r="E20" s="424"/>
      <c r="F20" s="425"/>
      <c r="G20" s="423"/>
      <c r="H20" s="426"/>
      <c r="I20" s="427"/>
      <c r="J20" s="428"/>
      <c r="K20" s="428"/>
      <c r="L20" s="429"/>
      <c r="M20" s="385"/>
      <c r="N20" s="358"/>
      <c r="O20" s="359"/>
    </row>
    <row r="21" spans="1:17" x14ac:dyDescent="0.2">
      <c r="A21" s="359"/>
      <c r="B21" s="359"/>
      <c r="C21" s="359"/>
      <c r="D21" s="390"/>
      <c r="E21" s="359"/>
      <c r="F21" s="430"/>
      <c r="G21" s="416"/>
      <c r="H21" s="420"/>
      <c r="I21" s="430"/>
      <c r="J21" s="430"/>
      <c r="K21" s="388"/>
      <c r="L21" s="431"/>
      <c r="M21" s="385"/>
      <c r="N21" s="358"/>
      <c r="O21" s="359"/>
    </row>
    <row r="22" spans="1:17" x14ac:dyDescent="0.2">
      <c r="A22" s="359"/>
      <c r="B22" s="432" t="s">
        <v>442</v>
      </c>
      <c r="C22" s="379"/>
      <c r="D22" s="380"/>
      <c r="E22" s="380"/>
      <c r="F22" s="381"/>
      <c r="G22" s="382"/>
      <c r="H22" s="383"/>
      <c r="I22" s="381"/>
      <c r="J22" s="381"/>
      <c r="K22" s="381"/>
      <c r="L22" s="384"/>
      <c r="M22" s="385"/>
      <c r="N22" s="358"/>
      <c r="O22" s="359"/>
    </row>
    <row r="23" spans="1:17" x14ac:dyDescent="0.2">
      <c r="A23" s="359"/>
      <c r="B23" s="386"/>
      <c r="C23" s="359"/>
      <c r="D23" s="387"/>
      <c r="E23" s="359"/>
      <c r="F23" s="388"/>
      <c r="G23" s="389"/>
      <c r="H23" s="390"/>
      <c r="I23" s="388"/>
      <c r="J23" s="388"/>
      <c r="K23" s="388"/>
      <c r="L23" s="391"/>
      <c r="M23" s="385"/>
      <c r="N23" s="358"/>
      <c r="O23" s="359"/>
      <c r="Q23" s="261">
        <f>H24/E24-1</f>
        <v>-3.7596234935661998E-2</v>
      </c>
    </row>
    <row r="24" spans="1:17" x14ac:dyDescent="0.2">
      <c r="A24" s="359"/>
      <c r="B24" s="393" t="s">
        <v>423</v>
      </c>
      <c r="C24" s="394" t="s">
        <v>22</v>
      </c>
      <c r="D24" s="395">
        <v>23</v>
      </c>
      <c r="E24" s="396">
        <v>367.59</v>
      </c>
      <c r="F24" s="388">
        <f>ROUND(D24*E24,2)</f>
        <v>8454.57</v>
      </c>
      <c r="G24" s="389"/>
      <c r="H24" s="303">
        <f>ROUND(E24*(1+$O$16),2)</f>
        <v>353.77</v>
      </c>
      <c r="I24" s="397">
        <f>ROUND(D24*H24,2)</f>
        <v>8136.71</v>
      </c>
      <c r="J24" s="388"/>
      <c r="K24" s="388">
        <f>I24-F24</f>
        <v>-317.85999999999967</v>
      </c>
      <c r="L24" s="391"/>
      <c r="M24" s="385"/>
      <c r="N24" s="358"/>
      <c r="O24" s="359"/>
      <c r="Q24" s="261">
        <f>H25/E25-1</f>
        <v>-3.7613870114604708E-2</v>
      </c>
    </row>
    <row r="25" spans="1:17" x14ac:dyDescent="0.2">
      <c r="A25" s="359"/>
      <c r="B25" s="386" t="s">
        <v>424</v>
      </c>
      <c r="C25" s="399" t="s">
        <v>10</v>
      </c>
      <c r="D25" s="395">
        <v>22880.93</v>
      </c>
      <c r="E25" s="400">
        <v>0.30626999999999999</v>
      </c>
      <c r="F25" s="388">
        <f>ROUND(D25*E25,2)</f>
        <v>7007.74</v>
      </c>
      <c r="G25" s="389"/>
      <c r="H25" s="401">
        <f>H13</f>
        <v>0.29475000000000001</v>
      </c>
      <c r="I25" s="397">
        <f>ROUND(D25*H25,2)</f>
        <v>6744.15</v>
      </c>
      <c r="J25" s="388"/>
      <c r="K25" s="388">
        <f>I25-F25</f>
        <v>-263.59000000000015</v>
      </c>
      <c r="L25" s="391"/>
      <c r="M25" s="385"/>
      <c r="N25" s="358"/>
      <c r="O25" s="359"/>
      <c r="Q25" s="261"/>
    </row>
    <row r="26" spans="1:17" x14ac:dyDescent="0.2">
      <c r="A26" s="359"/>
      <c r="B26" s="433" t="s">
        <v>441</v>
      </c>
      <c r="C26" s="399"/>
      <c r="D26" s="403">
        <f>D25</f>
        <v>22880.93</v>
      </c>
      <c r="E26" s="400">
        <v>-5.3899999999999998E-3</v>
      </c>
      <c r="F26" s="388">
        <f>ROUND(D26*E26,2)</f>
        <v>-123.33</v>
      </c>
      <c r="G26" s="389"/>
      <c r="H26" s="434">
        <v>0</v>
      </c>
      <c r="I26" s="397">
        <f>ROUND(D26*H26,2)</f>
        <v>0</v>
      </c>
      <c r="J26" s="388"/>
      <c r="K26" s="388">
        <f>I26-F26</f>
        <v>123.33</v>
      </c>
      <c r="L26" s="391"/>
      <c r="M26" s="385"/>
      <c r="N26" s="358"/>
      <c r="O26" s="359"/>
    </row>
    <row r="27" spans="1:17" x14ac:dyDescent="0.2">
      <c r="A27" s="359"/>
      <c r="B27" s="281" t="s">
        <v>429</v>
      </c>
      <c r="C27" s="407"/>
      <c r="D27" s="389"/>
      <c r="E27" s="408"/>
      <c r="F27" s="381">
        <f>SUM(F24:F26)</f>
        <v>15338.98</v>
      </c>
      <c r="G27" s="389"/>
      <c r="H27" s="389"/>
      <c r="I27" s="409">
        <f>SUM(I24:I26)</f>
        <v>14880.86</v>
      </c>
      <c r="J27" s="388"/>
      <c r="K27" s="409">
        <f>SUM(K24:K26)</f>
        <v>-458.11999999999983</v>
      </c>
      <c r="L27" s="384"/>
      <c r="M27" s="385"/>
      <c r="N27" s="358"/>
      <c r="O27" s="359"/>
    </row>
    <row r="28" spans="1:17" x14ac:dyDescent="0.2">
      <c r="A28" s="359"/>
      <c r="B28" s="386"/>
      <c r="C28" s="359"/>
      <c r="D28" s="390"/>
      <c r="E28" s="408"/>
      <c r="F28" s="388"/>
      <c r="G28" s="389"/>
      <c r="H28" s="389"/>
      <c r="I28" s="397"/>
      <c r="J28" s="388"/>
      <c r="K28" s="388"/>
      <c r="L28" s="391"/>
      <c r="M28" s="385"/>
      <c r="N28" s="358"/>
      <c r="O28" s="359"/>
    </row>
    <row r="29" spans="1:17" x14ac:dyDescent="0.2">
      <c r="A29" s="359"/>
      <c r="B29" s="435" t="s">
        <v>443</v>
      </c>
      <c r="C29" s="399" t="s">
        <v>10</v>
      </c>
      <c r="D29" s="389">
        <f>D25</f>
        <v>22880.93</v>
      </c>
      <c r="E29" s="400">
        <v>6.9999999999999999E-4</v>
      </c>
      <c r="F29" s="388">
        <f>E29*D29</f>
        <v>16.016651</v>
      </c>
      <c r="G29" s="390"/>
      <c r="H29" s="401">
        <f>E29</f>
        <v>6.9999999999999999E-4</v>
      </c>
      <c r="I29" s="397">
        <f>H29*D29</f>
        <v>16.016651</v>
      </c>
      <c r="J29" s="388"/>
      <c r="K29" s="388">
        <f>I29-F29</f>
        <v>0</v>
      </c>
      <c r="L29" s="391"/>
      <c r="M29" s="385"/>
      <c r="N29" s="358"/>
      <c r="O29" s="359"/>
    </row>
    <row r="30" spans="1:17" x14ac:dyDescent="0.2">
      <c r="A30" s="359"/>
      <c r="B30" s="419" t="s">
        <v>427</v>
      </c>
      <c r="C30" s="359"/>
      <c r="D30" s="390"/>
      <c r="E30" s="359"/>
      <c r="F30" s="381">
        <f>F29+F27</f>
        <v>15354.996650999999</v>
      </c>
      <c r="G30" s="416"/>
      <c r="H30" s="420"/>
      <c r="I30" s="409">
        <f>I29+I27</f>
        <v>14896.876651</v>
      </c>
      <c r="J30" s="388"/>
      <c r="K30" s="381">
        <f>K27+K29</f>
        <v>-458.11999999999983</v>
      </c>
      <c r="L30" s="384"/>
      <c r="M30" s="385"/>
      <c r="N30" s="358"/>
      <c r="O30" s="359"/>
    </row>
    <row r="31" spans="1:17" x14ac:dyDescent="0.2">
      <c r="A31" s="359"/>
      <c r="B31" s="421"/>
      <c r="C31" s="422"/>
      <c r="D31" s="423"/>
      <c r="E31" s="424"/>
      <c r="F31" s="425"/>
      <c r="G31" s="423"/>
      <c r="H31" s="426"/>
      <c r="I31" s="427"/>
      <c r="J31" s="428"/>
      <c r="K31" s="428"/>
      <c r="L31" s="429"/>
      <c r="M31" s="385"/>
      <c r="N31" s="358"/>
      <c r="O31" s="359"/>
    </row>
    <row r="32" spans="1:17" x14ac:dyDescent="0.2">
      <c r="A32" s="359"/>
      <c r="B32" s="359"/>
      <c r="C32" s="359"/>
      <c r="D32" s="390"/>
      <c r="E32" s="359"/>
      <c r="F32" s="430"/>
      <c r="G32" s="416"/>
      <c r="H32" s="420"/>
      <c r="I32" s="430"/>
      <c r="J32" s="430"/>
      <c r="K32" s="388"/>
      <c r="L32" s="431"/>
      <c r="M32" s="385"/>
      <c r="N32" s="358"/>
      <c r="O32" s="359"/>
    </row>
    <row r="33" spans="1:17" x14ac:dyDescent="0.2">
      <c r="A33" s="359"/>
      <c r="B33" s="378" t="s">
        <v>444</v>
      </c>
      <c r="C33" s="379"/>
      <c r="D33" s="380"/>
      <c r="E33" s="380"/>
      <c r="F33" s="381"/>
      <c r="G33" s="382"/>
      <c r="H33" s="383"/>
      <c r="I33" s="381"/>
      <c r="J33" s="381"/>
      <c r="K33" s="381"/>
      <c r="L33" s="384"/>
      <c r="M33" s="385"/>
      <c r="N33" s="358"/>
      <c r="O33" s="359"/>
    </row>
    <row r="34" spans="1:17" x14ac:dyDescent="0.2">
      <c r="A34" s="359"/>
      <c r="B34" s="386"/>
      <c r="C34" s="359"/>
      <c r="D34" s="387"/>
      <c r="E34" s="359"/>
      <c r="F34" s="388"/>
      <c r="G34" s="389"/>
      <c r="H34" s="390"/>
      <c r="I34" s="388"/>
      <c r="J34" s="388"/>
      <c r="K34" s="388"/>
      <c r="L34" s="391"/>
      <c r="M34" s="385"/>
      <c r="N34" s="358"/>
      <c r="O34" s="359"/>
    </row>
    <row r="35" spans="1:17" x14ac:dyDescent="0.2">
      <c r="A35" s="359"/>
      <c r="B35" s="393" t="s">
        <v>423</v>
      </c>
      <c r="C35" s="394" t="s">
        <v>22</v>
      </c>
      <c r="D35" s="403">
        <f>D12+D24</f>
        <v>679637.01800213428</v>
      </c>
      <c r="E35" s="436"/>
      <c r="F35" s="388">
        <f>F12+F24</f>
        <v>22721155.050000001</v>
      </c>
      <c r="G35" s="389"/>
      <c r="H35" s="436"/>
      <c r="I35" s="388">
        <f>I12+I24</f>
        <v>21864523.530000001</v>
      </c>
      <c r="J35" s="388"/>
      <c r="K35" s="388">
        <f>I35-F35</f>
        <v>-856631.51999999955</v>
      </c>
      <c r="L35" s="391"/>
      <c r="M35" s="385"/>
      <c r="N35" s="358"/>
      <c r="O35" s="359"/>
    </row>
    <row r="36" spans="1:17" x14ac:dyDescent="0.2">
      <c r="A36" s="359"/>
      <c r="B36" s="386" t="s">
        <v>424</v>
      </c>
      <c r="C36" s="399" t="s">
        <v>10</v>
      </c>
      <c r="D36" s="403">
        <f>D13+D25</f>
        <v>214587104.22299999</v>
      </c>
      <c r="E36" s="437"/>
      <c r="F36" s="388">
        <f>F13+F25+F26</f>
        <v>65721469.080000006</v>
      </c>
      <c r="G36" s="389"/>
      <c r="H36" s="437"/>
      <c r="I36" s="388">
        <f>I13+I25+I14</f>
        <v>65142005.420000002</v>
      </c>
      <c r="J36" s="388"/>
      <c r="K36" s="388">
        <f>I36-F36</f>
        <v>-579463.66000000387</v>
      </c>
      <c r="L36" s="391"/>
      <c r="M36" s="385"/>
      <c r="N36" s="358"/>
      <c r="O36" s="359"/>
    </row>
    <row r="37" spans="1:17" x14ac:dyDescent="0.2">
      <c r="A37" s="359"/>
      <c r="B37" s="281" t="s">
        <v>429</v>
      </c>
      <c r="C37" s="407"/>
      <c r="D37" s="389"/>
      <c r="E37" s="390"/>
      <c r="F37" s="381">
        <f>SUM(F35:F36)</f>
        <v>88442624.13000001</v>
      </c>
      <c r="G37" s="389"/>
      <c r="H37" s="389"/>
      <c r="I37" s="381">
        <f>SUM(I35:I36)</f>
        <v>87006528.950000003</v>
      </c>
      <c r="J37" s="388"/>
      <c r="K37" s="381">
        <f>SUM(K35:K36)</f>
        <v>-1436095.1800000034</v>
      </c>
      <c r="L37" s="384">
        <f>ROUND(K37/F37,5)</f>
        <v>-1.6240000000000001E-2</v>
      </c>
      <c r="M37" s="385"/>
      <c r="N37" s="358"/>
      <c r="O37" s="359"/>
    </row>
    <row r="38" spans="1:17" x14ac:dyDescent="0.2">
      <c r="A38" s="359"/>
      <c r="B38" s="386"/>
      <c r="C38" s="359"/>
      <c r="D38" s="390"/>
      <c r="E38" s="390"/>
      <c r="F38" s="388"/>
      <c r="G38" s="389"/>
      <c r="H38" s="389"/>
      <c r="I38" s="388"/>
      <c r="J38" s="388"/>
      <c r="K38" s="388"/>
      <c r="L38" s="391"/>
      <c r="M38" s="385"/>
      <c r="N38" s="358"/>
      <c r="O38" s="359"/>
    </row>
    <row r="39" spans="1:17" x14ac:dyDescent="0.2">
      <c r="A39" s="359"/>
      <c r="B39" s="386"/>
      <c r="C39" s="359"/>
      <c r="D39" s="390"/>
      <c r="E39" s="390"/>
      <c r="F39" s="388"/>
      <c r="G39" s="389"/>
      <c r="H39" s="389"/>
      <c r="I39" s="388"/>
      <c r="J39" s="388"/>
      <c r="K39" s="388"/>
      <c r="L39" s="391"/>
      <c r="M39" s="385"/>
      <c r="N39" s="358"/>
      <c r="O39" s="359"/>
    </row>
    <row r="40" spans="1:17" x14ac:dyDescent="0.2">
      <c r="A40" s="359"/>
      <c r="B40" s="249" t="s">
        <v>426</v>
      </c>
      <c r="C40" s="399" t="s">
        <v>10</v>
      </c>
      <c r="D40" s="389">
        <f>D36</f>
        <v>214587104.22299999</v>
      </c>
      <c r="E40" s="437"/>
      <c r="F40" s="388">
        <f>F17+F29</f>
        <v>88110814.311921448</v>
      </c>
      <c r="G40" s="390"/>
      <c r="H40" s="401"/>
      <c r="I40" s="388">
        <f>I17+I29</f>
        <v>87250411.776516512</v>
      </c>
      <c r="J40" s="388"/>
      <c r="K40" s="428">
        <f>I40-F40</f>
        <v>-860402.53540493548</v>
      </c>
      <c r="L40" s="429">
        <f>ROUND(K40/F40,5)</f>
        <v>-9.7699999999999992E-3</v>
      </c>
      <c r="M40" s="385"/>
      <c r="N40" s="358"/>
      <c r="O40" s="359"/>
    </row>
    <row r="41" spans="1:17" x14ac:dyDescent="0.2">
      <c r="A41" s="359"/>
      <c r="B41" s="419" t="s">
        <v>427</v>
      </c>
      <c r="C41" s="359"/>
      <c r="D41" s="390"/>
      <c r="E41" s="359"/>
      <c r="F41" s="381">
        <f>F40+F37</f>
        <v>176553438.44192147</v>
      </c>
      <c r="G41" s="416"/>
      <c r="H41" s="420"/>
      <c r="I41" s="381">
        <f>I40+I37</f>
        <v>174256940.72651652</v>
      </c>
      <c r="J41" s="388"/>
      <c r="K41" s="381">
        <f>K37+K40</f>
        <v>-2296497.7154049389</v>
      </c>
      <c r="L41" s="384">
        <f>ROUND(K41/F41,5)</f>
        <v>-1.3010000000000001E-2</v>
      </c>
      <c r="M41" s="385"/>
      <c r="N41" s="358"/>
      <c r="O41" s="359"/>
    </row>
    <row r="42" spans="1:17" x14ac:dyDescent="0.2">
      <c r="A42" s="359"/>
      <c r="B42" s="421"/>
      <c r="C42" s="422"/>
      <c r="D42" s="423"/>
      <c r="E42" s="424"/>
      <c r="F42" s="425"/>
      <c r="G42" s="423"/>
      <c r="H42" s="426"/>
      <c r="I42" s="427"/>
      <c r="J42" s="428"/>
      <c r="K42" s="428"/>
      <c r="L42" s="429"/>
      <c r="M42" s="385"/>
      <c r="N42" s="358"/>
      <c r="O42" s="359"/>
    </row>
    <row r="43" spans="1:17" x14ac:dyDescent="0.2">
      <c r="A43" s="359"/>
      <c r="B43" s="359"/>
      <c r="C43" s="359"/>
      <c r="D43" s="390"/>
      <c r="E43" s="359"/>
      <c r="F43" s="430"/>
      <c r="G43" s="416"/>
      <c r="H43" s="420"/>
      <c r="I43" s="430"/>
      <c r="J43" s="430"/>
      <c r="K43" s="388"/>
      <c r="L43" s="431"/>
      <c r="M43" s="385"/>
      <c r="N43" s="358"/>
      <c r="O43" s="359"/>
    </row>
    <row r="44" spans="1:17" x14ac:dyDescent="0.2">
      <c r="A44" s="359"/>
      <c r="B44" s="359"/>
      <c r="C44" s="359"/>
      <c r="D44" s="390"/>
      <c r="E44" s="359"/>
      <c r="F44" s="430"/>
      <c r="G44" s="416"/>
      <c r="H44" s="420"/>
      <c r="I44" s="430"/>
      <c r="J44" s="430"/>
      <c r="K44" s="388"/>
      <c r="L44" s="431"/>
      <c r="M44" s="385"/>
      <c r="N44" s="358"/>
    </row>
    <row r="45" spans="1:17" x14ac:dyDescent="0.2">
      <c r="B45" s="432" t="s">
        <v>445</v>
      </c>
      <c r="C45" s="379"/>
      <c r="D45" s="383"/>
      <c r="E45" s="380"/>
      <c r="F45" s="381"/>
      <c r="G45" s="383"/>
      <c r="H45" s="383"/>
      <c r="I45" s="381"/>
      <c r="J45" s="381"/>
      <c r="K45" s="381"/>
      <c r="L45" s="384"/>
      <c r="M45" s="385"/>
      <c r="N45" s="358"/>
      <c r="O45" s="438" t="s">
        <v>446</v>
      </c>
    </row>
    <row r="46" spans="1:17" x14ac:dyDescent="0.2">
      <c r="B46" s="439"/>
      <c r="C46" s="359"/>
      <c r="D46" s="390"/>
      <c r="E46" s="390"/>
      <c r="F46" s="388"/>
      <c r="G46" s="440"/>
      <c r="H46" s="390"/>
      <c r="I46" s="388"/>
      <c r="J46" s="388"/>
      <c r="K46" s="388"/>
      <c r="L46" s="391"/>
      <c r="M46" s="385"/>
      <c r="N46" s="441"/>
      <c r="O46" s="442">
        <v>-300287.59071210795</v>
      </c>
      <c r="Q46" s="261">
        <f>H47/E47-1</f>
        <v>-6.8201715986692224E-2</v>
      </c>
    </row>
    <row r="47" spans="1:17" x14ac:dyDescent="0.2">
      <c r="B47" s="393" t="s">
        <v>423</v>
      </c>
      <c r="C47" s="394" t="s">
        <v>22</v>
      </c>
      <c r="D47" s="395">
        <v>16236.105928853754</v>
      </c>
      <c r="E47" s="396">
        <v>114.22</v>
      </c>
      <c r="F47" s="388">
        <f>ROUND(D47*E47,2)</f>
        <v>1854488.02</v>
      </c>
      <c r="G47" s="389"/>
      <c r="H47" s="303">
        <f>ROUND(E47*(1+$O$52),2)</f>
        <v>106.43</v>
      </c>
      <c r="I47" s="388">
        <f>ROUND(D47*H47,2)</f>
        <v>1728008.75</v>
      </c>
      <c r="J47" s="388"/>
      <c r="K47" s="388">
        <f>I47-F47</f>
        <v>-126479.27000000002</v>
      </c>
      <c r="L47" s="391"/>
      <c r="M47" s="385"/>
      <c r="N47" s="441"/>
      <c r="O47" s="443" t="s">
        <v>425</v>
      </c>
      <c r="Q47" s="261">
        <f>H48/E48-1</f>
        <v>-6.8189128337085902E-2</v>
      </c>
    </row>
    <row r="48" spans="1:17" x14ac:dyDescent="0.2">
      <c r="B48" s="439" t="s">
        <v>447</v>
      </c>
      <c r="C48" s="394" t="s">
        <v>22</v>
      </c>
      <c r="D48" s="389">
        <f>D47</f>
        <v>16236.105928853754</v>
      </c>
      <c r="E48" s="396">
        <v>124.36</v>
      </c>
      <c r="F48" s="430">
        <f>D48*E48</f>
        <v>2019122.1333122528</v>
      </c>
      <c r="G48" s="403"/>
      <c r="H48" s="444">
        <f>ROUND(+H53*900,2)</f>
        <v>115.88</v>
      </c>
      <c r="I48" s="430">
        <f>ROUND(D48*H48,2)</f>
        <v>1881439.96</v>
      </c>
      <c r="J48" s="430"/>
      <c r="K48" s="388">
        <f>I48-F48</f>
        <v>-137682.17331225285</v>
      </c>
      <c r="L48" s="405"/>
      <c r="M48" s="385"/>
      <c r="N48" s="445"/>
      <c r="O48" s="446">
        <f>K57+K79-O46</f>
        <v>-172.99586919607827</v>
      </c>
      <c r="Q48" s="261">
        <f>H49/E49-1</f>
        <v>1.7391304347826209E-2</v>
      </c>
    </row>
    <row r="49" spans="1:17" x14ac:dyDescent="0.2">
      <c r="B49" s="435" t="s">
        <v>395</v>
      </c>
      <c r="C49" s="399" t="s">
        <v>29</v>
      </c>
      <c r="D49" s="395">
        <v>3818909.6199999996</v>
      </c>
      <c r="E49" s="396">
        <v>1.1499999999999999</v>
      </c>
      <c r="F49" s="430">
        <f>ROUND(D49*E49,2)</f>
        <v>4391746.0599999996</v>
      </c>
      <c r="G49" s="389"/>
      <c r="H49" s="396">
        <v>1.17</v>
      </c>
      <c r="I49" s="430">
        <f>ROUND(D49*H49,2)</f>
        <v>4468124.26</v>
      </c>
      <c r="J49" s="430"/>
      <c r="K49" s="388">
        <f>I49-F49</f>
        <v>76378.200000000186</v>
      </c>
      <c r="L49" s="405"/>
      <c r="M49" s="385"/>
      <c r="N49" s="445"/>
      <c r="O49" s="447"/>
    </row>
    <row r="50" spans="1:17" x14ac:dyDescent="0.2">
      <c r="B50" s="439"/>
      <c r="C50" s="359"/>
      <c r="D50" s="389"/>
      <c r="E50" s="396"/>
      <c r="F50" s="404"/>
      <c r="G50" s="389"/>
      <c r="H50" s="444"/>
      <c r="I50" s="430"/>
      <c r="J50" s="430"/>
      <c r="K50" s="448"/>
      <c r="L50" s="405"/>
      <c r="M50" s="385"/>
      <c r="N50" s="374"/>
      <c r="O50" s="449"/>
      <c r="P50" s="450"/>
      <c r="Q50" s="451"/>
    </row>
    <row r="51" spans="1:17" x14ac:dyDescent="0.2">
      <c r="B51" s="435" t="s">
        <v>448</v>
      </c>
      <c r="C51" s="359"/>
      <c r="D51" s="389"/>
      <c r="E51" s="396"/>
      <c r="F51" s="430"/>
      <c r="G51" s="389"/>
      <c r="H51" s="444"/>
      <c r="I51" s="430"/>
      <c r="J51" s="430"/>
      <c r="K51" s="448"/>
      <c r="L51" s="405"/>
      <c r="M51" s="385"/>
      <c r="N51" s="374"/>
      <c r="O51" s="450"/>
      <c r="P51" s="450"/>
      <c r="Q51" s="452"/>
    </row>
    <row r="52" spans="1:17" x14ac:dyDescent="0.2">
      <c r="B52" s="435" t="s">
        <v>371</v>
      </c>
      <c r="C52" s="399" t="s">
        <v>10</v>
      </c>
      <c r="D52" s="395">
        <v>13495006.088</v>
      </c>
      <c r="E52" s="400">
        <v>0.13818</v>
      </c>
      <c r="F52" s="388"/>
      <c r="G52" s="389"/>
      <c r="H52" s="453">
        <f>H53</f>
        <v>0.12876000000000001</v>
      </c>
      <c r="I52" s="454" t="s">
        <v>449</v>
      </c>
      <c r="J52" s="388"/>
      <c r="K52" s="388"/>
      <c r="L52" s="391"/>
      <c r="M52" s="385"/>
      <c r="N52" s="358"/>
      <c r="O52" s="277">
        <v>-6.819340402544434E-2</v>
      </c>
      <c r="P52" s="365"/>
      <c r="Q52" s="261">
        <f>H53/E53-1</f>
        <v>-6.8171949630916107E-2</v>
      </c>
    </row>
    <row r="53" spans="1:17" x14ac:dyDescent="0.2">
      <c r="B53" s="439" t="s">
        <v>372</v>
      </c>
      <c r="C53" s="399" t="s">
        <v>10</v>
      </c>
      <c r="D53" s="395">
        <v>28173626.976</v>
      </c>
      <c r="E53" s="400">
        <v>0.13818</v>
      </c>
      <c r="F53" s="388">
        <f>ROUND(D53*E53,2)</f>
        <v>3893031.78</v>
      </c>
      <c r="G53" s="389"/>
      <c r="H53" s="401">
        <f>ROUND(E53*(1+$O$52),5)</f>
        <v>0.12876000000000001</v>
      </c>
      <c r="I53" s="388">
        <f>ROUND(D53*H53,2)</f>
        <v>3627636.21</v>
      </c>
      <c r="J53" s="388"/>
      <c r="K53" s="388">
        <f>I53-F53</f>
        <v>-265395.56999999983</v>
      </c>
      <c r="L53" s="391"/>
      <c r="M53" s="385"/>
      <c r="N53" s="358"/>
      <c r="O53" s="455"/>
      <c r="P53" s="365"/>
      <c r="Q53" s="261">
        <f>H54/E54-1</f>
        <v>-6.8236986424525803E-2</v>
      </c>
    </row>
    <row r="54" spans="1:17" x14ac:dyDescent="0.2">
      <c r="B54" s="439" t="s">
        <v>373</v>
      </c>
      <c r="C54" s="399" t="s">
        <v>10</v>
      </c>
      <c r="D54" s="395">
        <v>24322017.149</v>
      </c>
      <c r="E54" s="400">
        <v>0.11123</v>
      </c>
      <c r="F54" s="388">
        <f>ROUND(D54*E54,2)</f>
        <v>2705337.97</v>
      </c>
      <c r="G54" s="389"/>
      <c r="H54" s="401">
        <f>ROUND(E54*(1+$O$52),5)</f>
        <v>0.10364</v>
      </c>
      <c r="I54" s="388">
        <f>ROUND(D54*H54,2)</f>
        <v>2520733.86</v>
      </c>
      <c r="J54" s="388"/>
      <c r="K54" s="388">
        <f>I54-F54</f>
        <v>-184604.11000000034</v>
      </c>
      <c r="L54" s="391"/>
      <c r="M54" s="385"/>
      <c r="N54" s="358"/>
      <c r="O54" s="397"/>
      <c r="P54" s="365"/>
      <c r="Q54" s="452"/>
    </row>
    <row r="55" spans="1:17" s="450" customFormat="1" x14ac:dyDescent="0.2">
      <c r="A55" s="390"/>
      <c r="B55" s="433" t="s">
        <v>450</v>
      </c>
      <c r="C55" s="407"/>
      <c r="D55" s="382">
        <f>SUM(D52:D54)</f>
        <v>65990650.213</v>
      </c>
      <c r="E55" s="456"/>
      <c r="F55" s="430"/>
      <c r="G55" s="389"/>
      <c r="H55" s="389"/>
      <c r="I55" s="390"/>
      <c r="J55" s="390"/>
      <c r="K55" s="390"/>
      <c r="L55" s="457"/>
      <c r="M55" s="458"/>
      <c r="N55" s="459"/>
      <c r="O55" s="460"/>
      <c r="P55" s="461"/>
      <c r="Q55" s="261"/>
    </row>
    <row r="56" spans="1:17" s="450" customFormat="1" x14ac:dyDescent="0.2">
      <c r="A56" s="390"/>
      <c r="B56" s="433" t="s">
        <v>441</v>
      </c>
      <c r="C56" s="399" t="s">
        <v>10</v>
      </c>
      <c r="D56" s="389">
        <f>D55</f>
        <v>65990650.213</v>
      </c>
      <c r="E56" s="462">
        <v>0</v>
      </c>
      <c r="F56" s="430">
        <f>D56*E56</f>
        <v>0</v>
      </c>
      <c r="G56" s="389"/>
      <c r="H56" s="463">
        <v>6.0899999999999999E-3</v>
      </c>
      <c r="I56" s="430">
        <f>D56*H56</f>
        <v>401883.05979716999</v>
      </c>
      <c r="J56" s="430"/>
      <c r="K56" s="388">
        <f>I56-F56</f>
        <v>401883.05979716999</v>
      </c>
      <c r="L56" s="391"/>
      <c r="M56" s="458"/>
      <c r="N56" s="459"/>
      <c r="O56" s="390"/>
      <c r="Q56" s="464"/>
    </row>
    <row r="57" spans="1:17" x14ac:dyDescent="0.2">
      <c r="B57" s="281" t="s">
        <v>429</v>
      </c>
      <c r="C57" s="407"/>
      <c r="D57" s="382"/>
      <c r="E57" s="456"/>
      <c r="F57" s="465">
        <f>SUM(F47:F56)</f>
        <v>14863725.963312253</v>
      </c>
      <c r="G57" s="389"/>
      <c r="H57" s="389"/>
      <c r="I57" s="465">
        <f>SUM(I47:I49,I53:I56)</f>
        <v>14627826.099797169</v>
      </c>
      <c r="J57" s="430"/>
      <c r="K57" s="465">
        <f>SUM(K47:K56)</f>
        <v>-235899.86351508286</v>
      </c>
      <c r="L57" s="384">
        <f>ROUND(K57/F57,5)</f>
        <v>-1.5869999999999999E-2</v>
      </c>
      <c r="M57" s="385"/>
      <c r="N57" s="358"/>
      <c r="O57" s="466"/>
      <c r="P57" s="467"/>
      <c r="Q57" s="468"/>
    </row>
    <row r="58" spans="1:17" x14ac:dyDescent="0.2">
      <c r="B58" s="393"/>
      <c r="C58" s="407"/>
      <c r="D58" s="389"/>
      <c r="E58" s="469"/>
      <c r="F58" s="388"/>
      <c r="G58" s="389"/>
      <c r="H58" s="389"/>
      <c r="I58" s="430"/>
      <c r="J58" s="430"/>
      <c r="K58" s="388"/>
      <c r="L58" s="391"/>
      <c r="M58" s="385"/>
      <c r="N58" s="358"/>
      <c r="O58" s="470"/>
      <c r="P58" s="467"/>
      <c r="Q58" s="468"/>
    </row>
    <row r="59" spans="1:17" x14ac:dyDescent="0.2">
      <c r="B59" s="249" t="s">
        <v>426</v>
      </c>
      <c r="C59" s="407"/>
      <c r="D59" s="390"/>
      <c r="E59" s="469"/>
      <c r="F59" s="388"/>
      <c r="G59" s="389"/>
      <c r="H59" s="389"/>
      <c r="I59" s="430"/>
      <c r="J59" s="430"/>
      <c r="K59" s="388"/>
      <c r="L59" s="391"/>
      <c r="M59" s="385"/>
      <c r="N59" s="358"/>
      <c r="O59" s="450"/>
      <c r="P59" s="450"/>
      <c r="Q59" s="452"/>
    </row>
    <row r="60" spans="1:17" x14ac:dyDescent="0.2">
      <c r="B60" s="435" t="s">
        <v>451</v>
      </c>
      <c r="C60" s="399" t="s">
        <v>10</v>
      </c>
      <c r="D60" s="389">
        <f>D55</f>
        <v>65990650.213</v>
      </c>
      <c r="E60" s="400">
        <v>0.32635999999999998</v>
      </c>
      <c r="F60" s="388">
        <f>E60*D60</f>
        <v>21536708.603514679</v>
      </c>
      <c r="G60" s="390"/>
      <c r="H60" s="400">
        <v>0.39626</v>
      </c>
      <c r="I60" s="388">
        <f>H60*D60</f>
        <v>26149455.053403381</v>
      </c>
      <c r="J60" s="388"/>
      <c r="K60" s="388">
        <f>I60-F60</f>
        <v>4612746.4498887025</v>
      </c>
      <c r="L60" s="391"/>
      <c r="M60" s="385"/>
      <c r="N60" s="359"/>
      <c r="O60" s="450"/>
      <c r="P60" s="471"/>
      <c r="Q60" s="452"/>
    </row>
    <row r="61" spans="1:17" x14ac:dyDescent="0.2">
      <c r="B61" s="435" t="s">
        <v>395</v>
      </c>
      <c r="C61" s="399" t="s">
        <v>29</v>
      </c>
      <c r="D61" s="389">
        <f>D49</f>
        <v>3818909.6199999996</v>
      </c>
      <c r="E61" s="396">
        <v>1.05</v>
      </c>
      <c r="F61" s="388">
        <f>E61*D61</f>
        <v>4009855.1009999998</v>
      </c>
      <c r="G61" s="390"/>
      <c r="H61" s="396">
        <v>1.05</v>
      </c>
      <c r="I61" s="388">
        <f>H61*D61</f>
        <v>4009855.1009999998</v>
      </c>
      <c r="J61" s="388"/>
      <c r="K61" s="388">
        <f>I61-F61</f>
        <v>0</v>
      </c>
      <c r="L61" s="391"/>
      <c r="M61" s="385"/>
      <c r="N61" s="358"/>
      <c r="O61" s="470"/>
      <c r="P61" s="467"/>
      <c r="Q61" s="452"/>
    </row>
    <row r="62" spans="1:17" x14ac:dyDescent="0.2">
      <c r="B62" s="472" t="s">
        <v>452</v>
      </c>
      <c r="C62" s="407"/>
      <c r="D62" s="390"/>
      <c r="E62" s="473"/>
      <c r="F62" s="465">
        <f>SUM(F60:F61)</f>
        <v>25546563.704514679</v>
      </c>
      <c r="G62" s="390"/>
      <c r="H62" s="444"/>
      <c r="I62" s="465">
        <f>SUM(I60:I61)</f>
        <v>30159310.154403381</v>
      </c>
      <c r="J62" s="388"/>
      <c r="K62" s="465">
        <f>SUM(K60:K61)</f>
        <v>4612746.4498887025</v>
      </c>
      <c r="L62" s="384">
        <f>ROUND(K62/F62,5)</f>
        <v>0.18056</v>
      </c>
      <c r="M62" s="385"/>
      <c r="N62" s="358"/>
      <c r="O62" s="390"/>
      <c r="P62" s="450"/>
      <c r="Q62" s="464"/>
    </row>
    <row r="63" spans="1:17" x14ac:dyDescent="0.2">
      <c r="B63" s="439"/>
      <c r="C63" s="359"/>
      <c r="D63" s="390"/>
      <c r="E63" s="359"/>
      <c r="F63" s="388"/>
      <c r="G63" s="390"/>
      <c r="H63" s="390"/>
      <c r="I63" s="430"/>
      <c r="J63" s="430"/>
      <c r="K63" s="388"/>
      <c r="L63" s="391"/>
      <c r="M63" s="385"/>
      <c r="N63" s="358"/>
      <c r="O63" s="397"/>
      <c r="P63" s="450"/>
      <c r="Q63" s="452"/>
    </row>
    <row r="64" spans="1:17" x14ac:dyDescent="0.2">
      <c r="B64" s="393" t="s">
        <v>427</v>
      </c>
      <c r="C64" s="407"/>
      <c r="D64" s="390"/>
      <c r="E64" s="389"/>
      <c r="F64" s="465">
        <f>+F62+F57</f>
        <v>40410289.667826936</v>
      </c>
      <c r="G64" s="389"/>
      <c r="H64" s="389"/>
      <c r="I64" s="465">
        <f>+I62+I57</f>
        <v>44787136.254200548</v>
      </c>
      <c r="J64" s="430"/>
      <c r="K64" s="465">
        <f>K62+K57</f>
        <v>4376846.5863736197</v>
      </c>
      <c r="L64" s="384">
        <f>ROUND(K64/F64,5)</f>
        <v>0.10831</v>
      </c>
      <c r="M64" s="385"/>
      <c r="N64" s="358"/>
      <c r="O64" s="390"/>
      <c r="P64" s="450"/>
      <c r="Q64" s="464"/>
    </row>
    <row r="65" spans="1:17" s="450" customFormat="1" x14ac:dyDescent="0.2">
      <c r="B65" s="474"/>
      <c r="C65" s="423"/>
      <c r="D65" s="423"/>
      <c r="E65" s="423"/>
      <c r="F65" s="427"/>
      <c r="G65" s="423"/>
      <c r="H65" s="423"/>
      <c r="I65" s="425"/>
      <c r="J65" s="425"/>
      <c r="K65" s="427"/>
      <c r="L65" s="475"/>
      <c r="M65" s="458"/>
      <c r="N65" s="459"/>
      <c r="O65" s="390"/>
      <c r="Q65" s="464"/>
    </row>
    <row r="66" spans="1:17" s="450" customFormat="1" x14ac:dyDescent="0.2">
      <c r="A66" s="390"/>
      <c r="B66" s="390"/>
      <c r="C66" s="390"/>
      <c r="D66" s="390"/>
      <c r="E66" s="390"/>
      <c r="F66" s="397"/>
      <c r="G66" s="390"/>
      <c r="H66" s="390"/>
      <c r="I66" s="476"/>
      <c r="J66" s="476"/>
      <c r="K66" s="397"/>
      <c r="L66" s="477"/>
      <c r="M66" s="458"/>
      <c r="N66" s="459"/>
      <c r="O66" s="390"/>
      <c r="Q66" s="464"/>
    </row>
    <row r="67" spans="1:17" s="450" customFormat="1" x14ac:dyDescent="0.2">
      <c r="A67" s="390"/>
      <c r="B67" s="432" t="s">
        <v>453</v>
      </c>
      <c r="C67" s="379"/>
      <c r="D67" s="383"/>
      <c r="E67" s="380"/>
      <c r="F67" s="381"/>
      <c r="G67" s="383"/>
      <c r="H67" s="383"/>
      <c r="I67" s="381"/>
      <c r="J67" s="381"/>
      <c r="K67" s="381"/>
      <c r="L67" s="384"/>
      <c r="M67" s="458"/>
      <c r="N67" s="459"/>
      <c r="O67" s="390"/>
      <c r="Q67" s="464"/>
    </row>
    <row r="68" spans="1:17" s="450" customFormat="1" x14ac:dyDescent="0.2">
      <c r="A68" s="390"/>
      <c r="B68" s="439"/>
      <c r="C68" s="359"/>
      <c r="D68" s="390"/>
      <c r="E68" s="390"/>
      <c r="F68" s="388"/>
      <c r="G68" s="440"/>
      <c r="H68" s="390"/>
      <c r="I68" s="388"/>
      <c r="J68" s="388"/>
      <c r="K68" s="388"/>
      <c r="L68" s="391"/>
      <c r="M68" s="458"/>
      <c r="N68" s="459"/>
      <c r="O68" s="390"/>
      <c r="Q68" s="261">
        <f>H69/E69-1</f>
        <v>-6.8187492906594094E-2</v>
      </c>
    </row>
    <row r="69" spans="1:17" s="450" customFormat="1" x14ac:dyDescent="0.2">
      <c r="A69" s="390"/>
      <c r="B69" s="393" t="s">
        <v>423</v>
      </c>
      <c r="C69" s="394" t="s">
        <v>22</v>
      </c>
      <c r="D69" s="395">
        <v>1179.1322705534049</v>
      </c>
      <c r="E69" s="396">
        <v>440.55</v>
      </c>
      <c r="F69" s="388">
        <f>ROUND(D69*E69,2)</f>
        <v>519466.72</v>
      </c>
      <c r="G69" s="389"/>
      <c r="H69" s="303">
        <f>ROUND(E69*(1+$O$52),2)</f>
        <v>410.51</v>
      </c>
      <c r="I69" s="388">
        <f>ROUND(D69*H69,2)</f>
        <v>484045.59</v>
      </c>
      <c r="J69" s="388"/>
      <c r="K69" s="388">
        <f>I69-F69</f>
        <v>-35421.129999999946</v>
      </c>
      <c r="L69" s="391"/>
      <c r="M69" s="458"/>
      <c r="N69" s="459"/>
      <c r="O69" s="478"/>
      <c r="Q69" s="261">
        <f>H70/E70-1</f>
        <v>-6.8189128337085902E-2</v>
      </c>
    </row>
    <row r="70" spans="1:17" s="450" customFormat="1" x14ac:dyDescent="0.2">
      <c r="A70" s="390"/>
      <c r="B70" s="439" t="s">
        <v>447</v>
      </c>
      <c r="C70" s="394" t="s">
        <v>22</v>
      </c>
      <c r="D70" s="389">
        <f>D69</f>
        <v>1179.1322705534049</v>
      </c>
      <c r="E70" s="396">
        <v>124.36</v>
      </c>
      <c r="F70" s="430">
        <f>D70*E70</f>
        <v>146636.88916602143</v>
      </c>
      <c r="G70" s="389"/>
      <c r="H70" s="444">
        <f>H48</f>
        <v>115.88</v>
      </c>
      <c r="I70" s="430">
        <f>ROUND(D70*H70,2)</f>
        <v>136637.85</v>
      </c>
      <c r="J70" s="430"/>
      <c r="K70" s="388">
        <f>I70-F70</f>
        <v>-9999.0391660214227</v>
      </c>
      <c r="L70" s="405"/>
      <c r="M70" s="458"/>
      <c r="N70" s="459"/>
      <c r="O70" s="460"/>
      <c r="Q70" s="261">
        <f>H71/E71-1</f>
        <v>1.7391304347826209E-2</v>
      </c>
    </row>
    <row r="71" spans="1:17" s="450" customFormat="1" x14ac:dyDescent="0.2">
      <c r="A71" s="390"/>
      <c r="B71" s="435" t="s">
        <v>395</v>
      </c>
      <c r="C71" s="399" t="s">
        <v>29</v>
      </c>
      <c r="D71" s="395">
        <v>956311.5</v>
      </c>
      <c r="E71" s="396">
        <v>1.1499999999999999</v>
      </c>
      <c r="F71" s="430">
        <f>ROUND(D71*E71,2)</f>
        <v>1099758.23</v>
      </c>
      <c r="G71" s="389"/>
      <c r="H71" s="479">
        <f>H49</f>
        <v>1.17</v>
      </c>
      <c r="I71" s="430">
        <f>ROUND(D71*H71,2)</f>
        <v>1118884.46</v>
      </c>
      <c r="J71" s="390"/>
      <c r="K71" s="388">
        <f>I71-F71</f>
        <v>19126.229999999981</v>
      </c>
      <c r="L71" s="405"/>
      <c r="M71" s="458"/>
      <c r="N71" s="459"/>
      <c r="O71" s="460"/>
      <c r="Q71" s="464"/>
    </row>
    <row r="72" spans="1:17" s="450" customFormat="1" x14ac:dyDescent="0.2">
      <c r="A72" s="390"/>
      <c r="B72" s="439"/>
      <c r="C72" s="359"/>
      <c r="D72" s="389"/>
      <c r="E72" s="396"/>
      <c r="F72" s="430"/>
      <c r="G72" s="389"/>
      <c r="H72" s="444"/>
      <c r="I72" s="430"/>
      <c r="J72" s="430"/>
      <c r="K72" s="448"/>
      <c r="L72" s="405"/>
      <c r="M72" s="458"/>
      <c r="N72" s="459"/>
      <c r="O72" s="460"/>
      <c r="Q72" s="464"/>
    </row>
    <row r="73" spans="1:17" s="450" customFormat="1" x14ac:dyDescent="0.2">
      <c r="A73" s="390"/>
      <c r="B73" s="435" t="s">
        <v>448</v>
      </c>
      <c r="C73" s="359"/>
      <c r="D73" s="389"/>
      <c r="E73" s="396"/>
      <c r="F73" s="388"/>
      <c r="G73" s="389"/>
      <c r="H73" s="444"/>
      <c r="I73" s="430"/>
      <c r="J73" s="430"/>
      <c r="K73" s="448"/>
      <c r="L73" s="405"/>
      <c r="M73" s="458"/>
      <c r="N73" s="459"/>
      <c r="O73" s="390"/>
      <c r="Q73" s="261">
        <f>H74/E74-1</f>
        <v>-6.8171949630916107E-2</v>
      </c>
    </row>
    <row r="74" spans="1:17" s="450" customFormat="1" x14ac:dyDescent="0.2">
      <c r="A74" s="390"/>
      <c r="B74" s="435" t="s">
        <v>371</v>
      </c>
      <c r="C74" s="399" t="s">
        <v>10</v>
      </c>
      <c r="D74" s="395">
        <v>1041707.81</v>
      </c>
      <c r="E74" s="400">
        <v>0.13818</v>
      </c>
      <c r="F74" s="454" t="s">
        <v>449</v>
      </c>
      <c r="G74" s="389"/>
      <c r="H74" s="453">
        <f>H52</f>
        <v>0.12876000000000001</v>
      </c>
      <c r="I74" s="454" t="s">
        <v>449</v>
      </c>
      <c r="J74" s="388"/>
      <c r="K74" s="454"/>
      <c r="L74" s="391"/>
      <c r="M74" s="458"/>
      <c r="N74" s="459"/>
      <c r="O74" s="390"/>
      <c r="Q74" s="261">
        <f>H75/E75-1</f>
        <v>-6.8171949630916107E-2</v>
      </c>
    </row>
    <row r="75" spans="1:17" s="450" customFormat="1" x14ac:dyDescent="0.2">
      <c r="A75" s="390"/>
      <c r="B75" s="439" t="s">
        <v>372</v>
      </c>
      <c r="C75" s="399" t="s">
        <v>10</v>
      </c>
      <c r="D75" s="395">
        <v>3950092.4699999997</v>
      </c>
      <c r="E75" s="400">
        <v>0.13818</v>
      </c>
      <c r="F75" s="388">
        <f>D75*E75</f>
        <v>545823.7775046</v>
      </c>
      <c r="G75" s="389"/>
      <c r="H75" s="453">
        <f>H53</f>
        <v>0.12876000000000001</v>
      </c>
      <c r="I75" s="388">
        <f>H75*D75</f>
        <v>508613.90643720003</v>
      </c>
      <c r="J75" s="388"/>
      <c r="K75" s="388">
        <f>I75-F75</f>
        <v>-37209.871067399974</v>
      </c>
      <c r="L75" s="391"/>
      <c r="M75" s="458"/>
      <c r="N75" s="459"/>
      <c r="O75" s="390"/>
      <c r="Q75" s="261">
        <f>H76/E76-1</f>
        <v>-6.8236986424525803E-2</v>
      </c>
    </row>
    <row r="76" spans="1:17" s="450" customFormat="1" x14ac:dyDescent="0.2">
      <c r="A76" s="390"/>
      <c r="B76" s="439" t="s">
        <v>373</v>
      </c>
      <c r="C76" s="399" t="s">
        <v>10</v>
      </c>
      <c r="D76" s="395">
        <v>12710325.609999999</v>
      </c>
      <c r="E76" s="400">
        <v>0.11123</v>
      </c>
      <c r="F76" s="388">
        <f>D76*E76</f>
        <v>1413769.5176002998</v>
      </c>
      <c r="G76" s="389"/>
      <c r="H76" s="453">
        <f>H54</f>
        <v>0.10364</v>
      </c>
      <c r="I76" s="388">
        <f>H76*D76</f>
        <v>1317298.1462204</v>
      </c>
      <c r="J76" s="388"/>
      <c r="K76" s="388">
        <f>I76-F76</f>
        <v>-96471.371379899792</v>
      </c>
      <c r="L76" s="391"/>
      <c r="M76" s="458"/>
      <c r="N76" s="459"/>
      <c r="O76" s="390"/>
      <c r="Q76" s="464"/>
    </row>
    <row r="77" spans="1:17" s="450" customFormat="1" x14ac:dyDescent="0.2">
      <c r="A77" s="390"/>
      <c r="B77" s="433" t="s">
        <v>450</v>
      </c>
      <c r="C77" s="407"/>
      <c r="D77" s="382">
        <f>SUM(D74:D76)</f>
        <v>17702125.890000001</v>
      </c>
      <c r="E77" s="456"/>
      <c r="F77" s="430"/>
      <c r="G77" s="389"/>
      <c r="H77" s="389"/>
      <c r="I77" s="390"/>
      <c r="J77" s="390"/>
      <c r="K77" s="390"/>
      <c r="L77" s="457"/>
      <c r="M77" s="458"/>
      <c r="N77" s="459"/>
      <c r="O77" s="460"/>
      <c r="P77" s="461"/>
      <c r="Q77" s="261"/>
    </row>
    <row r="78" spans="1:17" s="450" customFormat="1" x14ac:dyDescent="0.2">
      <c r="A78" s="390"/>
      <c r="B78" s="433" t="s">
        <v>441</v>
      </c>
      <c r="C78" s="399" t="s">
        <v>10</v>
      </c>
      <c r="D78" s="389">
        <f>D77</f>
        <v>17702125.890000001</v>
      </c>
      <c r="E78" s="462">
        <v>-5.3899999999999998E-3</v>
      </c>
      <c r="F78" s="430">
        <f>D78*E78</f>
        <v>-95414.458547100003</v>
      </c>
      <c r="G78" s="389"/>
      <c r="H78" s="480">
        <v>0</v>
      </c>
      <c r="I78" s="430">
        <f>D78*H78</f>
        <v>0</v>
      </c>
      <c r="J78" s="430"/>
      <c r="K78" s="388">
        <f>I78-F78</f>
        <v>95414.458547100003</v>
      </c>
      <c r="L78" s="391"/>
      <c r="M78" s="458"/>
      <c r="N78" s="459"/>
      <c r="O78" s="390"/>
      <c r="Q78" s="464"/>
    </row>
    <row r="79" spans="1:17" s="450" customFormat="1" x14ac:dyDescent="0.2">
      <c r="A79" s="390"/>
      <c r="B79" s="281" t="s">
        <v>429</v>
      </c>
      <c r="C79" s="407"/>
      <c r="D79" s="389"/>
      <c r="E79" s="456"/>
      <c r="F79" s="465">
        <f>SUM(F69:F78)</f>
        <v>3630040.6757238214</v>
      </c>
      <c r="G79" s="389"/>
      <c r="H79" s="389"/>
      <c r="I79" s="465">
        <f>SUM(I69:I78)</f>
        <v>3565479.9526575999</v>
      </c>
      <c r="J79" s="430"/>
      <c r="K79" s="465">
        <f>SUM(K69:K78)</f>
        <v>-64560.723066221151</v>
      </c>
      <c r="L79" s="384">
        <f>ROUND(K79/F79,5)</f>
        <v>-1.779E-2</v>
      </c>
      <c r="M79" s="458"/>
      <c r="N79" s="459"/>
      <c r="O79" s="390"/>
      <c r="Q79" s="464"/>
    </row>
    <row r="80" spans="1:17" s="450" customFormat="1" x14ac:dyDescent="0.2">
      <c r="A80" s="390"/>
      <c r="B80" s="433"/>
      <c r="C80" s="407"/>
      <c r="D80" s="389"/>
      <c r="E80" s="456"/>
      <c r="F80" s="430"/>
      <c r="G80" s="389"/>
      <c r="H80" s="389"/>
      <c r="I80" s="430"/>
      <c r="J80" s="430"/>
      <c r="K80" s="388"/>
      <c r="L80" s="391"/>
      <c r="M80" s="458"/>
      <c r="N80" s="459"/>
      <c r="O80" s="481"/>
      <c r="P80" s="359"/>
      <c r="Q80" s="261"/>
    </row>
    <row r="81" spans="1:17" s="450" customFormat="1" x14ac:dyDescent="0.2">
      <c r="A81" s="390"/>
      <c r="B81" s="435" t="s">
        <v>443</v>
      </c>
      <c r="C81" s="399" t="s">
        <v>10</v>
      </c>
      <c r="D81" s="389">
        <f>D77</f>
        <v>17702125.890000001</v>
      </c>
      <c r="E81" s="400">
        <v>6.9999999999999999E-4</v>
      </c>
      <c r="F81" s="388">
        <f>E81*D81</f>
        <v>12391.488123000001</v>
      </c>
      <c r="G81" s="390"/>
      <c r="H81" s="437">
        <v>6.9999999999999999E-4</v>
      </c>
      <c r="I81" s="388">
        <f>H81*D81</f>
        <v>12391.488123000001</v>
      </c>
      <c r="J81" s="388"/>
      <c r="K81" s="388">
        <f>I81-F81</f>
        <v>0</v>
      </c>
      <c r="L81" s="391"/>
      <c r="M81" s="458"/>
      <c r="N81" s="459"/>
      <c r="O81" s="388"/>
      <c r="P81" s="399"/>
      <c r="Q81" s="482"/>
    </row>
    <row r="82" spans="1:17" s="450" customFormat="1" x14ac:dyDescent="0.2">
      <c r="A82" s="390"/>
      <c r="B82" s="439" t="s">
        <v>427</v>
      </c>
      <c r="C82" s="399"/>
      <c r="D82" s="389"/>
      <c r="E82" s="453"/>
      <c r="F82" s="465">
        <f>F79+F81</f>
        <v>3642432.1638468215</v>
      </c>
      <c r="G82" s="390"/>
      <c r="H82" s="444"/>
      <c r="I82" s="465">
        <f>I79+SUM(I81:I81)</f>
        <v>3577871.4407806001</v>
      </c>
      <c r="J82" s="388"/>
      <c r="K82" s="465">
        <f>K79+SUM(K81:K81)</f>
        <v>-64560.723066221151</v>
      </c>
      <c r="L82" s="384">
        <f>ROUND(K82/F82,5)</f>
        <v>-1.772E-2</v>
      </c>
      <c r="M82" s="458"/>
      <c r="N82" s="459"/>
      <c r="O82" s="397"/>
      <c r="P82" s="399"/>
      <c r="Q82" s="482"/>
    </row>
    <row r="83" spans="1:17" s="450" customFormat="1" x14ac:dyDescent="0.2">
      <c r="A83" s="390"/>
      <c r="B83" s="439"/>
      <c r="C83" s="407"/>
      <c r="D83" s="390"/>
      <c r="E83" s="473"/>
      <c r="F83" s="390"/>
      <c r="G83" s="390"/>
      <c r="H83" s="390"/>
      <c r="I83" s="397"/>
      <c r="J83" s="390"/>
      <c r="K83" s="390"/>
      <c r="L83" s="457"/>
      <c r="M83" s="458"/>
      <c r="N83" s="459"/>
      <c r="O83" s="483"/>
      <c r="P83" s="399"/>
      <c r="Q83" s="482"/>
    </row>
    <row r="84" spans="1:17" s="450" customFormat="1" x14ac:dyDescent="0.2">
      <c r="A84" s="390"/>
      <c r="B84" s="474"/>
      <c r="C84" s="423"/>
      <c r="D84" s="423"/>
      <c r="E84" s="423"/>
      <c r="F84" s="427"/>
      <c r="G84" s="423"/>
      <c r="H84" s="423"/>
      <c r="I84" s="425"/>
      <c r="J84" s="425"/>
      <c r="K84" s="427"/>
      <c r="L84" s="475"/>
      <c r="M84" s="458"/>
      <c r="N84" s="459"/>
      <c r="O84" s="483"/>
      <c r="P84" s="399"/>
      <c r="Q84" s="482"/>
    </row>
    <row r="85" spans="1:17" s="450" customFormat="1" x14ac:dyDescent="0.2">
      <c r="A85" s="390"/>
      <c r="B85" s="390"/>
      <c r="C85" s="390"/>
      <c r="D85" s="390"/>
      <c r="E85" s="390"/>
      <c r="F85" s="397"/>
      <c r="G85" s="390"/>
      <c r="H85" s="390"/>
      <c r="I85" s="476"/>
      <c r="J85" s="476"/>
      <c r="K85" s="397"/>
      <c r="L85" s="477"/>
      <c r="M85" s="458"/>
      <c r="N85" s="459"/>
      <c r="O85" s="481"/>
      <c r="P85" s="399"/>
      <c r="Q85" s="482"/>
    </row>
    <row r="86" spans="1:17" s="450" customFormat="1" x14ac:dyDescent="0.2">
      <c r="A86" s="390"/>
      <c r="B86" s="432" t="s">
        <v>454</v>
      </c>
      <c r="C86" s="379"/>
      <c r="D86" s="383"/>
      <c r="E86" s="380"/>
      <c r="F86" s="381"/>
      <c r="G86" s="383"/>
      <c r="H86" s="383"/>
      <c r="I86" s="381"/>
      <c r="J86" s="381"/>
      <c r="K86" s="381"/>
      <c r="L86" s="384"/>
      <c r="M86" s="458"/>
      <c r="N86" s="459"/>
      <c r="O86" s="483"/>
      <c r="P86" s="399"/>
      <c r="Q86" s="482"/>
    </row>
    <row r="87" spans="1:17" s="450" customFormat="1" x14ac:dyDescent="0.2">
      <c r="A87" s="390"/>
      <c r="B87" s="386"/>
      <c r="C87" s="359"/>
      <c r="D87" s="390"/>
      <c r="E87" s="390"/>
      <c r="F87" s="388"/>
      <c r="G87" s="440"/>
      <c r="H87" s="390"/>
      <c r="I87" s="388"/>
      <c r="J87" s="388"/>
      <c r="K87" s="388"/>
      <c r="L87" s="391"/>
      <c r="M87" s="458"/>
      <c r="N87" s="459"/>
      <c r="O87" s="483"/>
      <c r="P87" s="399"/>
      <c r="Q87" s="482"/>
    </row>
    <row r="88" spans="1:17" s="450" customFormat="1" x14ac:dyDescent="0.2">
      <c r="A88" s="390"/>
      <c r="B88" s="393" t="s">
        <v>423</v>
      </c>
      <c r="C88" s="394" t="s">
        <v>22</v>
      </c>
      <c r="D88" s="403">
        <f>D69+D47</f>
        <v>17415.238199407158</v>
      </c>
      <c r="E88" s="436"/>
      <c r="F88" s="388">
        <f>F69+F47</f>
        <v>2373954.7400000002</v>
      </c>
      <c r="G88" s="389"/>
      <c r="H88" s="436"/>
      <c r="I88" s="388">
        <f>I69+I47</f>
        <v>2212054.34</v>
      </c>
      <c r="J88" s="388"/>
      <c r="K88" s="388">
        <f>K69+K47</f>
        <v>-161900.39999999997</v>
      </c>
      <c r="L88" s="391"/>
      <c r="M88" s="458"/>
      <c r="N88" s="459"/>
      <c r="O88" s="483"/>
      <c r="P88" s="399"/>
      <c r="Q88" s="482"/>
    </row>
    <row r="89" spans="1:17" s="450" customFormat="1" x14ac:dyDescent="0.2">
      <c r="A89" s="390"/>
      <c r="B89" s="439" t="s">
        <v>447</v>
      </c>
      <c r="C89" s="394" t="s">
        <v>22</v>
      </c>
      <c r="D89" s="389">
        <f>D88</f>
        <v>17415.238199407158</v>
      </c>
      <c r="E89" s="436"/>
      <c r="F89" s="388">
        <f>F70+F48</f>
        <v>2165759.0224782741</v>
      </c>
      <c r="G89" s="389"/>
      <c r="H89" s="444"/>
      <c r="I89" s="388">
        <f>I70+I48</f>
        <v>2018077.81</v>
      </c>
      <c r="J89" s="430"/>
      <c r="K89" s="388">
        <f>K70+K48</f>
        <v>-147681.21247827428</v>
      </c>
      <c r="L89" s="405"/>
      <c r="M89" s="458"/>
      <c r="N89" s="459"/>
      <c r="O89" s="483"/>
      <c r="P89" s="399"/>
      <c r="Q89" s="482"/>
    </row>
    <row r="90" spans="1:17" s="450" customFormat="1" x14ac:dyDescent="0.2">
      <c r="A90" s="390"/>
      <c r="B90" s="484" t="s">
        <v>395</v>
      </c>
      <c r="C90" s="399" t="s">
        <v>29</v>
      </c>
      <c r="D90" s="403">
        <f>D71+D49</f>
        <v>4775221.1199999992</v>
      </c>
      <c r="E90" s="436"/>
      <c r="F90" s="388">
        <f>F71+F49</f>
        <v>5491504.2899999991</v>
      </c>
      <c r="G90" s="389"/>
      <c r="H90" s="436"/>
      <c r="I90" s="388">
        <f>I71+I49</f>
        <v>5587008.7199999997</v>
      </c>
      <c r="J90" s="430"/>
      <c r="K90" s="388">
        <f>K71+K49</f>
        <v>95504.430000000168</v>
      </c>
      <c r="L90" s="405"/>
      <c r="M90" s="458"/>
      <c r="N90" s="459"/>
      <c r="O90" s="483"/>
      <c r="P90" s="399"/>
      <c r="Q90" s="482"/>
    </row>
    <row r="91" spans="1:17" s="450" customFormat="1" x14ac:dyDescent="0.2">
      <c r="A91" s="390"/>
      <c r="B91" s="386"/>
      <c r="C91" s="359"/>
      <c r="D91" s="389"/>
      <c r="E91" s="444"/>
      <c r="F91" s="430"/>
      <c r="G91" s="389"/>
      <c r="H91" s="444"/>
      <c r="I91" s="430"/>
      <c r="J91" s="430"/>
      <c r="K91" s="448"/>
      <c r="L91" s="405"/>
      <c r="M91" s="458"/>
      <c r="N91" s="459"/>
      <c r="O91" s="483"/>
      <c r="P91" s="399"/>
      <c r="Q91" s="482"/>
    </row>
    <row r="92" spans="1:17" s="450" customFormat="1" x14ac:dyDescent="0.2">
      <c r="A92" s="390"/>
      <c r="B92" s="484" t="s">
        <v>448</v>
      </c>
      <c r="C92" s="359"/>
      <c r="D92" s="389"/>
      <c r="E92" s="444"/>
      <c r="F92" s="388"/>
      <c r="G92" s="389"/>
      <c r="H92" s="444"/>
      <c r="I92" s="430"/>
      <c r="J92" s="430"/>
      <c r="K92" s="448"/>
      <c r="L92" s="405"/>
      <c r="M92" s="458"/>
      <c r="N92" s="459"/>
      <c r="O92" s="483"/>
      <c r="P92" s="399"/>
      <c r="Q92" s="482"/>
    </row>
    <row r="93" spans="1:17" s="450" customFormat="1" x14ac:dyDescent="0.2">
      <c r="A93" s="390"/>
      <c r="B93" s="435" t="s">
        <v>371</v>
      </c>
      <c r="C93" s="399" t="s">
        <v>10</v>
      </c>
      <c r="D93" s="403">
        <f>D74+D52</f>
        <v>14536713.898</v>
      </c>
      <c r="E93" s="437"/>
      <c r="F93" s="388"/>
      <c r="G93" s="389"/>
      <c r="H93" s="453"/>
      <c r="I93" s="454" t="s">
        <v>449</v>
      </c>
      <c r="J93" s="388"/>
      <c r="K93" s="388"/>
      <c r="L93" s="391"/>
      <c r="M93" s="458"/>
      <c r="N93" s="459"/>
      <c r="O93" s="483"/>
      <c r="P93" s="399"/>
      <c r="Q93" s="482"/>
    </row>
    <row r="94" spans="1:17" s="450" customFormat="1" x14ac:dyDescent="0.2">
      <c r="A94" s="390"/>
      <c r="B94" s="439" t="s">
        <v>372</v>
      </c>
      <c r="C94" s="399" t="s">
        <v>10</v>
      </c>
      <c r="D94" s="403">
        <f>D75+D53</f>
        <v>32123719.445999999</v>
      </c>
      <c r="E94" s="437"/>
      <c r="F94" s="388">
        <f>F75+F53</f>
        <v>4438855.5575045999</v>
      </c>
      <c r="G94" s="389"/>
      <c r="H94" s="401"/>
      <c r="I94" s="388">
        <f>I75+I53</f>
        <v>4136250.1164372</v>
      </c>
      <c r="J94" s="388"/>
      <c r="K94" s="388">
        <f>K75+K53</f>
        <v>-302605.44106739981</v>
      </c>
      <c r="L94" s="391"/>
      <c r="M94" s="458"/>
      <c r="N94" s="459"/>
      <c r="O94" s="483"/>
      <c r="P94" s="399"/>
      <c r="Q94" s="482"/>
    </row>
    <row r="95" spans="1:17" s="450" customFormat="1" x14ac:dyDescent="0.2">
      <c r="A95" s="390"/>
      <c r="B95" s="439" t="s">
        <v>373</v>
      </c>
      <c r="C95" s="399" t="s">
        <v>10</v>
      </c>
      <c r="D95" s="485">
        <f>D76+D54</f>
        <v>37032342.759000003</v>
      </c>
      <c r="E95" s="437"/>
      <c r="F95" s="388">
        <f>F76+F54</f>
        <v>4119107.4876003</v>
      </c>
      <c r="G95" s="389"/>
      <c r="H95" s="401"/>
      <c r="I95" s="388">
        <f>I76+I54</f>
        <v>3838032.0062203999</v>
      </c>
      <c r="J95" s="388"/>
      <c r="K95" s="388">
        <f>K76+K54</f>
        <v>-281075.48137990013</v>
      </c>
      <c r="L95" s="391"/>
      <c r="M95" s="458"/>
      <c r="N95" s="459"/>
      <c r="O95" s="483"/>
      <c r="P95" s="399"/>
      <c r="Q95" s="482"/>
    </row>
    <row r="96" spans="1:17" s="450" customFormat="1" x14ac:dyDescent="0.2">
      <c r="A96" s="390"/>
      <c r="B96" s="472" t="s">
        <v>450</v>
      </c>
      <c r="C96" s="407"/>
      <c r="D96" s="382">
        <f>SUM(D93:D95)</f>
        <v>83692776.103</v>
      </c>
      <c r="E96" s="387"/>
      <c r="F96" s="430"/>
      <c r="G96" s="389"/>
      <c r="H96" s="389"/>
      <c r="I96" s="390"/>
      <c r="J96" s="390"/>
      <c r="K96" s="390"/>
      <c r="L96" s="457"/>
      <c r="M96" s="458"/>
      <c r="N96" s="459"/>
      <c r="O96" s="483"/>
      <c r="P96" s="399"/>
      <c r="Q96" s="482"/>
    </row>
    <row r="97" spans="1:17" s="450" customFormat="1" x14ac:dyDescent="0.2">
      <c r="A97" s="390"/>
      <c r="B97" s="433" t="s">
        <v>441</v>
      </c>
      <c r="C97" s="399" t="s">
        <v>10</v>
      </c>
      <c r="D97" s="403">
        <f>D78+D58</f>
        <v>17702125.890000001</v>
      </c>
      <c r="E97" s="486"/>
      <c r="F97" s="430">
        <f>F78</f>
        <v>-95414.458547100003</v>
      </c>
      <c r="G97" s="389"/>
      <c r="H97" s="389"/>
      <c r="I97" s="430">
        <f>I78+I56</f>
        <v>401883.05979716999</v>
      </c>
      <c r="J97" s="430"/>
      <c r="K97" s="430">
        <f>K78</f>
        <v>95414.458547100003</v>
      </c>
      <c r="L97" s="391"/>
      <c r="M97" s="458"/>
      <c r="N97" s="459"/>
      <c r="O97" s="483"/>
      <c r="P97" s="399"/>
      <c r="Q97" s="482"/>
    </row>
    <row r="98" spans="1:17" s="450" customFormat="1" x14ac:dyDescent="0.2">
      <c r="A98" s="390"/>
      <c r="B98" s="281" t="s">
        <v>429</v>
      </c>
      <c r="C98" s="407"/>
      <c r="D98" s="389"/>
      <c r="E98" s="387"/>
      <c r="F98" s="465">
        <f>SUM(F88:F97)</f>
        <v>18493766.639036071</v>
      </c>
      <c r="G98" s="389"/>
      <c r="H98" s="389"/>
      <c r="I98" s="465">
        <f>SUM(I88:I90,I94:I97)</f>
        <v>18193306.052454773</v>
      </c>
      <c r="J98" s="430"/>
      <c r="K98" s="465">
        <f>SUM(K88:K97)</f>
        <v>-702343.64637847408</v>
      </c>
      <c r="L98" s="384">
        <f>ROUND(K98/F98,5)</f>
        <v>-3.798E-2</v>
      </c>
      <c r="M98" s="458"/>
      <c r="N98" s="459"/>
      <c r="O98" s="483"/>
      <c r="P98" s="399"/>
      <c r="Q98" s="482"/>
    </row>
    <row r="99" spans="1:17" s="450" customFormat="1" x14ac:dyDescent="0.2">
      <c r="A99" s="390"/>
      <c r="B99" s="419"/>
      <c r="C99" s="407"/>
      <c r="D99" s="389"/>
      <c r="E99" s="387"/>
      <c r="F99" s="430"/>
      <c r="G99" s="389"/>
      <c r="H99" s="389"/>
      <c r="I99" s="430"/>
      <c r="J99" s="430"/>
      <c r="K99" s="388"/>
      <c r="L99" s="391"/>
      <c r="M99" s="458"/>
      <c r="N99" s="459"/>
      <c r="O99" s="483"/>
      <c r="P99" s="399"/>
      <c r="Q99" s="482"/>
    </row>
    <row r="100" spans="1:17" s="450" customFormat="1" x14ac:dyDescent="0.2">
      <c r="A100" s="390"/>
      <c r="B100" s="249" t="s">
        <v>426</v>
      </c>
      <c r="C100" s="407"/>
      <c r="D100" s="389"/>
      <c r="E100" s="387"/>
      <c r="F100" s="430"/>
      <c r="G100" s="389"/>
      <c r="H100" s="389"/>
      <c r="I100" s="430"/>
      <c r="J100" s="430"/>
      <c r="K100" s="388"/>
      <c r="L100" s="391"/>
      <c r="M100" s="458"/>
      <c r="N100" s="459"/>
      <c r="O100" s="483"/>
      <c r="P100" s="399"/>
      <c r="Q100" s="482"/>
    </row>
    <row r="101" spans="1:17" s="450" customFormat="1" x14ac:dyDescent="0.2">
      <c r="A101" s="390"/>
      <c r="B101" s="435" t="s">
        <v>451</v>
      </c>
      <c r="C101" s="407"/>
      <c r="D101" s="389"/>
      <c r="E101" s="387"/>
      <c r="F101" s="430">
        <f>F60</f>
        <v>21536708.603514679</v>
      </c>
      <c r="G101" s="389"/>
      <c r="H101" s="389"/>
      <c r="I101" s="430">
        <f>I60</f>
        <v>26149455.053403381</v>
      </c>
      <c r="J101" s="430"/>
      <c r="K101" s="430">
        <f>K60</f>
        <v>4612746.4498887025</v>
      </c>
      <c r="L101" s="391"/>
      <c r="M101" s="458"/>
      <c r="N101" s="459"/>
      <c r="O101" s="483"/>
      <c r="P101" s="399"/>
      <c r="Q101" s="482"/>
    </row>
    <row r="102" spans="1:17" s="450" customFormat="1" x14ac:dyDescent="0.2">
      <c r="A102" s="390"/>
      <c r="B102" s="435" t="s">
        <v>395</v>
      </c>
      <c r="C102" s="407"/>
      <c r="D102" s="389"/>
      <c r="E102" s="387"/>
      <c r="F102" s="430">
        <f>F61</f>
        <v>4009855.1009999998</v>
      </c>
      <c r="G102" s="389"/>
      <c r="H102" s="389"/>
      <c r="I102" s="430">
        <f>I61</f>
        <v>4009855.1009999998</v>
      </c>
      <c r="J102" s="430"/>
      <c r="K102" s="430">
        <f>K61</f>
        <v>0</v>
      </c>
      <c r="L102" s="391"/>
      <c r="M102" s="458"/>
      <c r="N102" s="459"/>
      <c r="O102" s="483"/>
      <c r="P102" s="399"/>
      <c r="Q102" s="482"/>
    </row>
    <row r="103" spans="1:17" s="450" customFormat="1" x14ac:dyDescent="0.2">
      <c r="A103" s="390"/>
      <c r="B103" s="435" t="s">
        <v>443</v>
      </c>
      <c r="C103" s="407"/>
      <c r="D103" s="389"/>
      <c r="E103" s="387"/>
      <c r="F103" s="430">
        <f>F81</f>
        <v>12391.488123000001</v>
      </c>
      <c r="G103" s="389"/>
      <c r="H103" s="389"/>
      <c r="I103" s="430">
        <f>I81</f>
        <v>12391.488123000001</v>
      </c>
      <c r="J103" s="430"/>
      <c r="K103" s="430">
        <f>K81</f>
        <v>0</v>
      </c>
      <c r="L103" s="391"/>
      <c r="M103" s="458"/>
      <c r="N103" s="459"/>
      <c r="O103" s="483"/>
      <c r="P103" s="399"/>
      <c r="Q103" s="482"/>
    </row>
    <row r="104" spans="1:17" s="450" customFormat="1" x14ac:dyDescent="0.2">
      <c r="A104" s="390"/>
      <c r="B104" s="472" t="s">
        <v>452</v>
      </c>
      <c r="C104" s="407"/>
      <c r="D104" s="389"/>
      <c r="E104" s="387"/>
      <c r="F104" s="465">
        <f>SUM(F101:F103)</f>
        <v>25558955.192637678</v>
      </c>
      <c r="G104" s="389"/>
      <c r="H104" s="389"/>
      <c r="I104" s="465">
        <f>SUM(I101:I103)</f>
        <v>30171701.642526381</v>
      </c>
      <c r="J104" s="430"/>
      <c r="K104" s="465">
        <f>SUM(K101:K103)</f>
        <v>4612746.4498887025</v>
      </c>
      <c r="L104" s="384">
        <f>ROUND(K104/F104,5)</f>
        <v>0.18046999999999999</v>
      </c>
      <c r="M104" s="458"/>
      <c r="N104" s="459"/>
      <c r="O104" s="483"/>
      <c r="P104" s="399"/>
      <c r="Q104" s="482"/>
    </row>
    <row r="105" spans="1:17" s="450" customFormat="1" x14ac:dyDescent="0.2">
      <c r="A105" s="390"/>
      <c r="B105" s="484"/>
      <c r="C105" s="407"/>
      <c r="D105" s="390"/>
      <c r="E105" s="359"/>
      <c r="F105" s="388"/>
      <c r="G105" s="389"/>
      <c r="H105" s="389"/>
      <c r="I105" s="430"/>
      <c r="J105" s="430"/>
      <c r="K105" s="388"/>
      <c r="L105" s="391"/>
      <c r="M105" s="458"/>
      <c r="N105" s="459"/>
      <c r="O105" s="388"/>
      <c r="P105" s="399"/>
      <c r="Q105" s="482"/>
    </row>
    <row r="106" spans="1:17" s="450" customFormat="1" x14ac:dyDescent="0.2">
      <c r="A106" s="390"/>
      <c r="B106" s="386" t="s">
        <v>427</v>
      </c>
      <c r="C106" s="399"/>
      <c r="D106" s="389"/>
      <c r="E106" s="453"/>
      <c r="F106" s="465">
        <f>F98+F104</f>
        <v>44052721.831673749</v>
      </c>
      <c r="G106" s="390"/>
      <c r="H106" s="444"/>
      <c r="I106" s="465">
        <f>I98+I104</f>
        <v>48365007.694981158</v>
      </c>
      <c r="J106" s="388"/>
      <c r="K106" s="465">
        <f>K98+K104</f>
        <v>3910402.8035102282</v>
      </c>
      <c r="L106" s="384">
        <f>ROUND(K106/F106,5)</f>
        <v>8.8770000000000002E-2</v>
      </c>
      <c r="M106" s="458"/>
      <c r="N106" s="459"/>
      <c r="O106" s="399"/>
      <c r="P106" s="399"/>
      <c r="Q106" s="389"/>
    </row>
    <row r="107" spans="1:17" s="450" customFormat="1" x14ac:dyDescent="0.2">
      <c r="A107" s="390"/>
      <c r="B107" s="474"/>
      <c r="C107" s="423"/>
      <c r="D107" s="423"/>
      <c r="E107" s="487"/>
      <c r="F107" s="488"/>
      <c r="G107" s="423"/>
      <c r="H107" s="423"/>
      <c r="I107" s="425"/>
      <c r="J107" s="425"/>
      <c r="K107" s="427"/>
      <c r="L107" s="475"/>
      <c r="M107" s="458"/>
      <c r="N107" s="459"/>
      <c r="O107" s="399"/>
      <c r="P107" s="399"/>
      <c r="Q107" s="389"/>
    </row>
    <row r="108" spans="1:17" s="390" customFormat="1" x14ac:dyDescent="0.2">
      <c r="E108" s="460"/>
      <c r="F108" s="489"/>
      <c r="I108" s="476"/>
      <c r="J108" s="476"/>
      <c r="K108" s="397"/>
      <c r="L108" s="477"/>
      <c r="M108" s="458"/>
      <c r="N108" s="459"/>
      <c r="O108" s="231"/>
      <c r="P108" s="231"/>
      <c r="Q108" s="231"/>
    </row>
    <row r="109" spans="1:17" x14ac:dyDescent="0.2">
      <c r="B109" s="359"/>
      <c r="F109" s="490"/>
      <c r="I109" s="490"/>
      <c r="J109" s="490"/>
      <c r="K109" s="490"/>
      <c r="M109" s="385"/>
      <c r="N109" s="358"/>
      <c r="O109" s="231"/>
      <c r="P109" s="231"/>
      <c r="Q109" s="231"/>
    </row>
    <row r="110" spans="1:17" x14ac:dyDescent="0.2">
      <c r="B110" s="493" t="s">
        <v>455</v>
      </c>
      <c r="F110" s="490"/>
      <c r="I110" s="490"/>
      <c r="J110" s="490"/>
      <c r="K110" s="490"/>
      <c r="M110" s="385"/>
      <c r="N110" s="358"/>
      <c r="O110" s="494"/>
      <c r="P110" s="495"/>
      <c r="Q110" s="496"/>
    </row>
    <row r="111" spans="1:17" x14ac:dyDescent="0.2">
      <c r="D111" s="334" t="s">
        <v>10</v>
      </c>
      <c r="F111" s="497" t="s">
        <v>410</v>
      </c>
      <c r="I111" s="497" t="s">
        <v>411</v>
      </c>
      <c r="J111" s="490"/>
      <c r="K111" s="497" t="s">
        <v>281</v>
      </c>
      <c r="M111" s="385"/>
      <c r="N111" s="358"/>
    </row>
    <row r="112" spans="1:17" x14ac:dyDescent="0.2">
      <c r="B112" s="212" t="s">
        <v>456</v>
      </c>
      <c r="C112" s="452"/>
      <c r="D112" s="498"/>
      <c r="E112" s="452"/>
      <c r="F112" s="452"/>
      <c r="G112" s="499"/>
      <c r="H112" s="499"/>
      <c r="I112" s="452"/>
      <c r="J112" s="452"/>
      <c r="K112" s="452"/>
      <c r="M112" s="500"/>
    </row>
    <row r="113" spans="2:13" x14ac:dyDescent="0.2">
      <c r="B113" s="502" t="s">
        <v>457</v>
      </c>
      <c r="C113" s="452"/>
      <c r="D113" s="498"/>
      <c r="E113" s="452"/>
      <c r="F113" s="452">
        <f>F17+F29</f>
        <v>88110814.311921448</v>
      </c>
      <c r="G113" s="499"/>
      <c r="H113" s="499"/>
      <c r="I113" s="452">
        <f>I17+I29</f>
        <v>87250411.776516512</v>
      </c>
      <c r="J113" s="452"/>
      <c r="K113" s="503">
        <f>I113-F113</f>
        <v>-860402.53540493548</v>
      </c>
      <c r="M113" s="500"/>
    </row>
    <row r="114" spans="2:13" x14ac:dyDescent="0.2">
      <c r="B114" s="502" t="s">
        <v>458</v>
      </c>
      <c r="C114" s="452"/>
      <c r="D114" s="498"/>
      <c r="E114" s="452"/>
      <c r="F114" s="452">
        <f>F62+F81</f>
        <v>25558955.192637678</v>
      </c>
      <c r="G114" s="499"/>
      <c r="H114" s="499"/>
      <c r="I114" s="452">
        <f>I62+I81</f>
        <v>30171701.642526381</v>
      </c>
      <c r="J114" s="452"/>
      <c r="K114" s="503">
        <f>I114-F114</f>
        <v>4612746.4498887025</v>
      </c>
      <c r="M114" s="504"/>
    </row>
    <row r="115" spans="2:13" x14ac:dyDescent="0.2">
      <c r="B115" s="502" t="s">
        <v>113</v>
      </c>
      <c r="C115" s="452"/>
      <c r="D115" s="498"/>
      <c r="E115" s="452"/>
      <c r="F115" s="505">
        <f>SUM(F113:F114)</f>
        <v>113669769.50455913</v>
      </c>
      <c r="G115" s="499"/>
      <c r="H115" s="499"/>
      <c r="I115" s="505">
        <f>SUM(I113:I114)</f>
        <v>117422113.41904289</v>
      </c>
      <c r="J115" s="452"/>
      <c r="K115" s="505">
        <f>SUM(K113:K114)</f>
        <v>3752343.914483767</v>
      </c>
      <c r="M115" s="504"/>
    </row>
    <row r="116" spans="2:13" x14ac:dyDescent="0.2">
      <c r="C116" s="452"/>
      <c r="D116" s="498"/>
      <c r="E116" s="452"/>
      <c r="F116" s="452"/>
      <c r="G116" s="499"/>
      <c r="H116" s="499"/>
      <c r="I116" s="452"/>
      <c r="J116" s="452"/>
      <c r="K116" s="503"/>
      <c r="M116" s="504"/>
    </row>
    <row r="117" spans="2:13" x14ac:dyDescent="0.2">
      <c r="B117" s="212" t="s">
        <v>459</v>
      </c>
      <c r="C117" s="452"/>
      <c r="D117" s="498"/>
      <c r="E117" s="452"/>
      <c r="F117" s="452"/>
      <c r="G117" s="499"/>
      <c r="H117" s="499"/>
      <c r="I117" s="452"/>
      <c r="J117" s="452"/>
      <c r="K117" s="503"/>
      <c r="M117" s="504"/>
    </row>
    <row r="118" spans="2:13" x14ac:dyDescent="0.2">
      <c r="B118" s="502" t="s">
        <v>460</v>
      </c>
      <c r="C118" s="452"/>
      <c r="D118" s="498"/>
      <c r="E118" s="452"/>
      <c r="F118" s="452">
        <f>F15+F27</f>
        <v>88442624.13000001</v>
      </c>
      <c r="G118" s="452"/>
      <c r="H118" s="499"/>
      <c r="I118" s="452">
        <f>I15+I27</f>
        <v>87006528.950000003</v>
      </c>
      <c r="J118" s="452"/>
      <c r="K118" s="503">
        <f>I118-F118</f>
        <v>-1436095.1800000072</v>
      </c>
      <c r="L118" s="492">
        <f>K118/F118</f>
        <v>-1.6237591253388414E-2</v>
      </c>
      <c r="M118" s="504"/>
    </row>
    <row r="119" spans="2:13" x14ac:dyDescent="0.2">
      <c r="B119" s="502" t="s">
        <v>458</v>
      </c>
      <c r="C119" s="452"/>
      <c r="D119" s="498"/>
      <c r="E119" s="452"/>
      <c r="F119" s="452">
        <f>F57+F79</f>
        <v>18493766.639036074</v>
      </c>
      <c r="G119" s="452"/>
      <c r="H119" s="499"/>
      <c r="I119" s="452">
        <f>I57+I79</f>
        <v>18193306.05245477</v>
      </c>
      <c r="J119" s="452"/>
      <c r="K119" s="503">
        <f>I119-F119</f>
        <v>-300460.58658130467</v>
      </c>
      <c r="L119" s="492">
        <f>K119/F119</f>
        <v>-1.6246586887665258E-2</v>
      </c>
      <c r="M119" s="504"/>
    </row>
    <row r="120" spans="2:13" x14ac:dyDescent="0.2">
      <c r="B120" s="502" t="s">
        <v>113</v>
      </c>
      <c r="C120" s="452"/>
      <c r="D120" s="498"/>
      <c r="E120" s="452"/>
      <c r="F120" s="505">
        <f>SUM(F118:F119)</f>
        <v>106936390.76903608</v>
      </c>
      <c r="G120" s="452"/>
      <c r="H120" s="499"/>
      <c r="I120" s="505">
        <f>SUM(I118:I119)</f>
        <v>105199835.00245477</v>
      </c>
      <c r="J120" s="452"/>
      <c r="K120" s="505">
        <f>SUM(K118:K119)</f>
        <v>-1736555.7665813118</v>
      </c>
      <c r="L120" s="492">
        <f>K120/F120</f>
        <v>-1.6239146974129405E-2</v>
      </c>
      <c r="M120" s="504"/>
    </row>
    <row r="121" spans="2:13" x14ac:dyDescent="0.2">
      <c r="C121" s="452"/>
      <c r="D121" s="498"/>
      <c r="E121" s="452"/>
      <c r="F121" s="452"/>
      <c r="G121" s="452"/>
      <c r="H121" s="499"/>
      <c r="I121" s="452"/>
      <c r="J121" s="452"/>
      <c r="K121" s="503"/>
      <c r="M121" s="504"/>
    </row>
    <row r="122" spans="2:13" x14ac:dyDescent="0.2">
      <c r="B122" s="493" t="s">
        <v>394</v>
      </c>
      <c r="C122" s="452"/>
      <c r="D122" s="498"/>
      <c r="E122" s="452"/>
      <c r="F122" s="452"/>
      <c r="G122" s="452"/>
      <c r="H122" s="499"/>
      <c r="I122" s="452"/>
      <c r="J122" s="452"/>
      <c r="K122" s="503"/>
      <c r="M122" s="504"/>
    </row>
    <row r="123" spans="2:13" x14ac:dyDescent="0.2">
      <c r="B123" s="502" t="s">
        <v>460</v>
      </c>
      <c r="C123" s="452"/>
      <c r="D123" s="498">
        <f>D36</f>
        <v>214587104.22299999</v>
      </c>
      <c r="E123" s="452"/>
      <c r="F123" s="452">
        <f>F113+F118</f>
        <v>176553438.44192147</v>
      </c>
      <c r="G123" s="499"/>
      <c r="H123" s="499"/>
      <c r="I123" s="452">
        <f>I113+I118</f>
        <v>174256940.72651652</v>
      </c>
      <c r="J123" s="452"/>
      <c r="K123" s="503">
        <f>I123-F123</f>
        <v>-2296497.7154049575</v>
      </c>
      <c r="L123" s="492">
        <f>K123/F123</f>
        <v>-1.3007380290474531E-2</v>
      </c>
      <c r="M123" s="504"/>
    </row>
    <row r="124" spans="2:13" x14ac:dyDescent="0.2">
      <c r="B124" s="502" t="s">
        <v>458</v>
      </c>
      <c r="C124" s="452"/>
      <c r="D124" s="498">
        <f>D96</f>
        <v>83692776.103</v>
      </c>
      <c r="E124" s="452"/>
      <c r="F124" s="452">
        <f>F114+F119</f>
        <v>44052721.831673756</v>
      </c>
      <c r="G124" s="499"/>
      <c r="H124" s="499"/>
      <c r="I124" s="452">
        <f>I114+I119</f>
        <v>48365007.69498115</v>
      </c>
      <c r="J124" s="452"/>
      <c r="K124" s="503">
        <f>I124-F124</f>
        <v>4312285.8633073941</v>
      </c>
      <c r="L124" s="492">
        <f>K124/F124</f>
        <v>9.7889203754190635E-2</v>
      </c>
      <c r="M124" s="504"/>
    </row>
    <row r="125" spans="2:13" x14ac:dyDescent="0.2">
      <c r="B125" s="502" t="s">
        <v>113</v>
      </c>
      <c r="C125" s="452"/>
      <c r="D125" s="506">
        <f>SUM(D123:D124)</f>
        <v>298279880.32599998</v>
      </c>
      <c r="E125" s="452"/>
      <c r="F125" s="505">
        <f>SUM(F123:F124)</f>
        <v>220606160.27359521</v>
      </c>
      <c r="G125" s="499"/>
      <c r="H125" s="499"/>
      <c r="I125" s="505">
        <f>SUM(I123:I124)</f>
        <v>222621948.42149767</v>
      </c>
      <c r="J125" s="452"/>
      <c r="K125" s="505">
        <f>SUM(K123:K124)</f>
        <v>2015788.1479024366</v>
      </c>
      <c r="L125" s="492">
        <f>K125/F125</f>
        <v>9.1374970916608175E-3</v>
      </c>
      <c r="M125" s="504"/>
    </row>
    <row r="126" spans="2:13" x14ac:dyDescent="0.2">
      <c r="C126" s="452"/>
      <c r="D126" s="498"/>
      <c r="E126" s="452"/>
      <c r="F126" s="452"/>
      <c r="G126" s="499"/>
      <c r="H126" s="499"/>
      <c r="I126" s="452"/>
      <c r="J126" s="452"/>
      <c r="K126" s="452"/>
      <c r="M126" s="504"/>
    </row>
    <row r="127" spans="2:13" x14ac:dyDescent="0.2">
      <c r="B127" s="207" t="s">
        <v>438</v>
      </c>
      <c r="C127" s="452"/>
      <c r="D127" s="452"/>
      <c r="E127" s="452"/>
      <c r="F127" s="452"/>
      <c r="G127" s="499"/>
      <c r="H127" s="499"/>
      <c r="I127" s="452"/>
      <c r="J127" s="452"/>
      <c r="K127" s="452"/>
      <c r="M127" s="504"/>
    </row>
    <row r="128" spans="2:13" x14ac:dyDescent="0.2">
      <c r="C128" s="452"/>
      <c r="D128" s="452"/>
      <c r="E128" s="452"/>
      <c r="F128" s="452"/>
      <c r="G128" s="499"/>
      <c r="H128" s="499"/>
      <c r="I128" s="452"/>
      <c r="J128" s="452"/>
      <c r="K128" s="452"/>
      <c r="M128" s="504"/>
    </row>
    <row r="129" spans="3:13" x14ac:dyDescent="0.2">
      <c r="C129" s="452"/>
      <c r="D129" s="452"/>
      <c r="E129" s="452"/>
      <c r="F129" s="452"/>
      <c r="G129" s="499"/>
      <c r="H129" s="499"/>
      <c r="I129" s="452"/>
      <c r="J129" s="452"/>
      <c r="K129" s="452"/>
      <c r="M129" s="504"/>
    </row>
    <row r="130" spans="3:13" x14ac:dyDescent="0.2">
      <c r="C130" s="452"/>
      <c r="D130" s="452"/>
      <c r="E130" s="452"/>
      <c r="F130" s="452"/>
      <c r="G130" s="499"/>
      <c r="H130" s="499"/>
      <c r="I130" s="452"/>
      <c r="J130" s="452"/>
      <c r="K130" s="452"/>
      <c r="M130" s="504"/>
    </row>
    <row r="131" spans="3:13" x14ac:dyDescent="0.2">
      <c r="C131" s="452"/>
      <c r="D131" s="452"/>
      <c r="E131" s="452"/>
      <c r="F131" s="452"/>
      <c r="G131" s="499"/>
      <c r="H131" s="499"/>
      <c r="I131" s="452"/>
      <c r="J131" s="452"/>
      <c r="K131" s="452"/>
      <c r="M131" s="504"/>
    </row>
    <row r="132" spans="3:13" x14ac:dyDescent="0.2">
      <c r="C132" s="452"/>
      <c r="D132" s="452"/>
      <c r="E132" s="452"/>
      <c r="F132" s="452"/>
      <c r="G132" s="499"/>
      <c r="H132" s="499"/>
      <c r="I132" s="452"/>
      <c r="J132" s="452"/>
      <c r="K132" s="452"/>
      <c r="M132" s="504"/>
    </row>
    <row r="133" spans="3:13" x14ac:dyDescent="0.2">
      <c r="C133" s="452"/>
      <c r="D133" s="452"/>
      <c r="E133" s="452"/>
      <c r="F133" s="452"/>
      <c r="G133" s="499"/>
      <c r="H133" s="499"/>
      <c r="I133" s="452"/>
      <c r="J133" s="452"/>
      <c r="K133" s="452"/>
      <c r="M133" s="504"/>
    </row>
    <row r="134" spans="3:13" x14ac:dyDescent="0.2">
      <c r="C134" s="452"/>
      <c r="D134" s="452"/>
      <c r="E134" s="452"/>
      <c r="F134" s="452"/>
      <c r="G134" s="499"/>
      <c r="H134" s="499"/>
      <c r="I134" s="452"/>
      <c r="J134" s="452"/>
      <c r="K134" s="452"/>
      <c r="M134" s="504"/>
    </row>
    <row r="135" spans="3:13" x14ac:dyDescent="0.2">
      <c r="C135" s="452"/>
      <c r="D135" s="452"/>
      <c r="E135" s="452"/>
      <c r="F135" s="452"/>
      <c r="G135" s="499"/>
      <c r="H135" s="499"/>
      <c r="I135" s="452"/>
      <c r="J135" s="452"/>
      <c r="K135" s="452"/>
      <c r="M135" s="504"/>
    </row>
    <row r="136" spans="3:13" x14ac:dyDescent="0.2">
      <c r="C136" s="452"/>
      <c r="D136" s="452"/>
      <c r="E136" s="452"/>
      <c r="F136" s="452"/>
      <c r="G136" s="499"/>
      <c r="H136" s="499"/>
      <c r="I136" s="452"/>
      <c r="J136" s="452"/>
      <c r="K136" s="452"/>
      <c r="M136" s="504"/>
    </row>
    <row r="137" spans="3:13" x14ac:dyDescent="0.2">
      <c r="C137" s="452"/>
      <c r="D137" s="452"/>
      <c r="E137" s="452"/>
      <c r="F137" s="452"/>
      <c r="G137" s="499"/>
      <c r="H137" s="499"/>
      <c r="I137" s="452"/>
      <c r="J137" s="452"/>
      <c r="K137" s="452"/>
      <c r="M137" s="504"/>
    </row>
    <row r="138" spans="3:13" x14ac:dyDescent="0.2">
      <c r="C138" s="452"/>
      <c r="D138" s="452"/>
      <c r="E138" s="452"/>
      <c r="F138" s="452"/>
      <c r="G138" s="499"/>
      <c r="H138" s="499"/>
      <c r="I138" s="452"/>
      <c r="J138" s="452"/>
      <c r="K138" s="452"/>
      <c r="M138" s="504"/>
    </row>
    <row r="139" spans="3:13" x14ac:dyDescent="0.2">
      <c r="C139" s="452"/>
      <c r="D139" s="452"/>
      <c r="E139" s="452"/>
      <c r="F139" s="452"/>
      <c r="G139" s="499"/>
      <c r="H139" s="499"/>
      <c r="I139" s="452"/>
      <c r="J139" s="452"/>
      <c r="K139" s="452"/>
      <c r="M139" s="504"/>
    </row>
    <row r="140" spans="3:13" x14ac:dyDescent="0.2">
      <c r="C140" s="452"/>
      <c r="D140" s="452"/>
      <c r="E140" s="452"/>
      <c r="F140" s="452"/>
      <c r="G140" s="499"/>
      <c r="H140" s="499"/>
      <c r="I140" s="452"/>
      <c r="J140" s="452"/>
      <c r="K140" s="452"/>
      <c r="M140" s="504"/>
    </row>
    <row r="141" spans="3:13" x14ac:dyDescent="0.2">
      <c r="C141" s="452"/>
      <c r="D141" s="452"/>
      <c r="E141" s="452"/>
      <c r="F141" s="452"/>
      <c r="G141" s="499"/>
      <c r="H141" s="499"/>
      <c r="I141" s="452"/>
      <c r="J141" s="452"/>
      <c r="K141" s="452"/>
      <c r="M141" s="504"/>
    </row>
    <row r="142" spans="3:13" x14ac:dyDescent="0.2">
      <c r="C142" s="452"/>
      <c r="D142" s="452"/>
      <c r="E142" s="452"/>
      <c r="F142" s="452"/>
      <c r="G142" s="499"/>
      <c r="H142" s="499"/>
      <c r="I142" s="452"/>
      <c r="J142" s="452"/>
      <c r="K142" s="452"/>
      <c r="M142" s="504"/>
    </row>
    <row r="143" spans="3:13" x14ac:dyDescent="0.2">
      <c r="C143" s="452"/>
      <c r="D143" s="452"/>
      <c r="E143" s="452"/>
      <c r="F143" s="452"/>
      <c r="G143" s="499"/>
      <c r="H143" s="499"/>
      <c r="I143" s="452"/>
      <c r="J143" s="452"/>
      <c r="K143" s="452"/>
      <c r="M143" s="504"/>
    </row>
    <row r="144" spans="3:13" x14ac:dyDescent="0.2">
      <c r="C144" s="452"/>
      <c r="D144" s="452"/>
      <c r="E144" s="452"/>
      <c r="F144" s="452"/>
      <c r="G144" s="499"/>
      <c r="H144" s="499"/>
      <c r="I144" s="452"/>
      <c r="J144" s="452"/>
      <c r="K144" s="452"/>
      <c r="M144" s="504"/>
    </row>
    <row r="145" spans="3:13" x14ac:dyDescent="0.2">
      <c r="C145" s="452"/>
      <c r="D145" s="452"/>
      <c r="E145" s="452"/>
      <c r="F145" s="452"/>
      <c r="G145" s="499"/>
      <c r="H145" s="499"/>
      <c r="I145" s="452"/>
      <c r="J145" s="452"/>
      <c r="K145" s="452"/>
      <c r="M145" s="504"/>
    </row>
    <row r="146" spans="3:13" x14ac:dyDescent="0.2">
      <c r="C146" s="452"/>
      <c r="D146" s="452"/>
      <c r="E146" s="452"/>
      <c r="F146" s="452"/>
      <c r="G146" s="499"/>
      <c r="H146" s="499"/>
      <c r="I146" s="452"/>
      <c r="J146" s="452"/>
      <c r="K146" s="452"/>
      <c r="M146" s="504"/>
    </row>
    <row r="147" spans="3:13" x14ac:dyDescent="0.2">
      <c r="M147" s="504"/>
    </row>
    <row r="148" spans="3:13" x14ac:dyDescent="0.2">
      <c r="M148" s="504"/>
    </row>
  </sheetData>
  <mergeCells count="1">
    <mergeCell ref="K7:L7"/>
  </mergeCells>
  <printOptions horizontalCentered="1"/>
  <pageMargins left="0.5" right="0.5" top="1" bottom="0.5" header="0.75" footer="0.3"/>
  <pageSetup scale="77" fitToHeight="8" orientation="landscape" blackAndWhite="1" r:id="rId1"/>
  <headerFooter alignWithMargins="0">
    <oddFooter>&amp;L&amp;F 
&amp;A&amp;C&amp;P&amp;R&amp;D</oddFooter>
  </headerFooter>
  <rowBreaks count="2" manualBreakCount="2">
    <brk id="44" min="1" max="16" man="1"/>
    <brk id="85" min="1" max="16" man="1"/>
  </row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27"/>
  <sheetViews>
    <sheetView zoomScaleNormal="100" workbookViewId="0">
      <selection activeCell="E33" sqref="E33"/>
    </sheetView>
  </sheetViews>
  <sheetFormatPr defaultRowHeight="12.75" x14ac:dyDescent="0.2"/>
  <cols>
    <col min="1" max="1" width="2.140625" style="342" customWidth="1"/>
    <col min="2" max="2" width="27.5703125" style="342" customWidth="1"/>
    <col min="3" max="3" width="7.85546875" style="342" bestFit="1" customWidth="1"/>
    <col min="4" max="4" width="14.42578125" style="491" bestFit="1" customWidth="1"/>
    <col min="5" max="5" width="11" style="609" customWidth="1"/>
    <col min="6" max="6" width="16.5703125" style="507" customWidth="1"/>
    <col min="7" max="7" width="3" style="389" customWidth="1"/>
    <col min="8" max="8" width="17.28515625" style="610" bestFit="1" customWidth="1"/>
    <col min="9" max="9" width="17" style="507" customWidth="1"/>
    <col min="10" max="10" width="2.5703125" style="507" customWidth="1"/>
    <col min="11" max="11" width="13" style="507" customWidth="1"/>
    <col min="12" max="12" width="13.5703125" style="597" customWidth="1"/>
    <col min="13" max="13" width="2" style="357" customWidth="1"/>
    <col min="14" max="14" width="2.140625" style="512" customWidth="1"/>
    <col min="15" max="15" width="16.42578125" style="342" bestFit="1" customWidth="1"/>
    <col min="16" max="16" width="2.7109375" style="342" customWidth="1"/>
    <col min="17" max="17" width="9.28515625" style="342" bestFit="1" customWidth="1"/>
    <col min="18" max="16384" width="9.140625" style="342"/>
  </cols>
  <sheetData>
    <row r="1" spans="1:17" x14ac:dyDescent="0.2">
      <c r="B1" s="343"/>
      <c r="C1" s="343"/>
      <c r="D1" s="345"/>
      <c r="E1" s="508"/>
      <c r="F1" s="344"/>
      <c r="G1" s="509"/>
      <c r="H1" s="510"/>
      <c r="I1" s="344"/>
      <c r="J1" s="344"/>
      <c r="K1" s="344"/>
      <c r="L1" s="348"/>
      <c r="M1" s="348"/>
      <c r="N1" s="350"/>
      <c r="O1" s="343"/>
      <c r="P1" s="343"/>
      <c r="Q1" s="343"/>
    </row>
    <row r="2" spans="1:17" x14ac:dyDescent="0.2">
      <c r="B2" s="209" t="s">
        <v>1</v>
      </c>
      <c r="C2" s="209"/>
      <c r="D2" s="510"/>
      <c r="E2" s="344"/>
      <c r="F2" s="344"/>
      <c r="G2" s="510"/>
      <c r="H2" s="510"/>
      <c r="I2" s="344"/>
      <c r="J2" s="344"/>
      <c r="K2" s="344"/>
      <c r="L2" s="344"/>
      <c r="M2" s="348"/>
      <c r="N2" s="350"/>
      <c r="O2" s="343"/>
      <c r="P2" s="343"/>
      <c r="Q2" s="343"/>
    </row>
    <row r="3" spans="1:17" x14ac:dyDescent="0.2">
      <c r="B3" s="697" t="s">
        <v>541</v>
      </c>
      <c r="C3" s="209"/>
      <c r="D3" s="510"/>
      <c r="E3" s="344"/>
      <c r="F3" s="344"/>
      <c r="G3" s="510"/>
      <c r="H3" s="510"/>
      <c r="I3" s="344"/>
      <c r="J3" s="344"/>
      <c r="K3" s="344"/>
      <c r="L3" s="344"/>
      <c r="M3" s="348"/>
      <c r="N3" s="350"/>
      <c r="O3" s="343"/>
      <c r="P3" s="343"/>
      <c r="Q3" s="343"/>
    </row>
    <row r="4" spans="1:17" x14ac:dyDescent="0.2">
      <c r="B4" s="697" t="s">
        <v>531</v>
      </c>
      <c r="C4" s="209"/>
      <c r="D4" s="510"/>
      <c r="E4" s="344"/>
      <c r="F4" s="344"/>
      <c r="G4" s="510"/>
      <c r="H4" s="510"/>
      <c r="I4" s="344"/>
      <c r="J4" s="344"/>
      <c r="K4" s="344"/>
      <c r="L4" s="344"/>
      <c r="M4" s="348"/>
      <c r="N4" s="350"/>
      <c r="O4" s="343"/>
      <c r="P4" s="343"/>
      <c r="Q4" s="343"/>
    </row>
    <row r="5" spans="1:17" x14ac:dyDescent="0.2">
      <c r="B5" s="209" t="s">
        <v>408</v>
      </c>
      <c r="C5" s="209"/>
      <c r="D5" s="345"/>
      <c r="E5" s="508"/>
      <c r="F5" s="344"/>
      <c r="G5" s="509"/>
      <c r="H5" s="510"/>
      <c r="I5" s="344"/>
      <c r="J5" s="344"/>
      <c r="K5" s="344"/>
      <c r="L5" s="348"/>
      <c r="M5" s="348"/>
      <c r="N5" s="350"/>
      <c r="O5" s="351"/>
      <c r="P5" s="343"/>
      <c r="Q5" s="343"/>
    </row>
    <row r="6" spans="1:17" s="359" customFormat="1" x14ac:dyDescent="0.2">
      <c r="B6" s="511"/>
      <c r="C6" s="351"/>
      <c r="D6" s="403"/>
      <c r="E6" s="415"/>
      <c r="F6" s="473"/>
      <c r="G6" s="389"/>
      <c r="H6" s="444"/>
      <c r="I6" s="473"/>
      <c r="J6" s="473"/>
      <c r="K6" s="473"/>
      <c r="L6" s="512"/>
      <c r="M6" s="373"/>
      <c r="N6" s="373"/>
    </row>
    <row r="7" spans="1:17" x14ac:dyDescent="0.2">
      <c r="B7" s="361"/>
      <c r="C7" s="362"/>
      <c r="D7" s="513" t="s">
        <v>409</v>
      </c>
      <c r="E7" s="227" t="s">
        <v>410</v>
      </c>
      <c r="F7" s="364"/>
      <c r="G7" s="513"/>
      <c r="H7" s="514" t="s">
        <v>411</v>
      </c>
      <c r="I7" s="364"/>
      <c r="J7" s="367"/>
      <c r="K7" s="849" t="s">
        <v>412</v>
      </c>
      <c r="L7" s="850"/>
      <c r="M7" s="373"/>
      <c r="N7" s="350"/>
      <c r="O7" s="231" t="s">
        <v>413</v>
      </c>
      <c r="Q7" s="232" t="s">
        <v>414</v>
      </c>
    </row>
    <row r="8" spans="1:17" x14ac:dyDescent="0.2">
      <c r="B8" s="369" t="s">
        <v>116</v>
      </c>
      <c r="C8" s="515" t="s">
        <v>2</v>
      </c>
      <c r="D8" s="516" t="s">
        <v>415</v>
      </c>
      <c r="E8" s="517" t="s">
        <v>7</v>
      </c>
      <c r="F8" s="371" t="s">
        <v>416</v>
      </c>
      <c r="G8" s="516"/>
      <c r="H8" s="424" t="s">
        <v>7</v>
      </c>
      <c r="I8" s="371" t="s">
        <v>416</v>
      </c>
      <c r="J8" s="371"/>
      <c r="K8" s="371" t="s">
        <v>417</v>
      </c>
      <c r="L8" s="518" t="s">
        <v>418</v>
      </c>
      <c r="M8" s="373"/>
      <c r="N8" s="238"/>
      <c r="O8" s="239" t="s">
        <v>419</v>
      </c>
      <c r="Q8" s="240" t="s">
        <v>420</v>
      </c>
    </row>
    <row r="9" spans="1:17" x14ac:dyDescent="0.2">
      <c r="A9" s="359"/>
      <c r="B9" s="419"/>
      <c r="C9" s="407"/>
      <c r="D9" s="389"/>
      <c r="E9" s="415"/>
      <c r="F9" s="473"/>
      <c r="G9" s="440"/>
      <c r="H9" s="444"/>
      <c r="I9" s="404"/>
      <c r="J9" s="404"/>
      <c r="K9" s="473"/>
      <c r="L9" s="519"/>
      <c r="M9" s="373"/>
      <c r="O9" s="359"/>
    </row>
    <row r="10" spans="1:17" x14ac:dyDescent="0.2">
      <c r="B10" s="378" t="s">
        <v>461</v>
      </c>
      <c r="C10" s="520"/>
      <c r="D10" s="382"/>
      <c r="E10" s="521"/>
      <c r="F10" s="381"/>
      <c r="G10" s="522"/>
      <c r="H10" s="523"/>
      <c r="I10" s="524"/>
      <c r="J10" s="524"/>
      <c r="K10" s="381"/>
      <c r="L10" s="525"/>
      <c r="M10" s="373"/>
      <c r="N10" s="373"/>
      <c r="O10" s="392" t="s">
        <v>462</v>
      </c>
    </row>
    <row r="11" spans="1:17" x14ac:dyDescent="0.2">
      <c r="B11" s="386"/>
      <c r="C11" s="359"/>
      <c r="D11" s="389"/>
      <c r="E11" s="415"/>
      <c r="F11" s="388"/>
      <c r="G11" s="440"/>
      <c r="H11" s="444"/>
      <c r="I11" s="430"/>
      <c r="J11" s="404"/>
      <c r="K11" s="388"/>
      <c r="L11" s="526"/>
      <c r="M11" s="373"/>
      <c r="N11" s="373"/>
      <c r="O11" s="398">
        <v>-148896.05400749875</v>
      </c>
    </row>
    <row r="12" spans="1:17" x14ac:dyDescent="0.2">
      <c r="B12" s="472" t="s">
        <v>423</v>
      </c>
      <c r="C12" s="527" t="s">
        <v>22</v>
      </c>
      <c r="D12" s="395">
        <v>329.72400330954827</v>
      </c>
      <c r="E12" s="396">
        <v>563.45000000000005</v>
      </c>
      <c r="F12" s="388">
        <f>ROUND(D12*E12,2)</f>
        <v>185782.99</v>
      </c>
      <c r="H12" s="479">
        <f>ROUND(E12*(1+$O$18),2)</f>
        <v>548.57000000000005</v>
      </c>
      <c r="I12" s="430">
        <f>ROUND(D12*H12,2)</f>
        <v>180876.7</v>
      </c>
      <c r="J12" s="404"/>
      <c r="K12" s="388">
        <f>I12-F12</f>
        <v>-4906.289999999979</v>
      </c>
      <c r="L12" s="526"/>
      <c r="M12" s="373"/>
      <c r="N12" s="528"/>
      <c r="O12" s="402" t="s">
        <v>425</v>
      </c>
      <c r="Q12" s="261">
        <f>H12/E12-1</f>
        <v>-2.6408731919424944E-2</v>
      </c>
    </row>
    <row r="13" spans="1:17" x14ac:dyDescent="0.2">
      <c r="B13" s="484" t="s">
        <v>395</v>
      </c>
      <c r="C13" s="399" t="s">
        <v>29</v>
      </c>
      <c r="D13" s="395">
        <v>110230.038</v>
      </c>
      <c r="E13" s="396">
        <v>1.1499999999999999</v>
      </c>
      <c r="F13" s="388">
        <f>ROUND(D13*E13,2)</f>
        <v>126764.54</v>
      </c>
      <c r="H13" s="396">
        <v>1.21</v>
      </c>
      <c r="I13" s="430">
        <f>ROUND(D13*H13,2)</f>
        <v>133378.35</v>
      </c>
      <c r="J13" s="404"/>
      <c r="K13" s="388">
        <f>I13-F13</f>
        <v>6613.8100000000122</v>
      </c>
      <c r="L13" s="526"/>
      <c r="M13" s="373"/>
      <c r="N13" s="528"/>
      <c r="O13" s="529">
        <f>K21+K43-O11</f>
        <v>-8.2308864813821856</v>
      </c>
      <c r="Q13" s="261">
        <f>H13/E13-1</f>
        <v>5.2173913043478404E-2</v>
      </c>
    </row>
    <row r="14" spans="1:17" x14ac:dyDescent="0.2">
      <c r="B14" s="386" t="s">
        <v>441</v>
      </c>
      <c r="C14" s="399" t="s">
        <v>10</v>
      </c>
      <c r="D14" s="389">
        <f>D21</f>
        <v>17139795.438999999</v>
      </c>
      <c r="E14" s="400">
        <v>6.8199999999999997E-3</v>
      </c>
      <c r="F14" s="388">
        <f>E14*D14</f>
        <v>116893.40489397998</v>
      </c>
      <c r="H14" s="400">
        <v>7.4700000000000001E-3</v>
      </c>
      <c r="I14" s="430">
        <f>ROUND(D14*H14,2)</f>
        <v>128034.27</v>
      </c>
      <c r="J14" s="473"/>
      <c r="K14" s="388">
        <f>I14-F14</f>
        <v>11140.865106020021</v>
      </c>
      <c r="L14" s="526"/>
      <c r="M14" s="373"/>
      <c r="N14" s="528"/>
      <c r="O14" s="410"/>
      <c r="Q14" s="261">
        <f>H14/E14-1</f>
        <v>9.5307917888563187E-2</v>
      </c>
    </row>
    <row r="15" spans="1:17" x14ac:dyDescent="0.2">
      <c r="B15" s="484" t="s">
        <v>463</v>
      </c>
      <c r="C15" s="399"/>
      <c r="D15" s="389"/>
      <c r="E15" s="437"/>
      <c r="F15" s="530">
        <v>35324.22</v>
      </c>
      <c r="H15" s="453"/>
      <c r="I15" s="454">
        <f>F15</f>
        <v>35324.22</v>
      </c>
      <c r="J15" s="473"/>
      <c r="K15" s="388">
        <f>I15-F15</f>
        <v>0</v>
      </c>
      <c r="L15" s="526"/>
      <c r="M15" s="373"/>
      <c r="N15" s="373"/>
      <c r="O15" s="410"/>
    </row>
    <row r="16" spans="1:17" x14ac:dyDescent="0.2">
      <c r="B16" s="386"/>
      <c r="C16" s="359"/>
      <c r="D16" s="389"/>
      <c r="E16" s="437"/>
      <c r="F16" s="388"/>
      <c r="H16" s="453"/>
      <c r="I16" s="430"/>
      <c r="J16" s="404"/>
      <c r="K16" s="388"/>
      <c r="L16" s="526"/>
      <c r="M16" s="373"/>
      <c r="N16" s="373"/>
      <c r="O16" s="531"/>
    </row>
    <row r="17" spans="2:17" x14ac:dyDescent="0.2">
      <c r="B17" s="484" t="s">
        <v>448</v>
      </c>
      <c r="C17" s="359"/>
      <c r="D17" s="389"/>
      <c r="E17" s="437"/>
      <c r="F17" s="388"/>
      <c r="H17" s="453"/>
      <c r="I17" s="430"/>
      <c r="J17" s="404"/>
      <c r="K17" s="388"/>
      <c r="L17" s="526"/>
      <c r="M17" s="373"/>
      <c r="N17" s="373"/>
      <c r="O17" s="531"/>
    </row>
    <row r="18" spans="2:17" x14ac:dyDescent="0.2">
      <c r="B18" s="386" t="s">
        <v>464</v>
      </c>
      <c r="C18" s="399" t="s">
        <v>10</v>
      </c>
      <c r="D18" s="395">
        <v>7604132.790000001</v>
      </c>
      <c r="E18" s="400">
        <v>0.10206</v>
      </c>
      <c r="F18" s="388">
        <f>ROUND(D18*E18,2)</f>
        <v>776077.79</v>
      </c>
      <c r="H18" s="401">
        <f>ROUND(E18*(1+$O$18),5)</f>
        <v>9.9360000000000004E-2</v>
      </c>
      <c r="I18" s="430">
        <f>ROUND(D18*H18,2)</f>
        <v>755546.63</v>
      </c>
      <c r="J18" s="404"/>
      <c r="K18" s="388">
        <f>I18-F18</f>
        <v>-20531.160000000033</v>
      </c>
      <c r="L18" s="526"/>
      <c r="M18" s="373"/>
      <c r="N18" s="528"/>
      <c r="O18" s="413">
        <v>-2.6406574664256333E-2</v>
      </c>
      <c r="P18" s="532"/>
      <c r="Q18" s="261">
        <f>H18/E18-1</f>
        <v>-2.6455026455026398E-2</v>
      </c>
    </row>
    <row r="19" spans="2:17" x14ac:dyDescent="0.2">
      <c r="B19" s="386" t="s">
        <v>465</v>
      </c>
      <c r="C19" s="399" t="s">
        <v>10</v>
      </c>
      <c r="D19" s="395">
        <v>4221473.3529999992</v>
      </c>
      <c r="E19" s="400">
        <v>5.0500000000000003E-2</v>
      </c>
      <c r="F19" s="388">
        <f>ROUND(D19*E19,2)</f>
        <v>213184.4</v>
      </c>
      <c r="H19" s="401">
        <f>ROUND(E19*(1+$O$18),5)</f>
        <v>4.9169999999999998E-2</v>
      </c>
      <c r="I19" s="430">
        <f>ROUND(D19*H19,2)</f>
        <v>207569.84</v>
      </c>
      <c r="J19" s="404"/>
      <c r="K19" s="388">
        <f>I19-F19</f>
        <v>-5614.5599999999977</v>
      </c>
      <c r="L19" s="526"/>
      <c r="M19" s="373"/>
      <c r="N19" s="528"/>
      <c r="O19" s="437"/>
      <c r="P19" s="437"/>
      <c r="Q19" s="261">
        <f>H19/E19-1</f>
        <v>-2.6336633663366471E-2</v>
      </c>
    </row>
    <row r="20" spans="2:17" x14ac:dyDescent="0.2">
      <c r="B20" s="386" t="s">
        <v>466</v>
      </c>
      <c r="C20" s="399" t="s">
        <v>10</v>
      </c>
      <c r="D20" s="395">
        <v>5314189.2960000001</v>
      </c>
      <c r="E20" s="400">
        <v>4.8320000000000002E-2</v>
      </c>
      <c r="F20" s="388">
        <f>ROUND(D20*E20,2)</f>
        <v>256781.63</v>
      </c>
      <c r="H20" s="401">
        <f>ROUND(E20*(1+$O$18),5)</f>
        <v>4.7039999999999998E-2</v>
      </c>
      <c r="I20" s="430">
        <f>ROUND(D20*H20,2)</f>
        <v>249979.46</v>
      </c>
      <c r="J20" s="404"/>
      <c r="K20" s="388">
        <f>I20-F20</f>
        <v>-6802.1700000000128</v>
      </c>
      <c r="L20" s="391"/>
      <c r="M20" s="373"/>
      <c r="N20" s="528"/>
      <c r="O20" s="437"/>
      <c r="P20" s="437"/>
      <c r="Q20" s="261">
        <f>H20/E20-1</f>
        <v>-2.6490066225165587E-2</v>
      </c>
    </row>
    <row r="21" spans="2:17" x14ac:dyDescent="0.2">
      <c r="B21" s="281" t="s">
        <v>429</v>
      </c>
      <c r="C21" s="407"/>
      <c r="D21" s="382">
        <f>SUM(D18:D20)</f>
        <v>17139795.438999999</v>
      </c>
      <c r="E21" s="473"/>
      <c r="F21" s="465">
        <f>SUM(F12:F20)</f>
        <v>1710808.9748939797</v>
      </c>
      <c r="H21" s="444"/>
      <c r="I21" s="465">
        <f>SUM(I12:I20)</f>
        <v>1690709.47</v>
      </c>
      <c r="J21" s="404"/>
      <c r="K21" s="465">
        <f>SUM(K12:K20)</f>
        <v>-20099.504893979989</v>
      </c>
      <c r="L21" s="533">
        <f>K21/F21</f>
        <v>-1.174853837508397E-2</v>
      </c>
      <c r="M21" s="373"/>
      <c r="N21" s="373"/>
      <c r="O21" s="534"/>
      <c r="P21" s="467"/>
      <c r="Q21" s="468"/>
    </row>
    <row r="22" spans="2:17" ht="12.75" customHeight="1" x14ac:dyDescent="0.2">
      <c r="B22" s="419"/>
      <c r="C22" s="407"/>
      <c r="D22" s="389"/>
      <c r="E22" s="473"/>
      <c r="F22" s="430"/>
      <c r="H22" s="444"/>
      <c r="I22" s="430"/>
      <c r="J22" s="404"/>
      <c r="K22" s="388"/>
      <c r="L22" s="526"/>
      <c r="M22" s="373"/>
      <c r="N22" s="373"/>
      <c r="O22" s="535"/>
      <c r="P22" s="495"/>
      <c r="Q22" s="496"/>
    </row>
    <row r="23" spans="2:17" ht="12.75" customHeight="1" x14ac:dyDescent="0.2">
      <c r="B23" s="249" t="s">
        <v>426</v>
      </c>
      <c r="C23" s="407"/>
      <c r="D23" s="389"/>
      <c r="E23" s="473"/>
      <c r="F23" s="430"/>
      <c r="H23" s="444"/>
      <c r="I23" s="430"/>
      <c r="J23" s="404"/>
      <c r="K23" s="388"/>
      <c r="L23" s="526"/>
      <c r="M23" s="373"/>
      <c r="N23" s="373"/>
      <c r="O23" s="535"/>
      <c r="P23" s="495"/>
      <c r="Q23" s="496"/>
    </row>
    <row r="24" spans="2:17" x14ac:dyDescent="0.2">
      <c r="B24" s="484" t="s">
        <v>451</v>
      </c>
      <c r="C24" s="399" t="s">
        <v>10</v>
      </c>
      <c r="D24" s="536">
        <f>D21</f>
        <v>17139795.438999999</v>
      </c>
      <c r="E24" s="400">
        <v>0.35809000000000002</v>
      </c>
      <c r="F24" s="430">
        <f>D24*E24</f>
        <v>6137589.3487515105</v>
      </c>
      <c r="G24" s="537"/>
      <c r="H24" s="400">
        <v>0.39240999999999998</v>
      </c>
      <c r="I24" s="430">
        <f>$D24*H24</f>
        <v>6725827.1282179896</v>
      </c>
      <c r="J24" s="404"/>
      <c r="K24" s="388">
        <f>I24-F24</f>
        <v>588237.77946647909</v>
      </c>
      <c r="L24" s="526"/>
      <c r="M24" s="373"/>
      <c r="N24" s="538"/>
    </row>
    <row r="25" spans="2:17" x14ac:dyDescent="0.2">
      <c r="B25" s="484" t="s">
        <v>395</v>
      </c>
      <c r="C25" s="399" t="s">
        <v>29</v>
      </c>
      <c r="D25" s="536">
        <f>D13</f>
        <v>110230.038</v>
      </c>
      <c r="E25" s="396">
        <v>1.05</v>
      </c>
      <c r="F25" s="430">
        <f>D25*E25</f>
        <v>115741.5399</v>
      </c>
      <c r="G25" s="537"/>
      <c r="H25" s="396">
        <v>1.05</v>
      </c>
      <c r="I25" s="430">
        <f>$D25*H25</f>
        <v>115741.5399</v>
      </c>
      <c r="J25" s="404"/>
      <c r="K25" s="388">
        <f>I25-F25</f>
        <v>0</v>
      </c>
      <c r="L25" s="391"/>
      <c r="M25" s="373"/>
      <c r="N25" s="373"/>
    </row>
    <row r="26" spans="2:17" x14ac:dyDescent="0.2">
      <c r="B26" s="472" t="s">
        <v>452</v>
      </c>
      <c r="C26" s="407"/>
      <c r="D26" s="390"/>
      <c r="E26" s="473"/>
      <c r="F26" s="465">
        <f>SUM(F24:F25)</f>
        <v>6253330.8886515107</v>
      </c>
      <c r="G26" s="390"/>
      <c r="H26" s="444"/>
      <c r="I26" s="465">
        <f>SUM(I24:I25)</f>
        <v>6841568.6681179898</v>
      </c>
      <c r="J26" s="473"/>
      <c r="K26" s="465">
        <f>SUM(K24:K25)</f>
        <v>588237.77946647909</v>
      </c>
      <c r="L26" s="533">
        <f>ROUND(K26/F26,5)</f>
        <v>9.4070000000000001E-2</v>
      </c>
      <c r="M26" s="373"/>
      <c r="N26" s="373"/>
      <c r="O26" s="535"/>
      <c r="P26" s="495"/>
      <c r="Q26" s="496"/>
    </row>
    <row r="27" spans="2:17" x14ac:dyDescent="0.2">
      <c r="B27" s="386"/>
      <c r="C27" s="359"/>
      <c r="D27" s="389"/>
      <c r="E27" s="444"/>
      <c r="F27" s="430"/>
      <c r="H27" s="444"/>
      <c r="I27" s="430"/>
      <c r="J27" s="404"/>
      <c r="K27" s="388"/>
      <c r="L27" s="391"/>
      <c r="M27" s="373"/>
      <c r="N27" s="373"/>
    </row>
    <row r="28" spans="2:17" x14ac:dyDescent="0.2">
      <c r="B28" s="386" t="s">
        <v>427</v>
      </c>
      <c r="C28" s="359"/>
      <c r="D28" s="389"/>
      <c r="E28" s="453"/>
      <c r="F28" s="465">
        <f>F21+F26</f>
        <v>7964139.8635454904</v>
      </c>
      <c r="H28" s="444"/>
      <c r="I28" s="465">
        <f>I21+I26</f>
        <v>8532278.1381179895</v>
      </c>
      <c r="J28" s="404"/>
      <c r="K28" s="465">
        <f>K21+K26</f>
        <v>568138.2745724991</v>
      </c>
      <c r="L28" s="533">
        <f>K28/F28</f>
        <v>7.1337053882372964E-2</v>
      </c>
      <c r="M28" s="373"/>
      <c r="N28" s="373"/>
    </row>
    <row r="29" spans="2:17" x14ac:dyDescent="0.2">
      <c r="B29" s="386"/>
      <c r="C29" s="359"/>
      <c r="D29" s="403"/>
      <c r="E29" s="453"/>
      <c r="F29" s="397"/>
      <c r="H29" s="444"/>
      <c r="I29" s="430"/>
      <c r="J29" s="404"/>
      <c r="K29" s="388"/>
      <c r="L29" s="391"/>
      <c r="M29" s="373"/>
      <c r="N29" s="373"/>
    </row>
    <row r="30" spans="2:17" x14ac:dyDescent="0.2">
      <c r="B30" s="421"/>
      <c r="C30" s="539"/>
      <c r="D30" s="540"/>
      <c r="E30" s="541"/>
      <c r="F30" s="428"/>
      <c r="G30" s="540"/>
      <c r="H30" s="542"/>
      <c r="I30" s="428"/>
      <c r="J30" s="543"/>
      <c r="K30" s="428"/>
      <c r="L30" s="429"/>
      <c r="M30" s="373"/>
      <c r="N30" s="373"/>
    </row>
    <row r="31" spans="2:17" x14ac:dyDescent="0.2">
      <c r="B31" s="390"/>
      <c r="C31" s="390"/>
      <c r="D31" s="389"/>
      <c r="E31" s="453"/>
      <c r="F31" s="397"/>
      <c r="H31" s="444"/>
      <c r="I31" s="544"/>
      <c r="J31" s="545"/>
      <c r="K31" s="397"/>
      <c r="L31" s="477"/>
      <c r="M31" s="373"/>
      <c r="N31" s="373"/>
    </row>
    <row r="32" spans="2:17" x14ac:dyDescent="0.2">
      <c r="B32" s="378" t="s">
        <v>467</v>
      </c>
      <c r="C32" s="520"/>
      <c r="D32" s="382"/>
      <c r="E32" s="521"/>
      <c r="F32" s="381"/>
      <c r="G32" s="522"/>
      <c r="H32" s="523"/>
      <c r="I32" s="524"/>
      <c r="J32" s="524"/>
      <c r="K32" s="381"/>
      <c r="L32" s="525"/>
      <c r="M32" s="373"/>
      <c r="N32" s="373"/>
      <c r="O32" s="546"/>
      <c r="P32" s="478"/>
      <c r="Q32" s="389"/>
    </row>
    <row r="33" spans="2:17" x14ac:dyDescent="0.2">
      <c r="B33" s="386"/>
      <c r="C33" s="359"/>
      <c r="D33" s="389"/>
      <c r="E33" s="415"/>
      <c r="F33" s="388"/>
      <c r="G33" s="440"/>
      <c r="H33" s="444"/>
      <c r="I33" s="430"/>
      <c r="J33" s="404"/>
      <c r="K33" s="388"/>
      <c r="L33" s="526"/>
      <c r="M33" s="373"/>
      <c r="N33" s="373"/>
      <c r="O33" s="390"/>
      <c r="P33" s="390"/>
      <c r="Q33" s="389"/>
    </row>
    <row r="34" spans="2:17" x14ac:dyDescent="0.2">
      <c r="B34" s="472" t="s">
        <v>423</v>
      </c>
      <c r="C34" s="527" t="s">
        <v>22</v>
      </c>
      <c r="D34" s="395">
        <v>1264.063439933019</v>
      </c>
      <c r="E34" s="396">
        <v>901.5</v>
      </c>
      <c r="F34" s="388">
        <f>ROUND(D34*E34,2)</f>
        <v>1139553.19</v>
      </c>
      <c r="H34" s="479">
        <f>ROUND(E34*(1+$O$18),2)</f>
        <v>877.69</v>
      </c>
      <c r="I34" s="430">
        <f>ROUND(D34*H34,2)</f>
        <v>1109455.8400000001</v>
      </c>
      <c r="J34" s="404"/>
      <c r="K34" s="388">
        <f>I34-F34</f>
        <v>-30097.34999999986</v>
      </c>
      <c r="L34" s="526"/>
      <c r="M34" s="373"/>
      <c r="N34" s="373"/>
      <c r="O34" s="478"/>
      <c r="P34" s="478"/>
      <c r="Q34" s="261">
        <f>H34/E34-1</f>
        <v>-2.6411536328341589E-2</v>
      </c>
    </row>
    <row r="35" spans="2:17" x14ac:dyDescent="0.2">
      <c r="B35" s="484" t="s">
        <v>395</v>
      </c>
      <c r="C35" s="399" t="s">
        <v>29</v>
      </c>
      <c r="D35" s="395">
        <v>748907.66700000013</v>
      </c>
      <c r="E35" s="396">
        <v>1.1499999999999999</v>
      </c>
      <c r="F35" s="388">
        <f>ROUND(D35*E35,2)</f>
        <v>861243.82</v>
      </c>
      <c r="H35" s="444">
        <f>$H$13</f>
        <v>1.21</v>
      </c>
      <c r="I35" s="430">
        <f>ROUND(D35*H35,2)</f>
        <v>906178.28</v>
      </c>
      <c r="J35" s="404"/>
      <c r="K35" s="388">
        <f>I35-F35</f>
        <v>44934.460000000079</v>
      </c>
      <c r="L35" s="526"/>
      <c r="M35" s="373"/>
      <c r="N35" s="373"/>
      <c r="O35" s="460"/>
      <c r="P35" s="460"/>
      <c r="Q35" s="261">
        <f>H35/E35-1</f>
        <v>5.2173913043478404E-2</v>
      </c>
    </row>
    <row r="36" spans="2:17" x14ac:dyDescent="0.2">
      <c r="B36" s="484" t="s">
        <v>463</v>
      </c>
      <c r="C36" s="399"/>
      <c r="D36" s="395"/>
      <c r="E36" s="396"/>
      <c r="F36" s="547">
        <v>26487.829999999994</v>
      </c>
      <c r="H36" s="444"/>
      <c r="I36" s="548">
        <f>F36</f>
        <v>26487.829999999994</v>
      </c>
      <c r="J36" s="404"/>
      <c r="K36" s="388">
        <f>I36-F36</f>
        <v>0</v>
      </c>
      <c r="L36" s="526"/>
      <c r="M36" s="373"/>
      <c r="N36" s="373"/>
      <c r="O36" s="460"/>
      <c r="P36" s="460"/>
      <c r="Q36" s="482"/>
    </row>
    <row r="37" spans="2:17" x14ac:dyDescent="0.2">
      <c r="B37" s="484"/>
      <c r="C37" s="399"/>
      <c r="D37" s="395"/>
      <c r="E37" s="400"/>
      <c r="F37" s="359"/>
      <c r="H37" s="453"/>
      <c r="I37" s="359"/>
      <c r="J37" s="473"/>
      <c r="K37" s="388"/>
      <c r="L37" s="526"/>
      <c r="M37" s="373"/>
      <c r="N37" s="373"/>
      <c r="O37" s="390"/>
      <c r="P37" s="460"/>
      <c r="Q37" s="389"/>
    </row>
    <row r="38" spans="2:17" x14ac:dyDescent="0.2">
      <c r="B38" s="386"/>
      <c r="C38" s="359"/>
      <c r="D38" s="395"/>
      <c r="E38" s="400"/>
      <c r="F38" s="388"/>
      <c r="H38" s="453"/>
      <c r="I38" s="430"/>
      <c r="J38" s="404"/>
      <c r="K38" s="388"/>
      <c r="L38" s="526"/>
      <c r="M38" s="373"/>
      <c r="N38" s="373"/>
      <c r="O38" s="399"/>
      <c r="P38" s="390"/>
      <c r="Q38" s="389"/>
    </row>
    <row r="39" spans="2:17" x14ac:dyDescent="0.2">
      <c r="B39" s="484" t="s">
        <v>448</v>
      </c>
      <c r="C39" s="359"/>
      <c r="D39" s="395"/>
      <c r="E39" s="400"/>
      <c r="F39" s="388"/>
      <c r="H39" s="453"/>
      <c r="I39" s="430"/>
      <c r="J39" s="404"/>
      <c r="K39" s="388"/>
      <c r="L39" s="526"/>
      <c r="M39" s="373"/>
      <c r="N39" s="373"/>
      <c r="O39" s="390"/>
      <c r="P39" s="390"/>
      <c r="Q39" s="389"/>
    </row>
    <row r="40" spans="2:17" x14ac:dyDescent="0.2">
      <c r="B40" s="386" t="s">
        <v>464</v>
      </c>
      <c r="C40" s="399" t="s">
        <v>10</v>
      </c>
      <c r="D40" s="395">
        <v>28841779.980000004</v>
      </c>
      <c r="E40" s="400">
        <v>0.10206</v>
      </c>
      <c r="F40" s="388">
        <f>ROUND(D40*E40,2)</f>
        <v>2943592.06</v>
      </c>
      <c r="H40" s="401">
        <f>H18</f>
        <v>9.9360000000000004E-2</v>
      </c>
      <c r="I40" s="430">
        <f>ROUND(D40*H40,2)</f>
        <v>2865719.26</v>
      </c>
      <c r="J40" s="404"/>
      <c r="K40" s="388">
        <f>I40-F40</f>
        <v>-77872.800000000279</v>
      </c>
      <c r="L40" s="526"/>
      <c r="M40" s="373"/>
      <c r="N40" s="373"/>
      <c r="O40" s="460"/>
      <c r="P40" s="390"/>
      <c r="Q40" s="261">
        <f>H40/E40-1</f>
        <v>-2.6455026455026398E-2</v>
      </c>
    </row>
    <row r="41" spans="2:17" x14ac:dyDescent="0.2">
      <c r="B41" s="386" t="s">
        <v>465</v>
      </c>
      <c r="C41" s="399" t="s">
        <v>10</v>
      </c>
      <c r="D41" s="395">
        <v>19041755.700000003</v>
      </c>
      <c r="E41" s="400">
        <v>5.0500000000000003E-2</v>
      </c>
      <c r="F41" s="388">
        <f>ROUND(D41*E41,2)</f>
        <v>961608.66</v>
      </c>
      <c r="H41" s="401">
        <f>H19</f>
        <v>4.9169999999999998E-2</v>
      </c>
      <c r="I41" s="430">
        <f>ROUND(D41*H41,2)</f>
        <v>936283.13</v>
      </c>
      <c r="J41" s="404"/>
      <c r="K41" s="388">
        <f>I41-F41</f>
        <v>-25325.530000000028</v>
      </c>
      <c r="L41" s="526"/>
      <c r="M41" s="373"/>
      <c r="N41" s="373"/>
      <c r="O41" s="390"/>
      <c r="P41" s="460"/>
      <c r="Q41" s="261">
        <f>H41/E41-1</f>
        <v>-2.6336633663366471E-2</v>
      </c>
    </row>
    <row r="42" spans="2:17" x14ac:dyDescent="0.2">
      <c r="B42" s="484" t="s">
        <v>468</v>
      </c>
      <c r="C42" s="399" t="s">
        <v>10</v>
      </c>
      <c r="D42" s="395">
        <v>31596529.580000002</v>
      </c>
      <c r="E42" s="400">
        <v>4.8320000000000002E-2</v>
      </c>
      <c r="F42" s="428">
        <f>ROUND(D42*E42,2)</f>
        <v>1526744.31</v>
      </c>
      <c r="H42" s="401">
        <f>H20</f>
        <v>4.7039999999999998E-2</v>
      </c>
      <c r="I42" s="430">
        <f>ROUND(D42*H42,2)</f>
        <v>1486300.75</v>
      </c>
      <c r="J42" s="404"/>
      <c r="K42" s="388">
        <f>I42-F42</f>
        <v>-40443.560000000056</v>
      </c>
      <c r="L42" s="391"/>
      <c r="M42" s="373"/>
      <c r="N42" s="373"/>
      <c r="O42" s="390"/>
      <c r="P42" s="460"/>
      <c r="Q42" s="261">
        <f>H42/E42-1</f>
        <v>-2.6490066225165587E-2</v>
      </c>
    </row>
    <row r="43" spans="2:17" x14ac:dyDescent="0.2">
      <c r="B43" s="281" t="s">
        <v>429</v>
      </c>
      <c r="C43" s="407"/>
      <c r="D43" s="382">
        <f>SUM(D40:D42)</f>
        <v>79480065.260000005</v>
      </c>
      <c r="E43" s="549"/>
      <c r="F43" s="465">
        <f>SUM(F34:F42)</f>
        <v>7459229.870000001</v>
      </c>
      <c r="H43" s="444"/>
      <c r="I43" s="465">
        <f>SUM(I34:I42)</f>
        <v>7330425.0899999999</v>
      </c>
      <c r="J43" s="404"/>
      <c r="K43" s="465">
        <f>SUM(K34:K42)</f>
        <v>-128804.78000000014</v>
      </c>
      <c r="L43" s="533">
        <f>K43/F43</f>
        <v>-1.726783893844528E-2</v>
      </c>
      <c r="M43" s="373"/>
      <c r="N43" s="373"/>
      <c r="O43" s="460"/>
      <c r="P43" s="460"/>
      <c r="Q43" s="403"/>
    </row>
    <row r="44" spans="2:17" x14ac:dyDescent="0.2">
      <c r="B44" s="419"/>
      <c r="C44" s="407"/>
      <c r="D44" s="389"/>
      <c r="E44" s="549"/>
      <c r="F44" s="430"/>
      <c r="H44" s="444"/>
      <c r="I44" s="430"/>
      <c r="J44" s="404"/>
      <c r="K44" s="388"/>
      <c r="L44" s="526"/>
      <c r="M44" s="373"/>
      <c r="N44" s="373"/>
      <c r="O44" s="394"/>
      <c r="P44" s="390"/>
      <c r="Q44" s="389"/>
    </row>
    <row r="45" spans="2:17" x14ac:dyDescent="0.2">
      <c r="B45" s="484" t="s">
        <v>443</v>
      </c>
      <c r="C45" s="399" t="s">
        <v>10</v>
      </c>
      <c r="D45" s="536">
        <f>D43</f>
        <v>79480065.260000005</v>
      </c>
      <c r="E45" s="400">
        <v>6.9999999999999999E-4</v>
      </c>
      <c r="F45" s="430">
        <f>E45*D45</f>
        <v>55636.045682000004</v>
      </c>
      <c r="G45" s="537"/>
      <c r="H45" s="437">
        <v>6.9999999999999999E-4</v>
      </c>
      <c r="I45" s="388">
        <f>H45*D45</f>
        <v>55636.045682000004</v>
      </c>
      <c r="J45" s="404"/>
      <c r="K45" s="388">
        <f>I45-F45</f>
        <v>0</v>
      </c>
      <c r="L45" s="526"/>
      <c r="M45" s="373"/>
      <c r="N45" s="373"/>
      <c r="O45" s="394"/>
      <c r="P45" s="394"/>
      <c r="Q45" s="389"/>
    </row>
    <row r="46" spans="2:17" x14ac:dyDescent="0.2">
      <c r="B46" s="472" t="s">
        <v>427</v>
      </c>
      <c r="C46" s="359"/>
      <c r="D46" s="389"/>
      <c r="E46" s="436"/>
      <c r="F46" s="465">
        <f>F45+F43</f>
        <v>7514865.915682001</v>
      </c>
      <c r="G46" s="390"/>
      <c r="H46" s="444"/>
      <c r="I46" s="465">
        <f>I45+I43</f>
        <v>7386061.1356819998</v>
      </c>
      <c r="J46" s="473"/>
      <c r="K46" s="465">
        <f>K45+K43</f>
        <v>-128804.78000000014</v>
      </c>
      <c r="L46" s="533">
        <f>ROUND(K46/F46,5)</f>
        <v>-1.7139999999999999E-2</v>
      </c>
      <c r="M46" s="373"/>
      <c r="N46" s="373"/>
      <c r="O46" s="550"/>
      <c r="P46" s="460"/>
      <c r="Q46" s="537"/>
    </row>
    <row r="47" spans="2:17" x14ac:dyDescent="0.2">
      <c r="B47" s="421"/>
      <c r="C47" s="539"/>
      <c r="D47" s="540"/>
      <c r="E47" s="541"/>
      <c r="F47" s="428"/>
      <c r="G47" s="540"/>
      <c r="H47" s="542"/>
      <c r="I47" s="551"/>
      <c r="J47" s="543"/>
      <c r="K47" s="428"/>
      <c r="L47" s="429"/>
      <c r="M47" s="373"/>
      <c r="N47" s="373"/>
      <c r="O47" s="390"/>
      <c r="P47" s="390"/>
      <c r="Q47" s="389"/>
    </row>
    <row r="48" spans="2:17" x14ac:dyDescent="0.2">
      <c r="B48" s="359"/>
      <c r="C48" s="359"/>
      <c r="D48" s="389"/>
      <c r="E48" s="415"/>
      <c r="F48" s="388"/>
      <c r="H48" s="444"/>
      <c r="I48" s="430"/>
      <c r="J48" s="404"/>
      <c r="K48" s="388"/>
      <c r="L48" s="431"/>
      <c r="M48" s="373"/>
      <c r="N48" s="373"/>
      <c r="O48" s="390"/>
      <c r="P48" s="390"/>
      <c r="Q48" s="389"/>
    </row>
    <row r="49" spans="2:17" x14ac:dyDescent="0.2">
      <c r="B49" s="432" t="s">
        <v>469</v>
      </c>
      <c r="C49" s="520"/>
      <c r="D49" s="382"/>
      <c r="E49" s="521"/>
      <c r="F49" s="381"/>
      <c r="G49" s="522"/>
      <c r="H49" s="523"/>
      <c r="I49" s="524"/>
      <c r="J49" s="524"/>
      <c r="K49" s="381"/>
      <c r="L49" s="525"/>
      <c r="M49" s="373"/>
      <c r="N49" s="373"/>
      <c r="O49" s="390"/>
      <c r="P49" s="390"/>
      <c r="Q49" s="389"/>
    </row>
    <row r="50" spans="2:17" x14ac:dyDescent="0.2">
      <c r="B50" s="386"/>
      <c r="C50" s="359"/>
      <c r="D50" s="389"/>
      <c r="E50" s="453"/>
      <c r="F50" s="397"/>
      <c r="G50" s="440"/>
      <c r="H50" s="444"/>
      <c r="I50" s="544"/>
      <c r="J50" s="545"/>
      <c r="K50" s="397"/>
      <c r="L50" s="552"/>
      <c r="M50" s="553"/>
      <c r="N50" s="373"/>
      <c r="O50" s="390"/>
      <c r="P50" s="390"/>
      <c r="Q50" s="403"/>
    </row>
    <row r="51" spans="2:17" x14ac:dyDescent="0.2">
      <c r="B51" s="472" t="s">
        <v>423</v>
      </c>
      <c r="C51" s="527" t="s">
        <v>22</v>
      </c>
      <c r="D51" s="403">
        <f>D34+D12</f>
        <v>1593.7874432425674</v>
      </c>
      <c r="E51" s="436"/>
      <c r="F51" s="397">
        <f>F12+F34</f>
        <v>1325336.18</v>
      </c>
      <c r="H51" s="444"/>
      <c r="I51" s="397">
        <f>I12+I34</f>
        <v>1290332.54</v>
      </c>
      <c r="J51" s="545"/>
      <c r="K51" s="397">
        <f>I51-F51</f>
        <v>-35003.639999999898</v>
      </c>
      <c r="L51" s="552"/>
      <c r="M51" s="553"/>
      <c r="N51" s="373"/>
      <c r="O51" s="390"/>
      <c r="P51" s="390"/>
      <c r="Q51" s="261"/>
    </row>
    <row r="52" spans="2:17" x14ac:dyDescent="0.2">
      <c r="B52" s="484" t="s">
        <v>395</v>
      </c>
      <c r="C52" s="399" t="s">
        <v>29</v>
      </c>
      <c r="D52" s="403">
        <f>D35+D13</f>
        <v>859137.70500000007</v>
      </c>
      <c r="E52" s="436"/>
      <c r="F52" s="397">
        <f>F13+F35</f>
        <v>988008.36</v>
      </c>
      <c r="H52" s="444"/>
      <c r="I52" s="397">
        <f>I13+I35</f>
        <v>1039556.63</v>
      </c>
      <c r="J52" s="545"/>
      <c r="K52" s="397">
        <f>I52-F52</f>
        <v>51548.270000000019</v>
      </c>
      <c r="L52" s="552"/>
      <c r="M52" s="553"/>
      <c r="N52" s="373"/>
      <c r="O52" s="390"/>
      <c r="P52" s="390"/>
      <c r="Q52" s="261"/>
    </row>
    <row r="53" spans="2:17" x14ac:dyDescent="0.2">
      <c r="B53" s="484" t="s">
        <v>441</v>
      </c>
      <c r="C53" s="399" t="s">
        <v>10</v>
      </c>
      <c r="D53" s="403">
        <f>D36+D14</f>
        <v>17139795.438999999</v>
      </c>
      <c r="E53" s="436"/>
      <c r="F53" s="397">
        <f>F14</f>
        <v>116893.40489397998</v>
      </c>
      <c r="H53" s="444"/>
      <c r="I53" s="397">
        <f>I14</f>
        <v>128034.27</v>
      </c>
      <c r="J53" s="545"/>
      <c r="K53" s="397">
        <f>I53-F53</f>
        <v>11140.865106020021</v>
      </c>
      <c r="L53" s="552"/>
      <c r="M53" s="553"/>
      <c r="N53" s="373"/>
      <c r="O53" s="390"/>
      <c r="P53" s="390"/>
      <c r="Q53" s="261"/>
    </row>
    <row r="54" spans="2:17" x14ac:dyDescent="0.2">
      <c r="B54" s="484" t="s">
        <v>463</v>
      </c>
      <c r="C54" s="399"/>
      <c r="D54" s="482"/>
      <c r="E54" s="436"/>
      <c r="F54" s="554">
        <f>F15+F36</f>
        <v>61812.049999999996</v>
      </c>
      <c r="H54" s="444"/>
      <c r="I54" s="554">
        <f>I15+I36</f>
        <v>61812.049999999996</v>
      </c>
      <c r="J54" s="545"/>
      <c r="K54" s="397">
        <f>I54-F54</f>
        <v>0</v>
      </c>
      <c r="L54" s="552"/>
      <c r="M54" s="553"/>
      <c r="N54" s="373"/>
      <c r="O54" s="390"/>
      <c r="P54" s="390"/>
      <c r="Q54" s="403"/>
    </row>
    <row r="55" spans="2:17" x14ac:dyDescent="0.2">
      <c r="B55" s="484"/>
      <c r="C55" s="399"/>
      <c r="D55" s="389"/>
      <c r="E55" s="437"/>
      <c r="F55" s="390"/>
      <c r="H55" s="453"/>
      <c r="I55" s="390"/>
      <c r="J55" s="444"/>
      <c r="K55" s="397"/>
      <c r="L55" s="552"/>
      <c r="M55" s="553"/>
      <c r="N55" s="373"/>
      <c r="O55" s="390"/>
      <c r="P55" s="390"/>
      <c r="Q55" s="403"/>
    </row>
    <row r="56" spans="2:17" x14ac:dyDescent="0.2">
      <c r="B56" s="484" t="s">
        <v>448</v>
      </c>
      <c r="C56" s="359"/>
      <c r="D56" s="389"/>
      <c r="E56" s="437"/>
      <c r="F56" s="397"/>
      <c r="H56" s="453"/>
      <c r="I56" s="397"/>
      <c r="J56" s="545"/>
      <c r="K56" s="397"/>
      <c r="L56" s="552"/>
      <c r="M56" s="553"/>
      <c r="N56" s="373"/>
      <c r="O56" s="390"/>
      <c r="P56" s="390"/>
      <c r="Q56" s="403"/>
    </row>
    <row r="57" spans="2:17" x14ac:dyDescent="0.2">
      <c r="B57" s="386" t="s">
        <v>464</v>
      </c>
      <c r="C57" s="399" t="s">
        <v>10</v>
      </c>
      <c r="D57" s="403">
        <f>D40+D18</f>
        <v>36445912.770000003</v>
      </c>
      <c r="E57" s="437"/>
      <c r="F57" s="397">
        <f>F18+F40</f>
        <v>3719669.85</v>
      </c>
      <c r="H57" s="437"/>
      <c r="I57" s="397">
        <f>I18+I40</f>
        <v>3621265.8899999997</v>
      </c>
      <c r="J57" s="545"/>
      <c r="K57" s="397">
        <f>I57-F57</f>
        <v>-98403.960000000428</v>
      </c>
      <c r="L57" s="552"/>
      <c r="M57" s="553"/>
      <c r="N57" s="373"/>
      <c r="O57" s="460"/>
      <c r="P57" s="390"/>
      <c r="Q57" s="403"/>
    </row>
    <row r="58" spans="2:17" x14ac:dyDescent="0.2">
      <c r="B58" s="386" t="s">
        <v>465</v>
      </c>
      <c r="C58" s="399" t="s">
        <v>10</v>
      </c>
      <c r="D58" s="403">
        <f>D41+D19</f>
        <v>23263229.053000003</v>
      </c>
      <c r="E58" s="437"/>
      <c r="F58" s="397">
        <f>F19+F41</f>
        <v>1174793.06</v>
      </c>
      <c r="H58" s="437"/>
      <c r="I58" s="397">
        <f>I19+I41</f>
        <v>1143852.97</v>
      </c>
      <c r="J58" s="545"/>
      <c r="K58" s="397">
        <f>I58-F58</f>
        <v>-30940.090000000084</v>
      </c>
      <c r="L58" s="552"/>
      <c r="M58" s="553"/>
      <c r="N58" s="373"/>
      <c r="O58" s="460"/>
      <c r="P58" s="390"/>
      <c r="Q58" s="403"/>
    </row>
    <row r="59" spans="2:17" x14ac:dyDescent="0.2">
      <c r="B59" s="386" t="s">
        <v>466</v>
      </c>
      <c r="C59" s="399" t="s">
        <v>10</v>
      </c>
      <c r="D59" s="403">
        <f>D42+D20</f>
        <v>36910718.876000002</v>
      </c>
      <c r="E59" s="437"/>
      <c r="F59" s="427">
        <f>F20+F42</f>
        <v>1783525.94</v>
      </c>
      <c r="H59" s="453"/>
      <c r="I59" s="427">
        <f>I20+I42</f>
        <v>1736280.21</v>
      </c>
      <c r="J59" s="545"/>
      <c r="K59" s="397">
        <f>I59-F59</f>
        <v>-47245.729999999981</v>
      </c>
      <c r="L59" s="457"/>
      <c r="M59" s="553"/>
      <c r="N59" s="373"/>
      <c r="O59" s="460"/>
      <c r="P59" s="390"/>
      <c r="Q59" s="403"/>
    </row>
    <row r="60" spans="2:17" x14ac:dyDescent="0.2">
      <c r="B60" s="281" t="s">
        <v>429</v>
      </c>
      <c r="C60" s="407"/>
      <c r="D60" s="382">
        <f>SUM(D57:D59)</f>
        <v>96619860.699000001</v>
      </c>
      <c r="E60" s="444"/>
      <c r="F60" s="555">
        <f>SUM(F51:F59)</f>
        <v>9170038.8448939789</v>
      </c>
      <c r="H60" s="444"/>
      <c r="I60" s="555">
        <f>SUM(I51:I59)</f>
        <v>9021134.5599999987</v>
      </c>
      <c r="J60" s="545"/>
      <c r="K60" s="555">
        <f>SUM(K51:K59)</f>
        <v>-148904.28489398037</v>
      </c>
      <c r="L60" s="533">
        <f>K60/F60</f>
        <v>-1.6238130220886972E-2</v>
      </c>
      <c r="M60" s="553"/>
      <c r="N60" s="373"/>
      <c r="O60" s="460"/>
      <c r="P60" s="390"/>
      <c r="Q60" s="403"/>
    </row>
    <row r="61" spans="2:17" x14ac:dyDescent="0.2">
      <c r="B61" s="419"/>
      <c r="C61" s="407"/>
      <c r="D61" s="389"/>
      <c r="E61" s="444"/>
      <c r="F61" s="544"/>
      <c r="H61" s="444"/>
      <c r="I61" s="544"/>
      <c r="J61" s="545"/>
      <c r="K61" s="397"/>
      <c r="L61" s="552"/>
      <c r="M61" s="553"/>
      <c r="N61" s="373"/>
      <c r="O61" s="460"/>
      <c r="P61" s="390"/>
      <c r="Q61" s="403"/>
    </row>
    <row r="62" spans="2:17" x14ac:dyDescent="0.2">
      <c r="B62" s="249" t="s">
        <v>426</v>
      </c>
      <c r="C62" s="407"/>
      <c r="D62" s="389"/>
      <c r="E62" s="444"/>
      <c r="F62" s="544"/>
      <c r="H62" s="444"/>
      <c r="I62" s="544"/>
      <c r="J62" s="545"/>
      <c r="K62" s="397"/>
      <c r="L62" s="556"/>
      <c r="M62" s="553"/>
      <c r="N62" s="373"/>
      <c r="O62" s="460"/>
      <c r="P62" s="390"/>
      <c r="Q62" s="403"/>
    </row>
    <row r="63" spans="2:17" x14ac:dyDescent="0.2">
      <c r="B63" s="484" t="s">
        <v>451</v>
      </c>
      <c r="C63" s="407"/>
      <c r="D63" s="389">
        <f>D24</f>
        <v>17139795.438999999</v>
      </c>
      <c r="E63" s="444"/>
      <c r="F63" s="544">
        <f>F24</f>
        <v>6137589.3487515105</v>
      </c>
      <c r="H63" s="444"/>
      <c r="I63" s="544">
        <f>I24</f>
        <v>6725827.1282179896</v>
      </c>
      <c r="J63" s="545"/>
      <c r="K63" s="397">
        <f>I63-F63</f>
        <v>588237.77946647909</v>
      </c>
      <c r="L63" s="552"/>
      <c r="M63" s="553"/>
      <c r="N63" s="373"/>
      <c r="O63" s="460"/>
      <c r="P63" s="390"/>
      <c r="Q63" s="403"/>
    </row>
    <row r="64" spans="2:17" x14ac:dyDescent="0.2">
      <c r="B64" s="484" t="s">
        <v>395</v>
      </c>
      <c r="C64" s="407"/>
      <c r="D64" s="389">
        <f>D25</f>
        <v>110230.038</v>
      </c>
      <c r="E64" s="444"/>
      <c r="F64" s="544">
        <f>F25</f>
        <v>115741.5399</v>
      </c>
      <c r="H64" s="444"/>
      <c r="I64" s="544">
        <f>I25</f>
        <v>115741.5399</v>
      </c>
      <c r="J64" s="545"/>
      <c r="K64" s="397">
        <f>I64-F64</f>
        <v>0</v>
      </c>
      <c r="L64" s="552"/>
      <c r="M64" s="553"/>
      <c r="N64" s="373"/>
      <c r="O64" s="460"/>
      <c r="P64" s="390"/>
      <c r="Q64" s="403"/>
    </row>
    <row r="65" spans="1:17" x14ac:dyDescent="0.2">
      <c r="B65" s="484" t="s">
        <v>443</v>
      </c>
      <c r="C65" s="399" t="s">
        <v>10</v>
      </c>
      <c r="D65" s="403">
        <f>D45</f>
        <v>79480065.260000005</v>
      </c>
      <c r="E65" s="444"/>
      <c r="F65" s="544">
        <f>F45</f>
        <v>55636.045682000004</v>
      </c>
      <c r="H65" s="444"/>
      <c r="I65" s="544">
        <f>I45</f>
        <v>55636.045682000004</v>
      </c>
      <c r="J65" s="545"/>
      <c r="K65" s="397">
        <f>I65-F65</f>
        <v>0</v>
      </c>
      <c r="L65" s="552"/>
      <c r="M65" s="553"/>
      <c r="N65" s="373"/>
      <c r="O65" s="460"/>
      <c r="P65" s="390"/>
      <c r="Q65" s="403"/>
    </row>
    <row r="66" spans="1:17" x14ac:dyDescent="0.2">
      <c r="B66" s="472" t="s">
        <v>452</v>
      </c>
      <c r="C66" s="407"/>
      <c r="D66" s="389"/>
      <c r="E66" s="444"/>
      <c r="F66" s="555">
        <f>SUM(F63:F65)</f>
        <v>6308966.9343335107</v>
      </c>
      <c r="H66" s="444"/>
      <c r="I66" s="555">
        <f>SUM(I63:I65)</f>
        <v>6897204.7137999898</v>
      </c>
      <c r="J66" s="545"/>
      <c r="K66" s="555">
        <f>SUM(K63:K65)</f>
        <v>588237.77946647909</v>
      </c>
      <c r="L66" s="533">
        <f>K66/F66</f>
        <v>9.3238367800800886E-2</v>
      </c>
      <c r="M66" s="553"/>
      <c r="N66" s="373"/>
      <c r="O66" s="460"/>
      <c r="P66" s="390"/>
      <c r="Q66" s="403"/>
    </row>
    <row r="67" spans="1:17" x14ac:dyDescent="0.2">
      <c r="B67" s="419"/>
      <c r="C67" s="407"/>
      <c r="D67" s="389"/>
      <c r="E67" s="444"/>
      <c r="F67" s="544"/>
      <c r="H67" s="444"/>
      <c r="I67" s="544"/>
      <c r="J67" s="545"/>
      <c r="K67" s="397"/>
      <c r="L67" s="552"/>
      <c r="M67" s="553"/>
      <c r="N67" s="373"/>
      <c r="O67" s="390"/>
      <c r="P67" s="390"/>
      <c r="Q67" s="389"/>
    </row>
    <row r="68" spans="1:17" x14ac:dyDescent="0.2">
      <c r="B68" s="386" t="s">
        <v>427</v>
      </c>
      <c r="C68" s="359"/>
      <c r="D68" s="389"/>
      <c r="E68" s="444"/>
      <c r="F68" s="555">
        <f>F60+F66</f>
        <v>15479005.77922749</v>
      </c>
      <c r="H68" s="444"/>
      <c r="I68" s="555">
        <f>I60+I66</f>
        <v>15918339.273799989</v>
      </c>
      <c r="J68" s="545"/>
      <c r="K68" s="555">
        <f>K60+K66</f>
        <v>439333.49457249872</v>
      </c>
      <c r="L68" s="533">
        <f>K68/F68</f>
        <v>2.8382539604841762E-2</v>
      </c>
      <c r="M68" s="553"/>
      <c r="N68" s="373"/>
    </row>
    <row r="69" spans="1:17" x14ac:dyDescent="0.2">
      <c r="B69" s="421"/>
      <c r="C69" s="539"/>
      <c r="D69" s="540"/>
      <c r="E69" s="557"/>
      <c r="F69" s="427"/>
      <c r="G69" s="540"/>
      <c r="H69" s="542"/>
      <c r="I69" s="558"/>
      <c r="J69" s="559"/>
      <c r="K69" s="427"/>
      <c r="L69" s="475"/>
      <c r="M69" s="553"/>
      <c r="N69" s="373"/>
    </row>
    <row r="70" spans="1:17" x14ac:dyDescent="0.2">
      <c r="A70" s="359"/>
      <c r="B70" s="359"/>
      <c r="C70" s="359"/>
      <c r="D70" s="389"/>
      <c r="E70" s="415"/>
      <c r="F70" s="388"/>
      <c r="H70" s="444"/>
      <c r="I70" s="430"/>
      <c r="J70" s="404"/>
      <c r="K70" s="388"/>
      <c r="L70" s="431"/>
      <c r="M70" s="373"/>
      <c r="N70" s="373"/>
      <c r="O70" s="539"/>
    </row>
    <row r="71" spans="1:17" x14ac:dyDescent="0.2">
      <c r="B71" s="378" t="s">
        <v>470</v>
      </c>
      <c r="C71" s="520"/>
      <c r="D71" s="382"/>
      <c r="E71" s="521"/>
      <c r="F71" s="381"/>
      <c r="G71" s="382"/>
      <c r="H71" s="523"/>
      <c r="I71" s="465"/>
      <c r="J71" s="524"/>
      <c r="K71" s="381"/>
      <c r="L71" s="384"/>
      <c r="M71" s="373"/>
      <c r="N71" s="560"/>
      <c r="O71" s="561" t="s">
        <v>471</v>
      </c>
    </row>
    <row r="72" spans="1:17" x14ac:dyDescent="0.2">
      <c r="B72" s="386"/>
      <c r="C72" s="359"/>
      <c r="D72" s="389"/>
      <c r="E72" s="415"/>
      <c r="F72" s="388"/>
      <c r="G72" s="440"/>
      <c r="H72" s="444"/>
      <c r="I72" s="430"/>
      <c r="J72" s="404"/>
      <c r="K72" s="388"/>
      <c r="L72" s="526"/>
      <c r="M72" s="373"/>
      <c r="N72" s="560"/>
      <c r="O72" s="442">
        <v>-36090.447132685651</v>
      </c>
    </row>
    <row r="73" spans="1:17" x14ac:dyDescent="0.2">
      <c r="B73" s="472" t="s">
        <v>423</v>
      </c>
      <c r="C73" s="527" t="s">
        <v>22</v>
      </c>
      <c r="D73" s="395">
        <v>2858.9139747435988</v>
      </c>
      <c r="E73" s="396">
        <v>144.01</v>
      </c>
      <c r="F73" s="388">
        <f>ROUND(D73*E73,2)</f>
        <v>411712.2</v>
      </c>
      <c r="H73" s="479">
        <f>ROUND(E73*(1+$O$79),2)</f>
        <v>139.36000000000001</v>
      </c>
      <c r="I73" s="430">
        <f>ROUND(D73*H73,2)</f>
        <v>398418.25</v>
      </c>
      <c r="J73" s="404"/>
      <c r="K73" s="388">
        <f>I73-F73</f>
        <v>-13293.950000000012</v>
      </c>
      <c r="L73" s="526"/>
      <c r="M73" s="373"/>
      <c r="N73" s="528"/>
      <c r="O73" s="402" t="s">
        <v>425</v>
      </c>
      <c r="Q73" s="261">
        <f>H73/E73-1</f>
        <v>-3.2289424345531392E-2</v>
      </c>
    </row>
    <row r="74" spans="1:17" x14ac:dyDescent="0.2">
      <c r="B74" s="484" t="s">
        <v>395</v>
      </c>
      <c r="C74" s="399" t="s">
        <v>29</v>
      </c>
      <c r="D74" s="395">
        <v>84423.830999999991</v>
      </c>
      <c r="E74" s="396">
        <v>1.1499999999999999</v>
      </c>
      <c r="F74" s="388">
        <f>ROUND(D74*E74,2)</f>
        <v>97087.41</v>
      </c>
      <c r="H74" s="396">
        <v>1.22</v>
      </c>
      <c r="I74" s="430">
        <f>ROUND(D74*H74,2)</f>
        <v>102997.07</v>
      </c>
      <c r="J74" s="404"/>
      <c r="K74" s="388">
        <f>I74-F74</f>
        <v>5909.6600000000035</v>
      </c>
      <c r="L74" s="526"/>
      <c r="M74" s="373"/>
      <c r="N74" s="373"/>
      <c r="O74" s="529">
        <f>K81+K100-O72</f>
        <v>-73.622867314545147</v>
      </c>
      <c r="Q74" s="261">
        <f>H74/E74-1</f>
        <v>6.0869565217391397E-2</v>
      </c>
    </row>
    <row r="75" spans="1:17" x14ac:dyDescent="0.2">
      <c r="B75" s="386" t="s">
        <v>441</v>
      </c>
      <c r="C75" s="399" t="s">
        <v>10</v>
      </c>
      <c r="D75" s="389">
        <f>D81</f>
        <v>9926029.5299999993</v>
      </c>
      <c r="E75" s="400">
        <v>6.8100000000000001E-3</v>
      </c>
      <c r="F75" s="388">
        <f>ROUND(D75*E75,2)</f>
        <v>67596.259999999995</v>
      </c>
      <c r="H75" s="400">
        <v>9.0699999999999999E-3</v>
      </c>
      <c r="I75" s="430">
        <f>ROUND(D81*H75,2)</f>
        <v>90029.09</v>
      </c>
      <c r="J75" s="404"/>
      <c r="K75" s="388">
        <f>I75-F75</f>
        <v>22432.83</v>
      </c>
      <c r="L75" s="526"/>
      <c r="M75" s="373"/>
      <c r="N75" s="373"/>
      <c r="Q75" s="261">
        <f>H75/E75-1</f>
        <v>0.33186490455212914</v>
      </c>
    </row>
    <row r="76" spans="1:17" x14ac:dyDescent="0.2">
      <c r="B76" s="484" t="s">
        <v>463</v>
      </c>
      <c r="C76" s="359"/>
      <c r="D76" s="389"/>
      <c r="E76" s="400"/>
      <c r="F76" s="547">
        <v>32304.22</v>
      </c>
      <c r="H76" s="453"/>
      <c r="I76" s="548">
        <f>F76</f>
        <v>32304.22</v>
      </c>
      <c r="J76" s="562"/>
      <c r="K76" s="388">
        <f>I76-F76</f>
        <v>0</v>
      </c>
      <c r="L76" s="526"/>
      <c r="M76" s="373"/>
      <c r="N76" s="373"/>
      <c r="O76" s="531"/>
    </row>
    <row r="77" spans="1:17" x14ac:dyDescent="0.2">
      <c r="B77" s="386"/>
      <c r="C77" s="359"/>
      <c r="D77" s="389"/>
      <c r="E77" s="400"/>
      <c r="F77" s="388"/>
      <c r="H77" s="453"/>
      <c r="I77" s="430"/>
      <c r="J77" s="404"/>
      <c r="K77" s="388"/>
      <c r="L77" s="526"/>
      <c r="M77" s="373"/>
      <c r="N77" s="528"/>
      <c r="O77" s="231"/>
      <c r="P77" s="495"/>
      <c r="Q77" s="495"/>
    </row>
    <row r="78" spans="1:17" x14ac:dyDescent="0.2">
      <c r="B78" s="484" t="s">
        <v>448</v>
      </c>
      <c r="C78" s="359"/>
      <c r="D78" s="389"/>
      <c r="E78" s="400"/>
      <c r="F78" s="388"/>
      <c r="H78" s="453"/>
      <c r="I78" s="430"/>
      <c r="J78" s="404"/>
      <c r="K78" s="388"/>
      <c r="L78" s="526"/>
      <c r="M78" s="373"/>
      <c r="N78" s="528"/>
      <c r="O78" s="563"/>
      <c r="P78" s="231"/>
      <c r="Q78" s="495"/>
    </row>
    <row r="79" spans="1:17" x14ac:dyDescent="0.2">
      <c r="B79" s="439" t="s">
        <v>375</v>
      </c>
      <c r="C79" s="460" t="s">
        <v>10</v>
      </c>
      <c r="D79" s="395">
        <v>2175439.4739999999</v>
      </c>
      <c r="E79" s="400">
        <v>0.19916</v>
      </c>
      <c r="F79" s="388">
        <f>ROUND(D79*E79,2)</f>
        <v>433260.53</v>
      </c>
      <c r="H79" s="401">
        <f>ROUND(E79*(1+$O$79),5)</f>
        <v>0.19273999999999999</v>
      </c>
      <c r="I79" s="430">
        <f>ROUND(D79*H79,2)</f>
        <v>419294.2</v>
      </c>
      <c r="J79" s="404"/>
      <c r="K79" s="388">
        <f>I79-F79</f>
        <v>-13966.330000000016</v>
      </c>
      <c r="L79" s="526"/>
      <c r="M79" s="373"/>
      <c r="N79" s="373"/>
      <c r="O79" s="277">
        <v>-3.226024143962801E-2</v>
      </c>
      <c r="P79" s="495"/>
      <c r="Q79" s="261">
        <f>H79/E79-1</f>
        <v>-3.2235388632255502E-2</v>
      </c>
    </row>
    <row r="80" spans="1:17" ht="12.75" customHeight="1" x14ac:dyDescent="0.2">
      <c r="B80" s="439" t="s">
        <v>376</v>
      </c>
      <c r="C80" s="460" t="s">
        <v>10</v>
      </c>
      <c r="D80" s="395">
        <v>7750590.0559999999</v>
      </c>
      <c r="E80" s="400">
        <v>0.14119999999999999</v>
      </c>
      <c r="F80" s="388">
        <f>ROUND(D80*E80,2)</f>
        <v>1094383.32</v>
      </c>
      <c r="H80" s="401">
        <f>ROUND(E80*(1+$O$79),5)</f>
        <v>0.13664000000000001</v>
      </c>
      <c r="I80" s="430">
        <f>ROUND(D80*H80,2)</f>
        <v>1059040.6299999999</v>
      </c>
      <c r="J80" s="404"/>
      <c r="K80" s="388">
        <f>I80-F80</f>
        <v>-35342.690000000177</v>
      </c>
      <c r="L80" s="526"/>
      <c r="M80" s="373"/>
      <c r="N80" s="373"/>
      <c r="O80" s="563"/>
      <c r="P80" s="495"/>
      <c r="Q80" s="261">
        <f>H80/E80-1</f>
        <v>-3.2294617563739192E-2</v>
      </c>
    </row>
    <row r="81" spans="1:17" ht="12.75" customHeight="1" x14ac:dyDescent="0.2">
      <c r="B81" s="281" t="s">
        <v>429</v>
      </c>
      <c r="C81" s="399" t="s">
        <v>10</v>
      </c>
      <c r="D81" s="382">
        <f>SUM(D79:D80)</f>
        <v>9926029.5299999993</v>
      </c>
      <c r="E81" s="564"/>
      <c r="F81" s="465">
        <f>SUM(F73:F80)</f>
        <v>2136343.94</v>
      </c>
      <c r="H81" s="444"/>
      <c r="I81" s="465">
        <f>SUM(I73:I80)</f>
        <v>2102083.46</v>
      </c>
      <c r="J81" s="404"/>
      <c r="K81" s="465">
        <f>SUM(K73:K80)</f>
        <v>-34260.4800000002</v>
      </c>
      <c r="L81" s="525">
        <f>K81/F81</f>
        <v>-1.6036968279555305E-2</v>
      </c>
      <c r="M81" s="373"/>
      <c r="N81" s="373"/>
      <c r="O81" s="494"/>
      <c r="P81" s="495"/>
      <c r="Q81" s="496"/>
    </row>
    <row r="82" spans="1:17" x14ac:dyDescent="0.2">
      <c r="B82" s="419"/>
      <c r="C82" s="407"/>
      <c r="D82" s="389"/>
      <c r="E82" s="564"/>
      <c r="F82" s="430"/>
      <c r="H82" s="444"/>
      <c r="I82" s="430"/>
      <c r="J82" s="404"/>
      <c r="K82" s="388"/>
      <c r="L82" s="391"/>
      <c r="M82" s="373"/>
      <c r="N82" s="538"/>
      <c r="O82" s="535"/>
      <c r="P82" s="495"/>
      <c r="Q82" s="496"/>
    </row>
    <row r="83" spans="1:17" x14ac:dyDescent="0.2">
      <c r="B83" s="249" t="s">
        <v>426</v>
      </c>
      <c r="C83" s="407"/>
      <c r="D83" s="389"/>
      <c r="E83" s="564"/>
      <c r="F83" s="430"/>
      <c r="H83" s="444"/>
      <c r="I83" s="430"/>
      <c r="J83" s="404"/>
      <c r="K83" s="388"/>
      <c r="L83" s="391"/>
      <c r="M83" s="373"/>
      <c r="N83" s="373"/>
    </row>
    <row r="84" spans="1:17" x14ac:dyDescent="0.2">
      <c r="B84" s="484" t="s">
        <v>451</v>
      </c>
      <c r="C84" s="399" t="s">
        <v>10</v>
      </c>
      <c r="D84" s="536">
        <f>D81</f>
        <v>9926029.5299999993</v>
      </c>
      <c r="E84" s="400">
        <v>0.34773999999999999</v>
      </c>
      <c r="F84" s="430">
        <f>+D84*E84</f>
        <v>3451677.5087621999</v>
      </c>
      <c r="G84" s="537"/>
      <c r="H84" s="400">
        <v>0.39258999999999999</v>
      </c>
      <c r="I84" s="430">
        <f>+D84*H84</f>
        <v>3896859.9331826996</v>
      </c>
      <c r="J84" s="404"/>
      <c r="K84" s="388">
        <f>I84-F84</f>
        <v>445182.42442049971</v>
      </c>
      <c r="L84" s="526"/>
      <c r="M84" s="373"/>
      <c r="N84" s="373"/>
      <c r="O84" s="535"/>
      <c r="P84" s="495"/>
      <c r="Q84" s="496"/>
    </row>
    <row r="85" spans="1:17" x14ac:dyDescent="0.2">
      <c r="B85" s="484" t="s">
        <v>395</v>
      </c>
      <c r="C85" s="399" t="s">
        <v>29</v>
      </c>
      <c r="D85" s="536">
        <f>D74</f>
        <v>84423.830999999991</v>
      </c>
      <c r="E85" s="396">
        <v>1.05</v>
      </c>
      <c r="F85" s="430">
        <f>D85*E85</f>
        <v>88645.022549999994</v>
      </c>
      <c r="G85" s="537"/>
      <c r="H85" s="396">
        <v>1.05</v>
      </c>
      <c r="I85" s="430">
        <f>D85*H85</f>
        <v>88645.022549999994</v>
      </c>
      <c r="J85" s="404"/>
      <c r="K85" s="388">
        <f>I85-F85</f>
        <v>0</v>
      </c>
      <c r="L85" s="391"/>
      <c r="M85" s="373"/>
      <c r="N85" s="373"/>
    </row>
    <row r="86" spans="1:17" x14ac:dyDescent="0.2">
      <c r="B86" s="472" t="s">
        <v>452</v>
      </c>
      <c r="C86" s="407"/>
      <c r="D86" s="390"/>
      <c r="E86" s="473"/>
      <c r="F86" s="465">
        <f>SUM(F84:F85)</f>
        <v>3540322.5313121998</v>
      </c>
      <c r="G86" s="390"/>
      <c r="H86" s="444"/>
      <c r="I86" s="465">
        <f>SUM(I84:I85)</f>
        <v>3985504.9557326995</v>
      </c>
      <c r="J86" s="473"/>
      <c r="K86" s="465">
        <f>SUM(K84:K85)</f>
        <v>445182.42442049971</v>
      </c>
      <c r="L86" s="525">
        <f>ROUND(K86/F86,5)</f>
        <v>0.12575</v>
      </c>
      <c r="M86" s="373"/>
      <c r="N86" s="373"/>
    </row>
    <row r="87" spans="1:17" x14ac:dyDescent="0.2">
      <c r="B87" s="386"/>
      <c r="C87" s="359"/>
      <c r="D87" s="389"/>
      <c r="E87" s="415"/>
      <c r="F87" s="430"/>
      <c r="H87" s="444"/>
      <c r="I87" s="430"/>
      <c r="J87" s="404"/>
      <c r="K87" s="388"/>
      <c r="L87" s="391"/>
      <c r="M87" s="373"/>
      <c r="N87" s="373"/>
    </row>
    <row r="88" spans="1:17" s="359" customFormat="1" x14ac:dyDescent="0.2">
      <c r="B88" s="386" t="s">
        <v>427</v>
      </c>
      <c r="D88" s="389"/>
      <c r="E88" s="473"/>
      <c r="F88" s="465">
        <f>F86+F81</f>
        <v>5676666.4713121997</v>
      </c>
      <c r="G88" s="389"/>
      <c r="H88" s="444"/>
      <c r="I88" s="465">
        <f>I86+I81</f>
        <v>6087588.4157326994</v>
      </c>
      <c r="J88" s="404"/>
      <c r="K88" s="465">
        <f>K86+K81</f>
        <v>410921.94442049949</v>
      </c>
      <c r="L88" s="525">
        <f>K88/F88</f>
        <v>7.238789639961217E-2</v>
      </c>
      <c r="M88" s="373"/>
      <c r="N88" s="373"/>
    </row>
    <row r="89" spans="1:17" x14ac:dyDescent="0.2">
      <c r="A89" s="359"/>
      <c r="B89" s="421"/>
      <c r="C89" s="539"/>
      <c r="D89" s="485"/>
      <c r="E89" s="565"/>
      <c r="F89" s="427"/>
      <c r="G89" s="540"/>
      <c r="H89" s="542"/>
      <c r="I89" s="558"/>
      <c r="J89" s="543"/>
      <c r="K89" s="428"/>
      <c r="L89" s="566"/>
      <c r="M89" s="373"/>
      <c r="N89" s="373"/>
    </row>
    <row r="90" spans="1:17" s="359" customFormat="1" x14ac:dyDescent="0.2">
      <c r="D90" s="403"/>
      <c r="E90" s="567"/>
      <c r="F90" s="397"/>
      <c r="G90" s="389"/>
      <c r="H90" s="444"/>
      <c r="I90" s="544"/>
      <c r="J90" s="404"/>
      <c r="K90" s="388"/>
      <c r="L90" s="568"/>
      <c r="M90" s="373"/>
      <c r="N90" s="373"/>
    </row>
    <row r="91" spans="1:17" x14ac:dyDescent="0.2">
      <c r="A91" s="359"/>
      <c r="B91" s="378" t="s">
        <v>472</v>
      </c>
      <c r="C91" s="520"/>
      <c r="D91" s="382"/>
      <c r="E91" s="521"/>
      <c r="F91" s="381"/>
      <c r="G91" s="382"/>
      <c r="H91" s="523"/>
      <c r="I91" s="465"/>
      <c r="J91" s="524"/>
      <c r="K91" s="381"/>
      <c r="L91" s="384"/>
      <c r="M91" s="373"/>
      <c r="N91" s="373"/>
    </row>
    <row r="92" spans="1:17" x14ac:dyDescent="0.2">
      <c r="A92" s="359"/>
      <c r="B92" s="386"/>
      <c r="C92" s="359"/>
      <c r="D92" s="389"/>
      <c r="E92" s="415"/>
      <c r="F92" s="388"/>
      <c r="G92" s="440"/>
      <c r="H92" s="444"/>
      <c r="I92" s="430"/>
      <c r="J92" s="404"/>
      <c r="K92" s="388"/>
      <c r="L92" s="526"/>
      <c r="M92" s="373"/>
      <c r="N92" s="373"/>
    </row>
    <row r="93" spans="1:17" x14ac:dyDescent="0.2">
      <c r="A93" s="359"/>
      <c r="B93" s="472" t="s">
        <v>423</v>
      </c>
      <c r="C93" s="527" t="s">
        <v>22</v>
      </c>
      <c r="D93" s="395">
        <v>49</v>
      </c>
      <c r="E93" s="396">
        <v>458.22</v>
      </c>
      <c r="F93" s="388">
        <f>ROUND(D93*E93,2)</f>
        <v>22452.78</v>
      </c>
      <c r="H93" s="479">
        <f>ROUND(E93*(1+$O$79),2)</f>
        <v>443.44</v>
      </c>
      <c r="I93" s="430">
        <f>ROUND(D93*H93,2)</f>
        <v>21728.560000000001</v>
      </c>
      <c r="J93" s="404"/>
      <c r="K93" s="388">
        <f>I93-F93</f>
        <v>-724.21999999999753</v>
      </c>
      <c r="L93" s="526"/>
      <c r="M93" s="373"/>
      <c r="N93" s="373"/>
      <c r="Q93" s="261">
        <f>H93/E93-1</f>
        <v>-3.2255248570555728E-2</v>
      </c>
    </row>
    <row r="94" spans="1:17" x14ac:dyDescent="0.2">
      <c r="A94" s="359"/>
      <c r="B94" s="484" t="s">
        <v>395</v>
      </c>
      <c r="C94" s="399" t="s">
        <v>29</v>
      </c>
      <c r="D94" s="395">
        <v>8250</v>
      </c>
      <c r="E94" s="396">
        <v>1.1499999999999999</v>
      </c>
      <c r="F94" s="388">
        <f>ROUND(D94*E94,2)</f>
        <v>9487.5</v>
      </c>
      <c r="H94" s="479">
        <f>H74</f>
        <v>1.22</v>
      </c>
      <c r="I94" s="430">
        <f>ROUND(D94*H94,2)</f>
        <v>10065</v>
      </c>
      <c r="J94" s="404"/>
      <c r="K94" s="388">
        <f>I94-F94</f>
        <v>577.5</v>
      </c>
      <c r="L94" s="526"/>
      <c r="M94" s="373"/>
      <c r="N94" s="373"/>
      <c r="Q94" s="261">
        <f>H94/E94-1</f>
        <v>6.0869565217391397E-2</v>
      </c>
    </row>
    <row r="95" spans="1:17" x14ac:dyDescent="0.2">
      <c r="A95" s="359"/>
      <c r="B95" s="484" t="s">
        <v>463</v>
      </c>
      <c r="C95" s="359"/>
      <c r="D95" s="395"/>
      <c r="E95" s="400"/>
      <c r="F95" s="547">
        <v>0</v>
      </c>
      <c r="H95" s="453"/>
      <c r="I95" s="548">
        <f>F95</f>
        <v>0</v>
      </c>
      <c r="J95" s="562"/>
      <c r="K95" s="388">
        <f>I95-F95</f>
        <v>0</v>
      </c>
      <c r="L95" s="526"/>
      <c r="M95" s="373"/>
      <c r="N95" s="373"/>
    </row>
    <row r="96" spans="1:17" x14ac:dyDescent="0.2">
      <c r="A96" s="359"/>
      <c r="B96" s="386"/>
      <c r="C96" s="359"/>
      <c r="D96" s="395"/>
      <c r="E96" s="400"/>
      <c r="F96" s="388"/>
      <c r="H96" s="453"/>
      <c r="I96" s="430"/>
      <c r="J96" s="404"/>
      <c r="K96" s="388"/>
      <c r="L96" s="526"/>
      <c r="M96" s="373"/>
      <c r="N96" s="373"/>
    </row>
    <row r="97" spans="1:17" x14ac:dyDescent="0.2">
      <c r="A97" s="359"/>
      <c r="B97" s="484" t="s">
        <v>448</v>
      </c>
      <c r="C97" s="359"/>
      <c r="D97" s="395"/>
      <c r="E97" s="400"/>
      <c r="F97" s="388"/>
      <c r="H97" s="453"/>
      <c r="I97" s="430"/>
      <c r="J97" s="404"/>
      <c r="K97" s="388"/>
      <c r="L97" s="526"/>
      <c r="M97" s="373"/>
      <c r="N97" s="373"/>
    </row>
    <row r="98" spans="1:17" x14ac:dyDescent="0.2">
      <c r="A98" s="359"/>
      <c r="B98" s="439" t="s">
        <v>375</v>
      </c>
      <c r="C98" s="460" t="s">
        <v>10</v>
      </c>
      <c r="D98" s="395">
        <v>31000</v>
      </c>
      <c r="E98" s="400">
        <v>0.19916</v>
      </c>
      <c r="F98" s="388">
        <f>ROUND(D98*E98,2)</f>
        <v>6173.96</v>
      </c>
      <c r="H98" s="401">
        <f>H79</f>
        <v>0.19273999999999999</v>
      </c>
      <c r="I98" s="430">
        <f>ROUND(D98*H98,2)</f>
        <v>5974.94</v>
      </c>
      <c r="J98" s="404"/>
      <c r="K98" s="388">
        <f>I98-F98</f>
        <v>-199.02000000000044</v>
      </c>
      <c r="L98" s="526"/>
      <c r="M98" s="373"/>
      <c r="N98" s="373"/>
      <c r="Q98" s="261">
        <f>H98/E98-1</f>
        <v>-3.2235388632255502E-2</v>
      </c>
    </row>
    <row r="99" spans="1:17" x14ac:dyDescent="0.2">
      <c r="A99" s="359"/>
      <c r="B99" s="439" t="s">
        <v>376</v>
      </c>
      <c r="C99" s="460" t="s">
        <v>10</v>
      </c>
      <c r="D99" s="395">
        <v>341634.3</v>
      </c>
      <c r="E99" s="400">
        <v>0.14119999999999999</v>
      </c>
      <c r="F99" s="388">
        <f>ROUND(D99*E99,2)</f>
        <v>48238.76</v>
      </c>
      <c r="H99" s="401">
        <f>H80</f>
        <v>0.13664000000000001</v>
      </c>
      <c r="I99" s="430">
        <f>ROUND(D99*H99,2)</f>
        <v>46680.91</v>
      </c>
      <c r="J99" s="404"/>
      <c r="K99" s="388">
        <f>I99-F99</f>
        <v>-1557.8499999999985</v>
      </c>
      <c r="L99" s="526"/>
      <c r="M99" s="373"/>
      <c r="N99" s="373"/>
      <c r="Q99" s="261">
        <f>H99/E99-1</f>
        <v>-3.2294617563739192E-2</v>
      </c>
    </row>
    <row r="100" spans="1:17" x14ac:dyDescent="0.2">
      <c r="A100" s="359"/>
      <c r="B100" s="281" t="s">
        <v>429</v>
      </c>
      <c r="C100" s="399" t="s">
        <v>10</v>
      </c>
      <c r="D100" s="382">
        <f>SUM(D98:D99)</f>
        <v>372634.3</v>
      </c>
      <c r="E100" s="564"/>
      <c r="F100" s="465">
        <f>SUM(F93:F99)</f>
        <v>86353</v>
      </c>
      <c r="H100" s="444"/>
      <c r="I100" s="465">
        <f>SUM(I93:I99)</f>
        <v>84449.41</v>
      </c>
      <c r="J100" s="404"/>
      <c r="K100" s="465">
        <f>SUM(K93:K99)</f>
        <v>-1903.5899999999965</v>
      </c>
      <c r="L100" s="525"/>
      <c r="M100" s="373"/>
      <c r="N100" s="373"/>
    </row>
    <row r="101" spans="1:17" x14ac:dyDescent="0.2">
      <c r="A101" s="359"/>
      <c r="B101" s="419"/>
      <c r="C101" s="407"/>
      <c r="D101" s="389"/>
      <c r="E101" s="564"/>
      <c r="F101" s="430"/>
      <c r="H101" s="444"/>
      <c r="I101" s="430"/>
      <c r="J101" s="404"/>
      <c r="K101" s="388"/>
      <c r="L101" s="391"/>
      <c r="M101" s="373"/>
      <c r="N101" s="373"/>
    </row>
    <row r="102" spans="1:17" x14ac:dyDescent="0.2">
      <c r="A102" s="359"/>
      <c r="B102" s="484" t="s">
        <v>443</v>
      </c>
      <c r="C102" s="399" t="s">
        <v>10</v>
      </c>
      <c r="D102" s="536">
        <f>D100</f>
        <v>372634.3</v>
      </c>
      <c r="E102" s="400">
        <v>6.9999999999999999E-4</v>
      </c>
      <c r="F102" s="430">
        <f>E102*D102</f>
        <v>260.84400999999997</v>
      </c>
      <c r="G102" s="537"/>
      <c r="H102" s="437">
        <v>6.9999999999999999E-4</v>
      </c>
      <c r="I102" s="388">
        <f>H102*D102</f>
        <v>260.84400999999997</v>
      </c>
      <c r="J102" s="404"/>
      <c r="K102" s="388">
        <f>I102-F102</f>
        <v>0</v>
      </c>
      <c r="L102" s="526"/>
      <c r="M102" s="373"/>
      <c r="N102" s="373"/>
    </row>
    <row r="103" spans="1:17" x14ac:dyDescent="0.2">
      <c r="A103" s="359"/>
      <c r="B103" s="472" t="s">
        <v>427</v>
      </c>
      <c r="C103" s="359"/>
      <c r="D103" s="389"/>
      <c r="E103" s="436"/>
      <c r="F103" s="465">
        <f>F102+F100</f>
        <v>86613.844010000001</v>
      </c>
      <c r="G103" s="465"/>
      <c r="H103" s="444"/>
      <c r="I103" s="465">
        <f>I102+I100</f>
        <v>84710.254010000004</v>
      </c>
      <c r="J103" s="473"/>
      <c r="K103" s="465">
        <f>K102+K100</f>
        <v>-1903.5899999999965</v>
      </c>
      <c r="L103" s="384"/>
      <c r="M103" s="373"/>
      <c r="N103" s="373"/>
    </row>
    <row r="104" spans="1:17" x14ac:dyDescent="0.2">
      <c r="A104" s="359"/>
      <c r="B104" s="421"/>
      <c r="C104" s="539"/>
      <c r="D104" s="540"/>
      <c r="E104" s="541"/>
      <c r="F104" s="428"/>
      <c r="G104" s="540"/>
      <c r="H104" s="542"/>
      <c r="I104" s="551"/>
      <c r="J104" s="543"/>
      <c r="K104" s="428"/>
      <c r="L104" s="429"/>
      <c r="M104" s="373"/>
      <c r="N104" s="373"/>
    </row>
    <row r="105" spans="1:17" s="359" customFormat="1" x14ac:dyDescent="0.2">
      <c r="D105" s="403"/>
      <c r="E105" s="567"/>
      <c r="F105" s="397"/>
      <c r="G105" s="389"/>
      <c r="H105" s="444"/>
      <c r="I105" s="544"/>
      <c r="J105" s="404"/>
      <c r="K105" s="388"/>
      <c r="L105" s="568"/>
      <c r="M105" s="373"/>
      <c r="N105" s="373"/>
    </row>
    <row r="106" spans="1:17" x14ac:dyDescent="0.2">
      <c r="A106" s="359"/>
      <c r="B106" s="378" t="s">
        <v>473</v>
      </c>
      <c r="C106" s="520"/>
      <c r="D106" s="382"/>
      <c r="E106" s="521"/>
      <c r="F106" s="381"/>
      <c r="G106" s="382"/>
      <c r="H106" s="523"/>
      <c r="I106" s="465"/>
      <c r="J106" s="524"/>
      <c r="K106" s="381"/>
      <c r="L106" s="384"/>
      <c r="M106" s="373"/>
      <c r="N106" s="373"/>
    </row>
    <row r="107" spans="1:17" x14ac:dyDescent="0.2">
      <c r="A107" s="359"/>
      <c r="B107" s="386"/>
      <c r="C107" s="359"/>
      <c r="D107" s="389"/>
      <c r="E107" s="415"/>
      <c r="F107" s="388"/>
      <c r="G107" s="440"/>
      <c r="H107" s="444"/>
      <c r="I107" s="430"/>
      <c r="J107" s="404"/>
      <c r="K107" s="388"/>
      <c r="L107" s="526"/>
      <c r="M107" s="373"/>
      <c r="N107" s="373"/>
    </row>
    <row r="108" spans="1:17" x14ac:dyDescent="0.2">
      <c r="A108" s="359"/>
      <c r="B108" s="472" t="s">
        <v>423</v>
      </c>
      <c r="C108" s="527" t="s">
        <v>22</v>
      </c>
      <c r="D108" s="403">
        <f>D73+D93</f>
        <v>2907.9139747435988</v>
      </c>
      <c r="E108" s="436"/>
      <c r="F108" s="388">
        <f>F73+F93</f>
        <v>434164.98</v>
      </c>
      <c r="H108" s="436"/>
      <c r="I108" s="388">
        <f>I73+I93</f>
        <v>420146.81</v>
      </c>
      <c r="J108" s="404"/>
      <c r="K108" s="388">
        <f>I108-F108</f>
        <v>-14018.169999999984</v>
      </c>
      <c r="L108" s="526"/>
      <c r="M108" s="373"/>
      <c r="N108" s="373"/>
    </row>
    <row r="109" spans="1:17" x14ac:dyDescent="0.2">
      <c r="A109" s="359"/>
      <c r="B109" s="484" t="s">
        <v>395</v>
      </c>
      <c r="C109" s="399" t="s">
        <v>29</v>
      </c>
      <c r="D109" s="403">
        <f>D74+D94</f>
        <v>92673.830999999991</v>
      </c>
      <c r="E109" s="436"/>
      <c r="F109" s="388">
        <f>F74+F94</f>
        <v>106574.91</v>
      </c>
      <c r="H109" s="436"/>
      <c r="I109" s="388">
        <f>I74+I94</f>
        <v>113062.07</v>
      </c>
      <c r="J109" s="404"/>
      <c r="K109" s="388">
        <f>I109-F109</f>
        <v>6487.1600000000035</v>
      </c>
      <c r="L109" s="526"/>
      <c r="M109" s="373"/>
      <c r="N109" s="373"/>
    </row>
    <row r="110" spans="1:17" x14ac:dyDescent="0.2">
      <c r="A110" s="359"/>
      <c r="B110" s="386" t="s">
        <v>441</v>
      </c>
      <c r="C110" s="399" t="s">
        <v>10</v>
      </c>
      <c r="D110" s="403">
        <f>D75</f>
        <v>9926029.5299999993</v>
      </c>
      <c r="E110" s="437"/>
      <c r="F110" s="388">
        <f>F75</f>
        <v>67596.259999999995</v>
      </c>
      <c r="H110" s="437"/>
      <c r="I110" s="388">
        <f>I75</f>
        <v>90029.09</v>
      </c>
      <c r="J110" s="404"/>
      <c r="K110" s="388">
        <f>I110-F110</f>
        <v>22432.83</v>
      </c>
      <c r="L110" s="526"/>
      <c r="M110" s="373"/>
      <c r="N110" s="373"/>
    </row>
    <row r="111" spans="1:17" x14ac:dyDescent="0.2">
      <c r="A111" s="359"/>
      <c r="B111" s="484" t="s">
        <v>463</v>
      </c>
      <c r="C111" s="359"/>
      <c r="D111" s="389"/>
      <c r="E111" s="437"/>
      <c r="F111" s="548">
        <f>F76+F95</f>
        <v>32304.22</v>
      </c>
      <c r="H111" s="453"/>
      <c r="I111" s="548">
        <f>I76+I95</f>
        <v>32304.22</v>
      </c>
      <c r="J111" s="562"/>
      <c r="K111" s="388">
        <f>I111-F111</f>
        <v>0</v>
      </c>
      <c r="L111" s="526"/>
      <c r="M111" s="373"/>
      <c r="N111" s="373"/>
    </row>
    <row r="112" spans="1:17" x14ac:dyDescent="0.2">
      <c r="A112" s="359"/>
      <c r="B112" s="386"/>
      <c r="C112" s="359"/>
      <c r="D112" s="389"/>
      <c r="E112" s="437"/>
      <c r="F112" s="388"/>
      <c r="H112" s="453"/>
      <c r="I112" s="388"/>
      <c r="J112" s="404"/>
      <c r="K112" s="388"/>
      <c r="L112" s="526"/>
      <c r="M112" s="373"/>
      <c r="N112" s="373"/>
    </row>
    <row r="113" spans="1:15" x14ac:dyDescent="0.2">
      <c r="A113" s="359"/>
      <c r="B113" s="484" t="s">
        <v>448</v>
      </c>
      <c r="C113" s="359"/>
      <c r="D113" s="389"/>
      <c r="E113" s="437"/>
      <c r="F113" s="388"/>
      <c r="H113" s="453"/>
      <c r="I113" s="388"/>
      <c r="J113" s="404"/>
      <c r="K113" s="388"/>
      <c r="L113" s="526"/>
      <c r="M113" s="373"/>
      <c r="N113" s="373"/>
    </row>
    <row r="114" spans="1:15" x14ac:dyDescent="0.2">
      <c r="A114" s="359"/>
      <c r="B114" s="439" t="s">
        <v>375</v>
      </c>
      <c r="C114" s="460" t="s">
        <v>10</v>
      </c>
      <c r="D114" s="403">
        <f>D79+D98</f>
        <v>2206439.4739999999</v>
      </c>
      <c r="E114" s="437"/>
      <c r="F114" s="388">
        <f>F79+F98</f>
        <v>439434.49000000005</v>
      </c>
      <c r="H114" s="401"/>
      <c r="I114" s="388">
        <f>I79+I98</f>
        <v>425269.14</v>
      </c>
      <c r="J114" s="404"/>
      <c r="K114" s="388">
        <f>I114-F114</f>
        <v>-14165.350000000035</v>
      </c>
      <c r="L114" s="526"/>
      <c r="M114" s="373"/>
      <c r="N114" s="373"/>
    </row>
    <row r="115" spans="1:15" x14ac:dyDescent="0.2">
      <c r="A115" s="359"/>
      <c r="B115" s="439" t="s">
        <v>376</v>
      </c>
      <c r="C115" s="460" t="s">
        <v>10</v>
      </c>
      <c r="D115" s="403">
        <f>D80+D99</f>
        <v>8092224.3559999997</v>
      </c>
      <c r="E115" s="437"/>
      <c r="F115" s="388">
        <f>F80+F99</f>
        <v>1142622.08</v>
      </c>
      <c r="H115" s="401"/>
      <c r="I115" s="388">
        <f>I80+I99</f>
        <v>1105721.5399999998</v>
      </c>
      <c r="J115" s="404"/>
      <c r="K115" s="388">
        <f>I115-F115</f>
        <v>-36900.54000000027</v>
      </c>
      <c r="L115" s="526"/>
      <c r="M115" s="373"/>
      <c r="N115" s="373"/>
    </row>
    <row r="116" spans="1:15" x14ac:dyDescent="0.2">
      <c r="A116" s="359"/>
      <c r="B116" s="281" t="s">
        <v>429</v>
      </c>
      <c r="C116" s="399" t="s">
        <v>10</v>
      </c>
      <c r="D116" s="382">
        <f>SUM(D114:D115)</f>
        <v>10298663.83</v>
      </c>
      <c r="E116" s="415"/>
      <c r="F116" s="465">
        <f>SUM(F108:F115)</f>
        <v>2222696.9400000004</v>
      </c>
      <c r="H116" s="444"/>
      <c r="I116" s="465">
        <f>SUM(I108:I115)</f>
        <v>2186532.87</v>
      </c>
      <c r="J116" s="404"/>
      <c r="K116" s="465">
        <f>SUM(K108:K115)</f>
        <v>-36164.070000000283</v>
      </c>
      <c r="L116" s="525">
        <f>K116/F116</f>
        <v>-1.6270355777787807E-2</v>
      </c>
      <c r="M116" s="373"/>
      <c r="N116" s="373"/>
    </row>
    <row r="117" spans="1:15" x14ac:dyDescent="0.2">
      <c r="A117" s="359"/>
      <c r="B117" s="419"/>
      <c r="C117" s="407"/>
      <c r="D117" s="389"/>
      <c r="E117" s="415"/>
      <c r="F117" s="430"/>
      <c r="H117" s="444"/>
      <c r="I117" s="430"/>
      <c r="J117" s="404"/>
      <c r="K117" s="388"/>
      <c r="L117" s="391"/>
      <c r="M117" s="373"/>
      <c r="N117" s="373"/>
    </row>
    <row r="118" spans="1:15" x14ac:dyDescent="0.2">
      <c r="A118" s="359"/>
      <c r="B118" s="249" t="s">
        <v>426</v>
      </c>
      <c r="C118" s="407"/>
      <c r="D118" s="389"/>
      <c r="E118" s="415"/>
      <c r="F118" s="430"/>
      <c r="H118" s="444"/>
      <c r="I118" s="430"/>
      <c r="J118" s="404"/>
      <c r="K118" s="388"/>
      <c r="L118" s="391"/>
      <c r="M118" s="373"/>
      <c r="N118" s="373"/>
    </row>
    <row r="119" spans="1:15" x14ac:dyDescent="0.2">
      <c r="A119" s="359"/>
      <c r="B119" s="484" t="s">
        <v>451</v>
      </c>
      <c r="C119" s="399" t="s">
        <v>10</v>
      </c>
      <c r="D119" s="536">
        <f>D116</f>
        <v>10298663.83</v>
      </c>
      <c r="E119" s="437"/>
      <c r="F119" s="430">
        <f>F84</f>
        <v>3451677.5087621999</v>
      </c>
      <c r="G119" s="537"/>
      <c r="H119" s="437"/>
      <c r="I119" s="430">
        <f>I84</f>
        <v>3896859.9331826996</v>
      </c>
      <c r="J119" s="404"/>
      <c r="K119" s="388">
        <f>I119-F119</f>
        <v>445182.42442049971</v>
      </c>
      <c r="L119" s="526"/>
      <c r="M119" s="373"/>
      <c r="N119" s="373"/>
    </row>
    <row r="120" spans="1:15" x14ac:dyDescent="0.2">
      <c r="A120" s="359"/>
      <c r="B120" s="484" t="s">
        <v>395</v>
      </c>
      <c r="C120" s="399" t="s">
        <v>29</v>
      </c>
      <c r="D120" s="536">
        <f>D109</f>
        <v>92673.830999999991</v>
      </c>
      <c r="E120" s="436"/>
      <c r="F120" s="430">
        <f>F85</f>
        <v>88645.022549999994</v>
      </c>
      <c r="G120" s="537"/>
      <c r="H120" s="436"/>
      <c r="I120" s="430">
        <f>I85</f>
        <v>88645.022549999994</v>
      </c>
      <c r="J120" s="404"/>
      <c r="K120" s="388">
        <f>I120-F120</f>
        <v>0</v>
      </c>
      <c r="L120" s="391"/>
      <c r="M120" s="373"/>
      <c r="N120" s="373"/>
    </row>
    <row r="121" spans="1:15" x14ac:dyDescent="0.2">
      <c r="A121" s="359"/>
      <c r="B121" s="484" t="s">
        <v>443</v>
      </c>
      <c r="C121" s="399" t="s">
        <v>10</v>
      </c>
      <c r="D121" s="536">
        <f>D119</f>
        <v>10298663.83</v>
      </c>
      <c r="E121" s="436"/>
      <c r="F121" s="430">
        <f>F102</f>
        <v>260.84400999999997</v>
      </c>
      <c r="G121" s="537"/>
      <c r="H121" s="436"/>
      <c r="I121" s="430">
        <f>I102</f>
        <v>260.84400999999997</v>
      </c>
      <c r="J121" s="404"/>
      <c r="K121" s="388">
        <f>I121-F121</f>
        <v>0</v>
      </c>
      <c r="L121" s="391"/>
      <c r="M121" s="373"/>
      <c r="N121" s="373"/>
    </row>
    <row r="122" spans="1:15" x14ac:dyDescent="0.2">
      <c r="A122" s="359"/>
      <c r="B122" s="472" t="s">
        <v>452</v>
      </c>
      <c r="C122" s="407"/>
      <c r="D122" s="390"/>
      <c r="E122" s="473"/>
      <c r="F122" s="465">
        <f>SUM(F119:F121)</f>
        <v>3540583.3753221999</v>
      </c>
      <c r="G122" s="390"/>
      <c r="H122" s="444"/>
      <c r="I122" s="465">
        <f>SUM(I119:I121)</f>
        <v>3985765.7997426996</v>
      </c>
      <c r="J122" s="473"/>
      <c r="K122" s="465">
        <f>SUM(K119:K121)</f>
        <v>445182.42442049971</v>
      </c>
      <c r="L122" s="525">
        <f>ROUND(K122/F122,5)</f>
        <v>0.12573999999999999</v>
      </c>
      <c r="M122" s="373"/>
      <c r="N122" s="373"/>
    </row>
    <row r="123" spans="1:15" x14ac:dyDescent="0.2">
      <c r="A123" s="359"/>
      <c r="B123" s="419"/>
      <c r="C123" s="407"/>
      <c r="D123" s="390"/>
      <c r="E123" s="473"/>
      <c r="F123" s="430"/>
      <c r="G123" s="390"/>
      <c r="H123" s="444"/>
      <c r="I123" s="430"/>
      <c r="J123" s="473"/>
      <c r="K123" s="430"/>
      <c r="L123" s="526"/>
      <c r="M123" s="373"/>
      <c r="N123" s="373"/>
    </row>
    <row r="124" spans="1:15" x14ac:dyDescent="0.2">
      <c r="A124" s="359"/>
      <c r="B124" s="472" t="s">
        <v>427</v>
      </c>
      <c r="C124" s="407"/>
      <c r="D124" s="390"/>
      <c r="E124" s="473"/>
      <c r="F124" s="465">
        <f>F116+F122</f>
        <v>5763280.3153221998</v>
      </c>
      <c r="G124" s="390"/>
      <c r="H124" s="444"/>
      <c r="I124" s="465">
        <f>I116+I122</f>
        <v>6172298.6697426997</v>
      </c>
      <c r="J124" s="473"/>
      <c r="K124" s="465">
        <f>K116+K122</f>
        <v>409018.35442049941</v>
      </c>
      <c r="L124" s="525">
        <f>ROUND(K124/F124,5)</f>
        <v>7.0970000000000005E-2</v>
      </c>
      <c r="M124" s="373"/>
      <c r="N124" s="373"/>
    </row>
    <row r="125" spans="1:15" x14ac:dyDescent="0.2">
      <c r="A125" s="359"/>
      <c r="B125" s="421"/>
      <c r="C125" s="539"/>
      <c r="D125" s="540"/>
      <c r="E125" s="541"/>
      <c r="F125" s="428"/>
      <c r="G125" s="540"/>
      <c r="H125" s="542"/>
      <c r="I125" s="551"/>
      <c r="J125" s="543"/>
      <c r="K125" s="428"/>
      <c r="L125" s="566"/>
      <c r="M125" s="373"/>
      <c r="N125" s="373"/>
    </row>
    <row r="126" spans="1:15" s="359" customFormat="1" x14ac:dyDescent="0.2">
      <c r="B126" s="390"/>
      <c r="C126" s="390"/>
      <c r="D126" s="403"/>
      <c r="E126" s="567"/>
      <c r="F126" s="397"/>
      <c r="G126" s="389"/>
      <c r="H126" s="444"/>
      <c r="I126" s="544"/>
      <c r="J126" s="545"/>
      <c r="K126" s="397"/>
      <c r="L126" s="569"/>
      <c r="M126" s="373"/>
      <c r="N126" s="373"/>
    </row>
    <row r="127" spans="1:15" s="359" customFormat="1" x14ac:dyDescent="0.2">
      <c r="B127" s="390"/>
      <c r="C127" s="390"/>
      <c r="D127" s="389"/>
      <c r="E127" s="453"/>
      <c r="F127" s="397"/>
      <c r="G127" s="389"/>
      <c r="H127" s="444"/>
      <c r="I127" s="544"/>
      <c r="J127" s="545"/>
      <c r="K127" s="397"/>
      <c r="L127" s="569"/>
      <c r="M127" s="373"/>
      <c r="N127" s="373"/>
    </row>
    <row r="128" spans="1:15" x14ac:dyDescent="0.2">
      <c r="B128" s="378" t="s">
        <v>474</v>
      </c>
      <c r="C128" s="520"/>
      <c r="D128" s="382"/>
      <c r="E128" s="521"/>
      <c r="F128" s="381"/>
      <c r="G128" s="382"/>
      <c r="H128" s="523"/>
      <c r="I128" s="465"/>
      <c r="J128" s="524"/>
      <c r="K128" s="381"/>
      <c r="L128" s="525"/>
      <c r="M128" s="373"/>
      <c r="N128" s="560"/>
      <c r="O128" s="570" t="s">
        <v>475</v>
      </c>
    </row>
    <row r="129" spans="2:17" x14ac:dyDescent="0.2">
      <c r="B129" s="386"/>
      <c r="C129" s="359"/>
      <c r="D129" s="389"/>
      <c r="E129" s="415"/>
      <c r="F129" s="388"/>
      <c r="H129" s="444"/>
      <c r="I129" s="430"/>
      <c r="J129" s="404"/>
      <c r="K129" s="388"/>
      <c r="L129" s="526"/>
      <c r="M129" s="373"/>
      <c r="N129" s="560"/>
      <c r="O129" s="571">
        <v>-77892.813406896064</v>
      </c>
    </row>
    <row r="130" spans="2:17" x14ac:dyDescent="0.2">
      <c r="B130" s="472" t="s">
        <v>423</v>
      </c>
      <c r="C130" s="527" t="s">
        <v>22</v>
      </c>
      <c r="D130" s="395">
        <v>59.787364924481885</v>
      </c>
      <c r="E130" s="396">
        <v>579.19000000000005</v>
      </c>
      <c r="F130" s="388">
        <f>ROUND(D130*E130,2)</f>
        <v>34628.239999999998</v>
      </c>
      <c r="H130" s="479">
        <f>ROUND(E130*(1+$O$140),2)</f>
        <v>557.39</v>
      </c>
      <c r="I130" s="430">
        <f>ROUND(D130*H130,2)</f>
        <v>33324.879999999997</v>
      </c>
      <c r="J130" s="404"/>
      <c r="K130" s="388">
        <f>I130-F130</f>
        <v>-1303.3600000000006</v>
      </c>
      <c r="L130" s="405"/>
      <c r="M130" s="373"/>
      <c r="N130" s="560"/>
      <c r="O130" s="572" t="s">
        <v>425</v>
      </c>
      <c r="Q130" s="261">
        <f>H130/E130-1</f>
        <v>-3.7638771387627612E-2</v>
      </c>
    </row>
    <row r="131" spans="2:17" x14ac:dyDescent="0.2">
      <c r="B131" s="484" t="s">
        <v>395</v>
      </c>
      <c r="C131" s="399" t="s">
        <v>29</v>
      </c>
      <c r="D131" s="395">
        <v>0</v>
      </c>
      <c r="E131" s="396">
        <v>1.1499999999999999</v>
      </c>
      <c r="F131" s="388">
        <f>ROUND(D131*E131,2)</f>
        <v>0</v>
      </c>
      <c r="H131" s="396">
        <v>1.38</v>
      </c>
      <c r="I131" s="430">
        <f>ROUND(D131*H131,2)</f>
        <v>0</v>
      </c>
      <c r="J131" s="404"/>
      <c r="K131" s="388">
        <f>I131-F131</f>
        <v>0</v>
      </c>
      <c r="L131" s="405"/>
      <c r="M131" s="373"/>
      <c r="N131" s="573"/>
      <c r="O131" s="574">
        <f>+K142+K165-O129</f>
        <v>158.90340689585719</v>
      </c>
      <c r="Q131" s="261">
        <f>H131/E131-1</f>
        <v>0.19999999999999996</v>
      </c>
    </row>
    <row r="132" spans="2:17" x14ac:dyDescent="0.2">
      <c r="B132" s="386" t="s">
        <v>441</v>
      </c>
      <c r="C132" s="399"/>
      <c r="D132" s="403">
        <f>D142</f>
        <v>23311381.287999999</v>
      </c>
      <c r="E132" s="400">
        <v>5.3899999999999998E-3</v>
      </c>
      <c r="F132" s="388">
        <f>ROUND(D132*E132,2)</f>
        <v>125648.35</v>
      </c>
      <c r="H132" s="400">
        <v>5.94E-3</v>
      </c>
      <c r="I132" s="388">
        <f>ROUND(D132*H132,2)</f>
        <v>138469.6</v>
      </c>
      <c r="J132" s="404"/>
      <c r="K132" s="388">
        <f>I132-F132</f>
        <v>12821.25</v>
      </c>
      <c r="L132" s="405"/>
      <c r="M132" s="373"/>
      <c r="N132" s="373"/>
      <c r="O132" s="448"/>
      <c r="Q132" s="261">
        <f>H132/E132-1</f>
        <v>0.10204081632653073</v>
      </c>
    </row>
    <row r="133" spans="2:17" x14ac:dyDescent="0.2">
      <c r="B133" s="435" t="s">
        <v>463</v>
      </c>
      <c r="C133" s="390"/>
      <c r="D133" s="389"/>
      <c r="E133" s="396"/>
      <c r="F133" s="530">
        <v>83383.63</v>
      </c>
      <c r="H133" s="401" t="s">
        <v>249</v>
      </c>
      <c r="I133" s="548">
        <f>F133</f>
        <v>83383.63</v>
      </c>
      <c r="J133" s="404"/>
      <c r="K133" s="388">
        <f>I133-F133</f>
        <v>0</v>
      </c>
      <c r="L133" s="405"/>
      <c r="M133" s="373"/>
      <c r="N133" s="373"/>
      <c r="O133" s="575"/>
    </row>
    <row r="134" spans="2:17" x14ac:dyDescent="0.2">
      <c r="B134" s="386"/>
      <c r="C134" s="359"/>
      <c r="D134" s="389"/>
      <c r="E134" s="549"/>
      <c r="F134" s="388"/>
      <c r="H134" s="401"/>
      <c r="I134" s="430"/>
      <c r="J134" s="404"/>
      <c r="K134" s="448"/>
      <c r="L134" s="405"/>
      <c r="M134" s="373"/>
      <c r="N134" s="528"/>
      <c r="O134" s="576"/>
    </row>
    <row r="135" spans="2:17" x14ac:dyDescent="0.2">
      <c r="B135" s="484" t="s">
        <v>448</v>
      </c>
      <c r="C135" s="359"/>
      <c r="D135" s="389"/>
      <c r="E135" s="549"/>
      <c r="F135" s="388"/>
      <c r="H135" s="453"/>
      <c r="I135" s="430"/>
      <c r="J135" s="404"/>
      <c r="K135" s="448"/>
      <c r="L135" s="405"/>
      <c r="M135" s="373"/>
      <c r="N135" s="373"/>
      <c r="O135" s="577"/>
      <c r="P135" s="495"/>
      <c r="Q135" s="495"/>
    </row>
    <row r="136" spans="2:17" x14ac:dyDescent="0.2">
      <c r="B136" s="386" t="s">
        <v>464</v>
      </c>
      <c r="C136" s="399" t="s">
        <v>10</v>
      </c>
      <c r="D136" s="395">
        <v>1467943.9100000001</v>
      </c>
      <c r="E136" s="400">
        <v>0.14454</v>
      </c>
      <c r="F136" s="388">
        <f t="shared" ref="F136:F141" si="0">ROUND(D136*E136,2)</f>
        <v>212176.61</v>
      </c>
      <c r="H136" s="401">
        <f t="shared" ref="H136:H141" si="1">ROUND(E136*(1+$O$140),5)</f>
        <v>0.1391</v>
      </c>
      <c r="I136" s="430">
        <f t="shared" ref="I136:I141" si="2">ROUND(D136*H136,2)</f>
        <v>204191</v>
      </c>
      <c r="J136" s="404"/>
      <c r="K136" s="388">
        <f t="shared" ref="K136:K141" si="3">I136-F136</f>
        <v>-7985.609999999986</v>
      </c>
      <c r="L136" s="405"/>
      <c r="M136" s="373"/>
      <c r="N136" s="373"/>
      <c r="O136" s="578"/>
      <c r="P136" s="579"/>
      <c r="Q136" s="261">
        <f>H136/E136-1</f>
        <v>-3.7636640376366381E-2</v>
      </c>
    </row>
    <row r="137" spans="2:17" x14ac:dyDescent="0.2">
      <c r="B137" s="386" t="s">
        <v>465</v>
      </c>
      <c r="C137" s="399" t="s">
        <v>10</v>
      </c>
      <c r="D137" s="395">
        <v>1444685</v>
      </c>
      <c r="E137" s="400">
        <v>8.7349999999999997E-2</v>
      </c>
      <c r="F137" s="388">
        <f t="shared" si="0"/>
        <v>126193.23</v>
      </c>
      <c r="H137" s="401">
        <f t="shared" si="1"/>
        <v>8.4059999999999996E-2</v>
      </c>
      <c r="I137" s="430">
        <f t="shared" si="2"/>
        <v>121440.22</v>
      </c>
      <c r="J137" s="404"/>
      <c r="K137" s="388">
        <f t="shared" si="3"/>
        <v>-4753.0099999999948</v>
      </c>
      <c r="L137" s="405"/>
      <c r="M137" s="373"/>
      <c r="N137" s="373"/>
      <c r="O137" s="476"/>
      <c r="P137" s="359"/>
      <c r="Q137" s="261">
        <f>H137/E137-1</f>
        <v>-3.7664567830566709E-2</v>
      </c>
    </row>
    <row r="138" spans="2:17" x14ac:dyDescent="0.2">
      <c r="B138" s="386" t="s">
        <v>468</v>
      </c>
      <c r="C138" s="399" t="s">
        <v>10</v>
      </c>
      <c r="D138" s="395">
        <v>2610928.531</v>
      </c>
      <c r="E138" s="400">
        <v>5.5579999999999997E-2</v>
      </c>
      <c r="F138" s="388">
        <f t="shared" si="0"/>
        <v>145115.41</v>
      </c>
      <c r="H138" s="401">
        <f t="shared" si="1"/>
        <v>5.3490000000000003E-2</v>
      </c>
      <c r="I138" s="430">
        <f t="shared" si="2"/>
        <v>139658.57</v>
      </c>
      <c r="J138" s="404"/>
      <c r="K138" s="388">
        <f t="shared" si="3"/>
        <v>-5456.8399999999965</v>
      </c>
      <c r="L138" s="526"/>
      <c r="M138" s="373"/>
      <c r="N138" s="373"/>
      <c r="O138" s="527"/>
      <c r="P138" s="527"/>
      <c r="Q138" s="261">
        <f>H138/E138-1</f>
        <v>-3.7603454480028664E-2</v>
      </c>
    </row>
    <row r="139" spans="2:17" x14ac:dyDescent="0.2">
      <c r="B139" s="386" t="s">
        <v>34</v>
      </c>
      <c r="C139" s="399" t="s">
        <v>10</v>
      </c>
      <c r="D139" s="395">
        <v>3148639.4549999996</v>
      </c>
      <c r="E139" s="400">
        <v>3.5639999999999998E-2</v>
      </c>
      <c r="F139" s="388">
        <f t="shared" si="0"/>
        <v>112217.51</v>
      </c>
      <c r="H139" s="401">
        <f t="shared" si="1"/>
        <v>3.4299999999999997E-2</v>
      </c>
      <c r="I139" s="430">
        <f t="shared" si="2"/>
        <v>107998.33</v>
      </c>
      <c r="J139" s="404"/>
      <c r="K139" s="388">
        <f t="shared" si="3"/>
        <v>-4219.179999999993</v>
      </c>
      <c r="L139" s="526"/>
      <c r="M139" s="373"/>
      <c r="N139" s="373"/>
      <c r="O139" s="399"/>
      <c r="P139" s="399"/>
      <c r="Q139" s="261">
        <f>H139/E139-1</f>
        <v>-3.7598204264870927E-2</v>
      </c>
    </row>
    <row r="140" spans="2:17" x14ac:dyDescent="0.2">
      <c r="B140" s="386" t="s">
        <v>382</v>
      </c>
      <c r="C140" s="399" t="s">
        <v>10</v>
      </c>
      <c r="D140" s="395">
        <v>3956750.5819999999</v>
      </c>
      <c r="E140" s="400">
        <v>2.564E-2</v>
      </c>
      <c r="F140" s="388">
        <f t="shared" si="0"/>
        <v>101451.08</v>
      </c>
      <c r="H140" s="401">
        <f>ROUND(E140*(1+$O$140),5)</f>
        <v>2.4680000000000001E-2</v>
      </c>
      <c r="I140" s="430">
        <f t="shared" si="2"/>
        <v>97652.6</v>
      </c>
      <c r="J140" s="404"/>
      <c r="K140" s="388">
        <f t="shared" si="3"/>
        <v>-3798.4799999999959</v>
      </c>
      <c r="L140" s="526"/>
      <c r="M140" s="373"/>
      <c r="N140" s="373"/>
      <c r="O140" s="413">
        <v>-3.7635543330283718E-2</v>
      </c>
      <c r="P140" s="359"/>
      <c r="Q140" s="261">
        <f>H140/E140-1</f>
        <v>-3.7441497659906342E-2</v>
      </c>
    </row>
    <row r="141" spans="2:17" x14ac:dyDescent="0.2">
      <c r="B141" s="386" t="s">
        <v>383</v>
      </c>
      <c r="C141" s="399" t="s">
        <v>10</v>
      </c>
      <c r="D141" s="395">
        <v>10682433.809999999</v>
      </c>
      <c r="E141" s="400">
        <v>1.9769999999999999E-2</v>
      </c>
      <c r="F141" s="388">
        <f t="shared" si="0"/>
        <v>211191.72</v>
      </c>
      <c r="H141" s="401">
        <f t="shared" si="1"/>
        <v>1.9029999999999998E-2</v>
      </c>
      <c r="I141" s="430">
        <f t="shared" si="2"/>
        <v>203286.72</v>
      </c>
      <c r="J141" s="404"/>
      <c r="K141" s="388">
        <f t="shared" si="3"/>
        <v>-7905</v>
      </c>
      <c r="L141" s="526"/>
      <c r="M141" s="373"/>
      <c r="N141" s="373"/>
      <c r="O141" s="399"/>
      <c r="P141" s="407"/>
      <c r="Q141" s="336"/>
    </row>
    <row r="142" spans="2:17" x14ac:dyDescent="0.2">
      <c r="B142" s="281" t="s">
        <v>429</v>
      </c>
      <c r="C142" s="399" t="s">
        <v>10</v>
      </c>
      <c r="D142" s="580">
        <f>SUM(D136:D141)</f>
        <v>23311381.287999999</v>
      </c>
      <c r="E142" s="564"/>
      <c r="F142" s="465">
        <f>SUM(F130:F141)</f>
        <v>1152005.78</v>
      </c>
      <c r="H142" s="444"/>
      <c r="I142" s="465">
        <f>SUM(I130:I141)</f>
        <v>1129405.5499999998</v>
      </c>
      <c r="J142" s="404"/>
      <c r="K142" s="465">
        <f>I142-F142</f>
        <v>-22600.230000000214</v>
      </c>
      <c r="L142" s="525">
        <f>K142/F142</f>
        <v>-1.9618156776956636E-2</v>
      </c>
      <c r="M142" s="373"/>
      <c r="N142" s="373"/>
      <c r="O142" s="399"/>
      <c r="P142" s="581"/>
      <c r="Q142" s="336"/>
    </row>
    <row r="143" spans="2:17" x14ac:dyDescent="0.2">
      <c r="B143" s="419"/>
      <c r="C143" s="407"/>
      <c r="D143" s="389"/>
      <c r="E143" s="564"/>
      <c r="F143" s="388"/>
      <c r="H143" s="444"/>
      <c r="I143" s="430"/>
      <c r="J143" s="404"/>
      <c r="K143" s="388"/>
      <c r="L143" s="391"/>
      <c r="M143" s="373"/>
      <c r="N143" s="538"/>
      <c r="O143" s="582"/>
      <c r="P143" s="399"/>
      <c r="Q143" s="389"/>
    </row>
    <row r="144" spans="2:17" x14ac:dyDescent="0.2">
      <c r="B144" s="249" t="s">
        <v>426</v>
      </c>
      <c r="C144" s="407"/>
      <c r="D144" s="389"/>
      <c r="E144" s="564"/>
      <c r="F144" s="388"/>
      <c r="H144" s="444"/>
      <c r="I144" s="430"/>
      <c r="J144" s="404"/>
      <c r="K144" s="388"/>
      <c r="L144" s="391"/>
      <c r="M144" s="373"/>
      <c r="N144" s="373"/>
      <c r="O144" s="407"/>
      <c r="P144" s="407"/>
      <c r="Q144" s="390"/>
    </row>
    <row r="145" spans="1:17" x14ac:dyDescent="0.2">
      <c r="B145" s="484" t="s">
        <v>451</v>
      </c>
      <c r="C145" s="399" t="s">
        <v>10</v>
      </c>
      <c r="D145" s="536">
        <f>D142</f>
        <v>23311381.287999999</v>
      </c>
      <c r="E145" s="400">
        <v>0.34531000000000001</v>
      </c>
      <c r="F145" s="430">
        <f>+E145*D145</f>
        <v>8049653.0725592794</v>
      </c>
      <c r="G145" s="537"/>
      <c r="H145" s="400">
        <v>0.39035999999999998</v>
      </c>
      <c r="I145" s="430">
        <f>+H145*D145</f>
        <v>9099830.7995836791</v>
      </c>
      <c r="J145" s="404"/>
      <c r="K145" s="388">
        <f>I145-F145</f>
        <v>1050177.7270243997</v>
      </c>
      <c r="L145" s="526"/>
      <c r="M145" s="373"/>
      <c r="N145" s="373"/>
      <c r="O145" s="359"/>
      <c r="P145" s="359"/>
      <c r="Q145" s="390"/>
    </row>
    <row r="146" spans="1:17" x14ac:dyDescent="0.2">
      <c r="B146" s="484" t="s">
        <v>395</v>
      </c>
      <c r="C146" s="399" t="s">
        <v>29</v>
      </c>
      <c r="D146" s="536">
        <f>D131</f>
        <v>0</v>
      </c>
      <c r="E146" s="396">
        <v>1.05</v>
      </c>
      <c r="F146" s="430">
        <f>D146*E146</f>
        <v>0</v>
      </c>
      <c r="G146" s="537"/>
      <c r="H146" s="396">
        <v>1.05</v>
      </c>
      <c r="I146" s="430">
        <f>D146*H146</f>
        <v>0</v>
      </c>
      <c r="J146" s="404"/>
      <c r="K146" s="388">
        <f>I146-F146</f>
        <v>0</v>
      </c>
      <c r="L146" s="391"/>
      <c r="M146" s="373"/>
      <c r="N146" s="373"/>
      <c r="O146" s="407"/>
      <c r="P146" s="407"/>
      <c r="Q146" s="390"/>
    </row>
    <row r="147" spans="1:17" x14ac:dyDescent="0.2">
      <c r="B147" s="472" t="s">
        <v>452</v>
      </c>
      <c r="C147" s="407"/>
      <c r="D147" s="390"/>
      <c r="E147" s="473"/>
      <c r="F147" s="465">
        <f>SUM(F145:F146)</f>
        <v>8049653.0725592794</v>
      </c>
      <c r="G147" s="390"/>
      <c r="H147" s="444"/>
      <c r="I147" s="465">
        <f>SUM(I145:I146)</f>
        <v>9099830.7995836791</v>
      </c>
      <c r="J147" s="465"/>
      <c r="K147" s="465">
        <f>I147-F147</f>
        <v>1050177.7270243997</v>
      </c>
      <c r="L147" s="525">
        <f>ROUND(K147/F147,5)</f>
        <v>0.13045999999999999</v>
      </c>
      <c r="M147" s="373"/>
      <c r="N147" s="373"/>
      <c r="O147" s="359"/>
      <c r="P147" s="359"/>
      <c r="Q147" s="390"/>
    </row>
    <row r="148" spans="1:17" x14ac:dyDescent="0.2">
      <c r="B148" s="386"/>
      <c r="C148" s="359"/>
      <c r="D148" s="389"/>
      <c r="E148" s="473"/>
      <c r="F148" s="430"/>
      <c r="H148" s="444"/>
      <c r="I148" s="430"/>
      <c r="J148" s="430"/>
      <c r="K148" s="388"/>
      <c r="L148" s="391"/>
      <c r="M148" s="373"/>
      <c r="N148" s="373"/>
      <c r="O148" s="527"/>
      <c r="P148" s="399"/>
      <c r="Q148" s="389"/>
    </row>
    <row r="149" spans="1:17" x14ac:dyDescent="0.2">
      <c r="B149" s="386" t="s">
        <v>427</v>
      </c>
      <c r="C149" s="359"/>
      <c r="D149" s="389"/>
      <c r="E149" s="473"/>
      <c r="F149" s="465">
        <f>F142+F147</f>
        <v>9201658.8525592797</v>
      </c>
      <c r="H149" s="444"/>
      <c r="I149" s="465">
        <f>I142+I147</f>
        <v>10229236.349583678</v>
      </c>
      <c r="J149" s="404"/>
      <c r="K149" s="465">
        <f>K142+K147</f>
        <v>1027577.4970243995</v>
      </c>
      <c r="L149" s="525">
        <f>K149/F149</f>
        <v>0.11167307042018808</v>
      </c>
      <c r="M149" s="373"/>
      <c r="N149" s="373"/>
      <c r="O149" s="399"/>
      <c r="P149" s="399"/>
      <c r="Q149" s="389"/>
    </row>
    <row r="150" spans="1:17" x14ac:dyDescent="0.2">
      <c r="A150" s="359"/>
      <c r="B150" s="421"/>
      <c r="C150" s="539"/>
      <c r="D150" s="540"/>
      <c r="E150" s="557"/>
      <c r="F150" s="427"/>
      <c r="G150" s="540"/>
      <c r="H150" s="542"/>
      <c r="I150" s="551"/>
      <c r="J150" s="543"/>
      <c r="K150" s="428"/>
      <c r="L150" s="566"/>
      <c r="M150" s="373"/>
      <c r="N150" s="373"/>
      <c r="O150" s="527"/>
      <c r="P150" s="399"/>
      <c r="Q150" s="389"/>
    </row>
    <row r="151" spans="1:17" x14ac:dyDescent="0.2">
      <c r="A151" s="359"/>
      <c r="B151" s="359"/>
      <c r="C151" s="359"/>
      <c r="D151" s="389"/>
      <c r="E151" s="453"/>
      <c r="F151" s="397"/>
      <c r="H151" s="444"/>
      <c r="I151" s="430"/>
      <c r="J151" s="404"/>
      <c r="K151" s="388"/>
      <c r="L151" s="568"/>
      <c r="M151" s="373"/>
      <c r="N151" s="373"/>
      <c r="O151" s="399"/>
      <c r="P151" s="399"/>
      <c r="Q151" s="389"/>
    </row>
    <row r="152" spans="1:17" x14ac:dyDescent="0.2">
      <c r="A152" s="359"/>
      <c r="B152" s="378" t="s">
        <v>476</v>
      </c>
      <c r="C152" s="520"/>
      <c r="D152" s="382"/>
      <c r="E152" s="521"/>
      <c r="F152" s="381"/>
      <c r="G152" s="382"/>
      <c r="H152" s="523"/>
      <c r="I152" s="465"/>
      <c r="J152" s="524"/>
      <c r="K152" s="381"/>
      <c r="L152" s="525"/>
      <c r="M152" s="373"/>
      <c r="N152" s="373"/>
      <c r="O152" s="359"/>
      <c r="P152" s="359"/>
      <c r="Q152" s="389"/>
    </row>
    <row r="153" spans="1:17" x14ac:dyDescent="0.2">
      <c r="A153" s="359"/>
      <c r="B153" s="386"/>
      <c r="C153" s="359"/>
      <c r="D153" s="389"/>
      <c r="E153" s="415"/>
      <c r="F153" s="388"/>
      <c r="H153" s="444"/>
      <c r="I153" s="430"/>
      <c r="J153" s="404"/>
      <c r="K153" s="388"/>
      <c r="L153" s="526"/>
      <c r="M153" s="373"/>
      <c r="N153" s="373"/>
      <c r="O153" s="359"/>
      <c r="P153" s="359"/>
      <c r="Q153" s="389"/>
    </row>
    <row r="154" spans="1:17" x14ac:dyDescent="0.2">
      <c r="A154" s="359"/>
      <c r="B154" s="472" t="s">
        <v>423</v>
      </c>
      <c r="C154" s="527" t="s">
        <v>22</v>
      </c>
      <c r="D154" s="395">
        <v>129.03333266999661</v>
      </c>
      <c r="E154" s="396">
        <v>926.71</v>
      </c>
      <c r="F154" s="388">
        <f>ROUND(D154*E154,2)</f>
        <v>119576.48</v>
      </c>
      <c r="H154" s="479">
        <f>ROUND(E154*(1+$O$140),2)</f>
        <v>891.83</v>
      </c>
      <c r="I154" s="430">
        <f>ROUND(D154*H154,2)</f>
        <v>115075.8</v>
      </c>
      <c r="J154" s="404"/>
      <c r="K154" s="388">
        <f>I154-F154</f>
        <v>-4500.679999999993</v>
      </c>
      <c r="L154" s="405"/>
      <c r="M154" s="373"/>
      <c r="N154" s="373"/>
      <c r="O154" s="359"/>
      <c r="P154" s="359"/>
      <c r="Q154" s="261">
        <f>H154/E154-1</f>
        <v>-3.763852769474807E-2</v>
      </c>
    </row>
    <row r="155" spans="1:17" x14ac:dyDescent="0.2">
      <c r="A155" s="359"/>
      <c r="B155" s="484" t="s">
        <v>395</v>
      </c>
      <c r="C155" s="399" t="s">
        <v>29</v>
      </c>
      <c r="D155" s="395">
        <v>295626.66599999997</v>
      </c>
      <c r="E155" s="396">
        <v>1.1499999999999999</v>
      </c>
      <c r="F155" s="388">
        <f>ROUND(D155*E155,2)</f>
        <v>339970.67</v>
      </c>
      <c r="H155" s="479">
        <f>H131</f>
        <v>1.38</v>
      </c>
      <c r="I155" s="430">
        <f>ROUND(D155*H155,2)</f>
        <v>407964.8</v>
      </c>
      <c r="J155" s="404"/>
      <c r="K155" s="388">
        <f>I155-F155</f>
        <v>67994.13</v>
      </c>
      <c r="L155" s="405"/>
      <c r="M155" s="373"/>
      <c r="N155" s="373"/>
      <c r="Q155" s="261">
        <f>H155/E155-1</f>
        <v>0.19999999999999996</v>
      </c>
    </row>
    <row r="156" spans="1:17" x14ac:dyDescent="0.2">
      <c r="A156" s="359"/>
      <c r="B156" s="484" t="s">
        <v>463</v>
      </c>
      <c r="C156" s="399"/>
      <c r="D156" s="395"/>
      <c r="E156" s="396"/>
      <c r="F156" s="530">
        <v>24437.89</v>
      </c>
      <c r="H156" s="444"/>
      <c r="I156" s="548">
        <f>F156</f>
        <v>24437.89</v>
      </c>
      <c r="J156" s="404"/>
      <c r="K156" s="448"/>
      <c r="L156" s="405"/>
      <c r="M156" s="373"/>
      <c r="N156" s="373"/>
    </row>
    <row r="157" spans="1:17" x14ac:dyDescent="0.2">
      <c r="A157" s="359"/>
      <c r="B157" s="439"/>
      <c r="C157" s="399"/>
      <c r="D157" s="395"/>
      <c r="E157" s="400"/>
      <c r="F157" s="388"/>
      <c r="H157" s="437"/>
      <c r="I157" s="430"/>
      <c r="J157" s="404"/>
      <c r="K157" s="448"/>
      <c r="L157" s="405"/>
      <c r="M157" s="373"/>
      <c r="N157" s="373"/>
    </row>
    <row r="158" spans="1:17" x14ac:dyDescent="0.2">
      <c r="A158" s="359"/>
      <c r="B158" s="484" t="s">
        <v>448</v>
      </c>
      <c r="C158" s="359"/>
      <c r="D158" s="395"/>
      <c r="E158" s="549"/>
      <c r="F158" s="388"/>
      <c r="H158" s="453"/>
      <c r="I158" s="430"/>
      <c r="J158" s="404"/>
      <c r="K158" s="448"/>
      <c r="L158" s="405"/>
      <c r="M158" s="373"/>
      <c r="N158" s="373"/>
    </row>
    <row r="159" spans="1:17" x14ac:dyDescent="0.2">
      <c r="A159" s="359"/>
      <c r="B159" s="386" t="s">
        <v>464</v>
      </c>
      <c r="C159" s="399" t="s">
        <v>10</v>
      </c>
      <c r="D159" s="395">
        <v>3241892.74</v>
      </c>
      <c r="E159" s="400">
        <v>0.14454</v>
      </c>
      <c r="F159" s="397">
        <f t="shared" ref="F159:F164" si="4">ROUND(D159*E159,2)</f>
        <v>468583.18</v>
      </c>
      <c r="H159" s="401">
        <f t="shared" ref="H159:H164" si="5">H136</f>
        <v>0.1391</v>
      </c>
      <c r="I159" s="430">
        <f t="shared" ref="I159:I164" si="6">ROUND(D159*H159,2)</f>
        <v>450947.28</v>
      </c>
      <c r="J159" s="404"/>
      <c r="K159" s="388">
        <f t="shared" ref="K159:K164" si="7">I159-F159</f>
        <v>-17635.899999999965</v>
      </c>
      <c r="L159" s="583"/>
      <c r="M159" s="373"/>
      <c r="N159" s="373"/>
      <c r="Q159" s="261">
        <f t="shared" ref="Q159:Q164" si="8">H159/E159-1</f>
        <v>-3.7636640376366381E-2</v>
      </c>
    </row>
    <row r="160" spans="1:17" x14ac:dyDescent="0.2">
      <c r="A160" s="359"/>
      <c r="B160" s="386" t="s">
        <v>465</v>
      </c>
      <c r="C160" s="399" t="s">
        <v>10</v>
      </c>
      <c r="D160" s="395">
        <v>3200834</v>
      </c>
      <c r="E160" s="400">
        <v>8.7349999999999997E-2</v>
      </c>
      <c r="F160" s="397">
        <f t="shared" si="4"/>
        <v>279592.84999999998</v>
      </c>
      <c r="H160" s="401">
        <f t="shared" si="5"/>
        <v>8.4059999999999996E-2</v>
      </c>
      <c r="I160" s="430">
        <f t="shared" si="6"/>
        <v>269062.11</v>
      </c>
      <c r="J160" s="404"/>
      <c r="K160" s="388">
        <f t="shared" si="7"/>
        <v>-10530.739999999991</v>
      </c>
      <c r="L160" s="583"/>
      <c r="M160" s="373"/>
      <c r="N160" s="373"/>
      <c r="Q160" s="261">
        <f t="shared" si="8"/>
        <v>-3.7664567830566709E-2</v>
      </c>
    </row>
    <row r="161" spans="1:17" x14ac:dyDescent="0.2">
      <c r="A161" s="359"/>
      <c r="B161" s="386" t="s">
        <v>468</v>
      </c>
      <c r="C161" s="399" t="s">
        <v>10</v>
      </c>
      <c r="D161" s="395">
        <v>6355015.8100000005</v>
      </c>
      <c r="E161" s="400">
        <v>5.5579999999999997E-2</v>
      </c>
      <c r="F161" s="397">
        <f t="shared" si="4"/>
        <v>353211.78</v>
      </c>
      <c r="H161" s="401">
        <f t="shared" si="5"/>
        <v>5.3490000000000003E-2</v>
      </c>
      <c r="I161" s="430">
        <f t="shared" si="6"/>
        <v>339929.8</v>
      </c>
      <c r="J161" s="404"/>
      <c r="K161" s="388">
        <f t="shared" si="7"/>
        <v>-13281.98000000004</v>
      </c>
      <c r="L161" s="583"/>
      <c r="M161" s="373"/>
      <c r="N161" s="373"/>
      <c r="Q161" s="261">
        <f t="shared" si="8"/>
        <v>-3.7603454480028664E-2</v>
      </c>
    </row>
    <row r="162" spans="1:17" x14ac:dyDescent="0.2">
      <c r="A162" s="359"/>
      <c r="B162" s="386" t="s">
        <v>34</v>
      </c>
      <c r="C162" s="399" t="s">
        <v>10</v>
      </c>
      <c r="D162" s="395">
        <v>12008960.810000001</v>
      </c>
      <c r="E162" s="400">
        <v>3.5639999999999998E-2</v>
      </c>
      <c r="F162" s="397">
        <f t="shared" si="4"/>
        <v>427999.36</v>
      </c>
      <c r="H162" s="401">
        <f t="shared" si="5"/>
        <v>3.4299999999999997E-2</v>
      </c>
      <c r="I162" s="430">
        <f t="shared" si="6"/>
        <v>411907.36</v>
      </c>
      <c r="J162" s="404"/>
      <c r="K162" s="388">
        <f t="shared" si="7"/>
        <v>-16092</v>
      </c>
      <c r="L162" s="583"/>
      <c r="M162" s="373"/>
      <c r="N162" s="373"/>
      <c r="Q162" s="261">
        <f t="shared" si="8"/>
        <v>-3.7598204264870927E-2</v>
      </c>
    </row>
    <row r="163" spans="1:17" x14ac:dyDescent="0.2">
      <c r="A163" s="359"/>
      <c r="B163" s="386" t="s">
        <v>382</v>
      </c>
      <c r="C163" s="399" t="s">
        <v>10</v>
      </c>
      <c r="D163" s="395">
        <v>27176210.120000001</v>
      </c>
      <c r="E163" s="400">
        <v>2.564E-2</v>
      </c>
      <c r="F163" s="397">
        <f t="shared" si="4"/>
        <v>696798.03</v>
      </c>
      <c r="H163" s="401">
        <f t="shared" si="5"/>
        <v>2.4680000000000001E-2</v>
      </c>
      <c r="I163" s="430">
        <f t="shared" si="6"/>
        <v>670708.87</v>
      </c>
      <c r="J163" s="404"/>
      <c r="K163" s="388">
        <f t="shared" si="7"/>
        <v>-26089.160000000033</v>
      </c>
      <c r="L163" s="583"/>
      <c r="M163" s="373"/>
      <c r="N163" s="373"/>
      <c r="Q163" s="261">
        <f t="shared" si="8"/>
        <v>-3.7441497659906342E-2</v>
      </c>
    </row>
    <row r="164" spans="1:17" x14ac:dyDescent="0.2">
      <c r="A164" s="359"/>
      <c r="B164" s="386" t="s">
        <v>383</v>
      </c>
      <c r="C164" s="399" t="s">
        <v>10</v>
      </c>
      <c r="D164" s="395">
        <v>47293725.469999999</v>
      </c>
      <c r="E164" s="400">
        <v>1.9769999999999999E-2</v>
      </c>
      <c r="F164" s="397">
        <f t="shared" si="4"/>
        <v>934996.95</v>
      </c>
      <c r="H164" s="401">
        <f t="shared" si="5"/>
        <v>1.9029999999999998E-2</v>
      </c>
      <c r="I164" s="430">
        <f t="shared" si="6"/>
        <v>899999.6</v>
      </c>
      <c r="J164" s="404"/>
      <c r="K164" s="388">
        <f t="shared" si="7"/>
        <v>-34997.349999999977</v>
      </c>
      <c r="L164" s="583"/>
      <c r="M164" s="373"/>
      <c r="N164" s="373"/>
      <c r="Q164" s="261">
        <f t="shared" si="8"/>
        <v>-3.7430450177035945E-2</v>
      </c>
    </row>
    <row r="165" spans="1:17" x14ac:dyDescent="0.2">
      <c r="A165" s="359"/>
      <c r="B165" s="281" t="s">
        <v>429</v>
      </c>
      <c r="C165" s="399"/>
      <c r="D165" s="580">
        <f>SUM(D159:D164)</f>
        <v>99276638.950000003</v>
      </c>
      <c r="E165" s="400"/>
      <c r="F165" s="555">
        <f>SUM(F154:F164)</f>
        <v>3645167.1900000004</v>
      </c>
      <c r="H165" s="453"/>
      <c r="I165" s="555">
        <f>SUM(I154:I164)</f>
        <v>3590033.5100000002</v>
      </c>
      <c r="J165" s="404"/>
      <c r="K165" s="555">
        <f>SUM(K154:K164)</f>
        <v>-55133.679999999993</v>
      </c>
      <c r="L165" s="525">
        <f>K165/F165</f>
        <v>-1.5125144369578281E-2</v>
      </c>
      <c r="M165" s="373"/>
      <c r="N165" s="373"/>
    </row>
    <row r="166" spans="1:17" x14ac:dyDescent="0.2">
      <c r="A166" s="359"/>
      <c r="B166" s="484"/>
      <c r="C166" s="407"/>
      <c r="D166" s="389"/>
      <c r="E166" s="400"/>
      <c r="F166" s="388"/>
      <c r="H166" s="444"/>
      <c r="I166" s="430"/>
      <c r="J166" s="404"/>
      <c r="K166" s="388"/>
      <c r="L166" s="391"/>
      <c r="M166" s="373"/>
      <c r="N166" s="373"/>
    </row>
    <row r="167" spans="1:17" x14ac:dyDescent="0.2">
      <c r="A167" s="359"/>
      <c r="B167" s="472" t="s">
        <v>443</v>
      </c>
      <c r="C167" s="399" t="s">
        <v>10</v>
      </c>
      <c r="D167" s="536">
        <f>D165</f>
        <v>99276638.950000003</v>
      </c>
      <c r="E167" s="400">
        <v>6.9999999999999999E-4</v>
      </c>
      <c r="F167" s="430">
        <f>+E167*D167</f>
        <v>69493.647265000007</v>
      </c>
      <c r="G167" s="537"/>
      <c r="H167" s="437">
        <v>6.9999999999999999E-4</v>
      </c>
      <c r="I167" s="430">
        <f>+H167*D167</f>
        <v>69493.647265000007</v>
      </c>
      <c r="J167" s="404"/>
      <c r="K167" s="388">
        <f>I167-F167</f>
        <v>0</v>
      </c>
      <c r="L167" s="526"/>
      <c r="M167" s="373"/>
      <c r="N167" s="373"/>
    </row>
    <row r="168" spans="1:17" x14ac:dyDescent="0.2">
      <c r="A168" s="359"/>
      <c r="B168" s="386" t="s">
        <v>427</v>
      </c>
      <c r="C168" s="359"/>
      <c r="D168" s="389"/>
      <c r="E168" s="473"/>
      <c r="F168" s="465">
        <f>F167+F165</f>
        <v>3714660.8372650002</v>
      </c>
      <c r="H168" s="444"/>
      <c r="I168" s="465">
        <f>I167+I165</f>
        <v>3659527.157265</v>
      </c>
      <c r="J168" s="404"/>
      <c r="K168" s="465">
        <f>K167+K165</f>
        <v>-55133.679999999993</v>
      </c>
      <c r="L168" s="525">
        <f>K168/F168</f>
        <v>-1.4842184095760776E-2</v>
      </c>
      <c r="M168" s="373"/>
      <c r="N168" s="373"/>
      <c r="O168" s="490"/>
    </row>
    <row r="169" spans="1:17" s="359" customFormat="1" x14ac:dyDescent="0.2">
      <c r="B169" s="421"/>
      <c r="C169" s="539"/>
      <c r="D169" s="540"/>
      <c r="E169" s="557"/>
      <c r="F169" s="427"/>
      <c r="G169" s="540"/>
      <c r="H169" s="542"/>
      <c r="I169" s="551"/>
      <c r="J169" s="543"/>
      <c r="K169" s="428"/>
      <c r="L169" s="566"/>
      <c r="M169" s="373"/>
      <c r="N169" s="373"/>
    </row>
    <row r="170" spans="1:17" s="359" customFormat="1" x14ac:dyDescent="0.2">
      <c r="D170" s="389"/>
      <c r="E170" s="453"/>
      <c r="F170" s="397"/>
      <c r="G170" s="389"/>
      <c r="H170" s="444"/>
      <c r="I170" s="430"/>
      <c r="J170" s="404"/>
      <c r="K170" s="388"/>
      <c r="L170" s="568"/>
      <c r="M170" s="373"/>
      <c r="N170" s="373"/>
    </row>
    <row r="171" spans="1:17" x14ac:dyDescent="0.2">
      <c r="A171" s="359"/>
      <c r="B171" s="432" t="s">
        <v>477</v>
      </c>
      <c r="C171" s="584"/>
      <c r="D171" s="382"/>
      <c r="E171" s="585"/>
      <c r="F171" s="409"/>
      <c r="G171" s="382"/>
      <c r="H171" s="523"/>
      <c r="I171" s="555"/>
      <c r="J171" s="586"/>
      <c r="K171" s="409"/>
      <c r="L171" s="533"/>
      <c r="M171" s="373"/>
      <c r="N171" s="373"/>
    </row>
    <row r="172" spans="1:17" x14ac:dyDescent="0.2">
      <c r="A172" s="359"/>
      <c r="B172" s="439"/>
      <c r="C172" s="390"/>
      <c r="D172" s="389"/>
      <c r="E172" s="453"/>
      <c r="F172" s="397"/>
      <c r="H172" s="444"/>
      <c r="I172" s="544"/>
      <c r="J172" s="545"/>
      <c r="K172" s="397"/>
      <c r="L172" s="552"/>
      <c r="M172" s="373"/>
      <c r="N172" s="373"/>
    </row>
    <row r="173" spans="1:17" x14ac:dyDescent="0.2">
      <c r="A173" s="359"/>
      <c r="B173" s="433" t="s">
        <v>423</v>
      </c>
      <c r="C173" s="478" t="s">
        <v>22</v>
      </c>
      <c r="D173" s="403">
        <f>D154+D130</f>
        <v>188.8206975944785</v>
      </c>
      <c r="E173" s="436"/>
      <c r="F173" s="397">
        <f>F154+F130</f>
        <v>154204.72</v>
      </c>
      <c r="H173" s="436"/>
      <c r="I173" s="397">
        <f>I154+I130</f>
        <v>148400.68</v>
      </c>
      <c r="J173" s="545"/>
      <c r="K173" s="544">
        <f>I173-F173</f>
        <v>-5804.0400000000081</v>
      </c>
      <c r="L173" s="587"/>
      <c r="M173" s="373"/>
      <c r="N173" s="373"/>
    </row>
    <row r="174" spans="1:17" x14ac:dyDescent="0.2">
      <c r="A174" s="359"/>
      <c r="B174" s="435" t="s">
        <v>395</v>
      </c>
      <c r="C174" s="460" t="s">
        <v>29</v>
      </c>
      <c r="D174" s="403">
        <f>D155+D131</f>
        <v>295626.66599999997</v>
      </c>
      <c r="E174" s="436"/>
      <c r="F174" s="397">
        <f>F155+F131</f>
        <v>339970.67</v>
      </c>
      <c r="H174" s="436"/>
      <c r="I174" s="397">
        <f>I155+I131</f>
        <v>407964.8</v>
      </c>
      <c r="J174" s="545"/>
      <c r="K174" s="544">
        <f>I174-F174</f>
        <v>67994.13</v>
      </c>
      <c r="L174" s="587"/>
      <c r="M174" s="373"/>
      <c r="N174" s="373"/>
    </row>
    <row r="175" spans="1:17" x14ac:dyDescent="0.2">
      <c r="A175" s="359"/>
      <c r="B175" s="439" t="s">
        <v>441</v>
      </c>
      <c r="C175" s="460"/>
      <c r="D175" s="482"/>
      <c r="E175" s="436"/>
      <c r="F175" s="397">
        <f>F132</f>
        <v>125648.35</v>
      </c>
      <c r="H175" s="436"/>
      <c r="I175" s="397">
        <f>I132</f>
        <v>138469.6</v>
      </c>
      <c r="J175" s="545"/>
      <c r="K175" s="544">
        <f>I175-F175</f>
        <v>12821.25</v>
      </c>
      <c r="L175" s="587"/>
      <c r="M175" s="373"/>
      <c r="N175" s="373"/>
    </row>
    <row r="176" spans="1:17" x14ac:dyDescent="0.2">
      <c r="A176" s="359"/>
      <c r="B176" s="435" t="s">
        <v>463</v>
      </c>
      <c r="C176" s="460"/>
      <c r="D176" s="482"/>
      <c r="E176" s="436"/>
      <c r="F176" s="554">
        <f>F156+F133</f>
        <v>107821.52</v>
      </c>
      <c r="H176" s="444"/>
      <c r="I176" s="554">
        <f>I156+I133</f>
        <v>107821.52</v>
      </c>
      <c r="J176" s="545"/>
      <c r="K176" s="544">
        <f>I176-F176</f>
        <v>0</v>
      </c>
      <c r="L176" s="587"/>
      <c r="M176" s="373"/>
      <c r="N176" s="373"/>
    </row>
    <row r="177" spans="1:16" x14ac:dyDescent="0.2">
      <c r="A177" s="359"/>
      <c r="B177" s="435"/>
      <c r="C177" s="390"/>
      <c r="D177" s="389"/>
      <c r="E177" s="444"/>
      <c r="F177" s="588"/>
      <c r="H177" s="401"/>
      <c r="I177" s="588"/>
      <c r="J177" s="545"/>
      <c r="K177" s="544"/>
      <c r="L177" s="587"/>
      <c r="M177" s="373"/>
      <c r="N177" s="373"/>
    </row>
    <row r="178" spans="1:16" ht="12" customHeight="1" x14ac:dyDescent="0.2">
      <c r="A178" s="359"/>
      <c r="B178" s="435" t="s">
        <v>448</v>
      </c>
      <c r="C178" s="390"/>
      <c r="D178" s="389"/>
      <c r="E178" s="444"/>
      <c r="F178" s="397"/>
      <c r="H178" s="453"/>
      <c r="I178" s="397"/>
      <c r="J178" s="545"/>
      <c r="K178" s="544"/>
      <c r="L178" s="587"/>
      <c r="M178" s="373"/>
      <c r="N178" s="373"/>
    </row>
    <row r="179" spans="1:16" x14ac:dyDescent="0.2">
      <c r="A179" s="359"/>
      <c r="B179" s="439" t="s">
        <v>464</v>
      </c>
      <c r="C179" s="460" t="s">
        <v>10</v>
      </c>
      <c r="D179" s="403">
        <f t="shared" ref="D179:D184" si="9">D159+D136</f>
        <v>4709836.6500000004</v>
      </c>
      <c r="E179" s="437"/>
      <c r="F179" s="397">
        <f t="shared" ref="F179:F184" si="10">F159+F136</f>
        <v>680759.79</v>
      </c>
      <c r="H179" s="437"/>
      <c r="I179" s="397">
        <f t="shared" ref="I179:I184" si="11">I159+I136</f>
        <v>655138.28</v>
      </c>
      <c r="J179" s="545"/>
      <c r="K179" s="544">
        <f t="shared" ref="K179:K184" si="12">I179-F179</f>
        <v>-25621.510000000009</v>
      </c>
      <c r="L179" s="587"/>
      <c r="M179" s="373"/>
      <c r="N179" s="373"/>
    </row>
    <row r="180" spans="1:16" x14ac:dyDescent="0.2">
      <c r="A180" s="359"/>
      <c r="B180" s="439" t="s">
        <v>465</v>
      </c>
      <c r="C180" s="460" t="s">
        <v>10</v>
      </c>
      <c r="D180" s="403">
        <f t="shared" si="9"/>
        <v>4645519</v>
      </c>
      <c r="E180" s="437"/>
      <c r="F180" s="397">
        <f t="shared" si="10"/>
        <v>405786.07999999996</v>
      </c>
      <c r="H180" s="437"/>
      <c r="I180" s="397">
        <f t="shared" si="11"/>
        <v>390502.32999999996</v>
      </c>
      <c r="J180" s="545"/>
      <c r="K180" s="544">
        <f t="shared" si="12"/>
        <v>-15283.75</v>
      </c>
      <c r="L180" s="587"/>
      <c r="M180" s="373"/>
      <c r="N180" s="373"/>
    </row>
    <row r="181" spans="1:16" x14ac:dyDescent="0.2">
      <c r="A181" s="359"/>
      <c r="B181" s="439" t="s">
        <v>468</v>
      </c>
      <c r="C181" s="460" t="s">
        <v>10</v>
      </c>
      <c r="D181" s="403">
        <f t="shared" si="9"/>
        <v>8965944.341</v>
      </c>
      <c r="E181" s="437"/>
      <c r="F181" s="397">
        <f t="shared" si="10"/>
        <v>498327.19000000006</v>
      </c>
      <c r="H181" s="437"/>
      <c r="I181" s="397">
        <f t="shared" si="11"/>
        <v>479588.37</v>
      </c>
      <c r="J181" s="545"/>
      <c r="K181" s="544">
        <f t="shared" si="12"/>
        <v>-18738.820000000065</v>
      </c>
      <c r="L181" s="552"/>
      <c r="M181" s="373"/>
      <c r="N181" s="373"/>
    </row>
    <row r="182" spans="1:16" x14ac:dyDescent="0.2">
      <c r="A182" s="359"/>
      <c r="B182" s="439" t="s">
        <v>34</v>
      </c>
      <c r="C182" s="460" t="s">
        <v>10</v>
      </c>
      <c r="D182" s="403">
        <f t="shared" si="9"/>
        <v>15157600.265000001</v>
      </c>
      <c r="E182" s="437"/>
      <c r="F182" s="397">
        <f t="shared" si="10"/>
        <v>540216.87</v>
      </c>
      <c r="H182" s="437"/>
      <c r="I182" s="397">
        <f t="shared" si="11"/>
        <v>519905.69</v>
      </c>
      <c r="J182" s="545"/>
      <c r="K182" s="544">
        <f t="shared" si="12"/>
        <v>-20311.179999999993</v>
      </c>
      <c r="L182" s="552"/>
      <c r="M182" s="373"/>
      <c r="N182" s="373"/>
    </row>
    <row r="183" spans="1:16" x14ac:dyDescent="0.2">
      <c r="A183" s="359"/>
      <c r="B183" s="439" t="s">
        <v>382</v>
      </c>
      <c r="C183" s="460" t="s">
        <v>10</v>
      </c>
      <c r="D183" s="403">
        <f t="shared" si="9"/>
        <v>31132960.702</v>
      </c>
      <c r="E183" s="437"/>
      <c r="F183" s="397">
        <f t="shared" si="10"/>
        <v>798249.11</v>
      </c>
      <c r="H183" s="437"/>
      <c r="I183" s="397">
        <f t="shared" si="11"/>
        <v>768361.47</v>
      </c>
      <c r="J183" s="545"/>
      <c r="K183" s="544">
        <f t="shared" si="12"/>
        <v>-29887.640000000014</v>
      </c>
      <c r="L183" s="552"/>
      <c r="M183" s="373"/>
      <c r="N183" s="373"/>
    </row>
    <row r="184" spans="1:16" x14ac:dyDescent="0.2">
      <c r="A184" s="359"/>
      <c r="B184" s="439" t="s">
        <v>383</v>
      </c>
      <c r="C184" s="460" t="s">
        <v>10</v>
      </c>
      <c r="D184" s="403">
        <f t="shared" si="9"/>
        <v>57976159.280000001</v>
      </c>
      <c r="E184" s="437"/>
      <c r="F184" s="397">
        <f t="shared" si="10"/>
        <v>1146188.67</v>
      </c>
      <c r="H184" s="437"/>
      <c r="I184" s="397">
        <f t="shared" si="11"/>
        <v>1103286.32</v>
      </c>
      <c r="J184" s="545"/>
      <c r="K184" s="544">
        <f t="shared" si="12"/>
        <v>-42902.34999999986</v>
      </c>
      <c r="L184" s="552"/>
      <c r="M184" s="373"/>
      <c r="N184" s="373"/>
    </row>
    <row r="185" spans="1:16" x14ac:dyDescent="0.2">
      <c r="A185" s="359"/>
      <c r="B185" s="281" t="s">
        <v>429</v>
      </c>
      <c r="C185" s="460" t="s">
        <v>10</v>
      </c>
      <c r="D185" s="580">
        <f>SUM(D179:D184)</f>
        <v>122588020.23800001</v>
      </c>
      <c r="E185" s="453"/>
      <c r="F185" s="409">
        <f>SUM(F173:F184)</f>
        <v>4797172.97</v>
      </c>
      <c r="H185" s="444"/>
      <c r="I185" s="409">
        <f>SUM(I173:I184)</f>
        <v>4719439.0600000005</v>
      </c>
      <c r="J185" s="545"/>
      <c r="K185" s="409">
        <f>SUM(K173:K184)</f>
        <v>-77733.909999999945</v>
      </c>
      <c r="L185" s="533">
        <f>K185/F185</f>
        <v>-1.6204108229184812E-2</v>
      </c>
      <c r="M185" s="373"/>
      <c r="N185" s="373"/>
      <c r="P185" s="581"/>
    </row>
    <row r="186" spans="1:16" x14ac:dyDescent="0.2">
      <c r="A186" s="359"/>
      <c r="B186" s="393"/>
      <c r="C186" s="394"/>
      <c r="D186" s="389"/>
      <c r="E186" s="453"/>
      <c r="F186" s="397"/>
      <c r="H186" s="444"/>
      <c r="I186" s="544"/>
      <c r="J186" s="545"/>
      <c r="K186" s="397"/>
      <c r="L186" s="457"/>
      <c r="M186" s="373"/>
      <c r="N186" s="373"/>
    </row>
    <row r="187" spans="1:16" x14ac:dyDescent="0.2">
      <c r="A187" s="359"/>
      <c r="B187" s="298" t="s">
        <v>426</v>
      </c>
      <c r="C187" s="394"/>
      <c r="D187" s="389"/>
      <c r="E187" s="453"/>
      <c r="F187" s="397"/>
      <c r="H187" s="444"/>
      <c r="I187" s="544"/>
      <c r="J187" s="545"/>
      <c r="K187" s="397"/>
      <c r="L187" s="457"/>
      <c r="M187" s="373"/>
      <c r="N187" s="373"/>
    </row>
    <row r="188" spans="1:16" x14ac:dyDescent="0.2">
      <c r="A188" s="359"/>
      <c r="B188" s="435" t="s">
        <v>451</v>
      </c>
      <c r="C188" s="394"/>
      <c r="D188" s="389"/>
      <c r="E188" s="453"/>
      <c r="F188" s="397">
        <f>F145</f>
        <v>8049653.0725592794</v>
      </c>
      <c r="H188" s="444"/>
      <c r="I188" s="397">
        <f>I145</f>
        <v>9099830.7995836791</v>
      </c>
      <c r="J188" s="545"/>
      <c r="K188" s="544">
        <f>I188-F188</f>
        <v>1050177.7270243997</v>
      </c>
      <c r="L188" s="457"/>
      <c r="M188" s="373"/>
      <c r="N188" s="373"/>
    </row>
    <row r="189" spans="1:16" x14ac:dyDescent="0.2">
      <c r="A189" s="359"/>
      <c r="B189" s="435" t="s">
        <v>395</v>
      </c>
      <c r="C189" s="394"/>
      <c r="D189" s="389"/>
      <c r="E189" s="453"/>
      <c r="F189" s="397">
        <f>F146</f>
        <v>0</v>
      </c>
      <c r="H189" s="444"/>
      <c r="I189" s="397">
        <f>I146</f>
        <v>0</v>
      </c>
      <c r="J189" s="545"/>
      <c r="K189" s="544">
        <f>I189-F189</f>
        <v>0</v>
      </c>
      <c r="L189" s="457"/>
      <c r="M189" s="373"/>
      <c r="N189" s="373"/>
    </row>
    <row r="190" spans="1:16" x14ac:dyDescent="0.2">
      <c r="A190" s="359"/>
      <c r="B190" s="435" t="s">
        <v>443</v>
      </c>
      <c r="C190" s="460" t="s">
        <v>10</v>
      </c>
      <c r="D190" s="403">
        <f>D167</f>
        <v>99276638.950000003</v>
      </c>
      <c r="E190" s="437"/>
      <c r="F190" s="544">
        <f>F167</f>
        <v>69493.647265000007</v>
      </c>
      <c r="G190" s="537"/>
      <c r="H190" s="437"/>
      <c r="I190" s="544">
        <f>I167</f>
        <v>69493.647265000007</v>
      </c>
      <c r="J190" s="545"/>
      <c r="K190" s="544">
        <f>I190-F190</f>
        <v>0</v>
      </c>
      <c r="L190" s="552"/>
      <c r="M190" s="373"/>
      <c r="N190" s="373"/>
    </row>
    <row r="191" spans="1:16" x14ac:dyDescent="0.2">
      <c r="A191" s="359"/>
      <c r="B191" s="472" t="s">
        <v>452</v>
      </c>
      <c r="C191" s="460"/>
      <c r="D191" s="537"/>
      <c r="E191" s="437"/>
      <c r="F191" s="555">
        <f>SUM(F188:F190)</f>
        <v>8119146.7198242797</v>
      </c>
      <c r="G191" s="537"/>
      <c r="H191" s="437"/>
      <c r="I191" s="555">
        <f>SUM(I188:I190)</f>
        <v>9169324.4468486793</v>
      </c>
      <c r="J191" s="555"/>
      <c r="K191" s="555">
        <f>SUM(K188:K190)</f>
        <v>1050177.7270243997</v>
      </c>
      <c r="L191" s="533">
        <f>K191/F191</f>
        <v>0.12934582453845941</v>
      </c>
      <c r="M191" s="373"/>
      <c r="N191" s="373"/>
    </row>
    <row r="192" spans="1:16" x14ac:dyDescent="0.2">
      <c r="A192" s="359"/>
      <c r="B192" s="393"/>
      <c r="C192" s="460"/>
      <c r="D192" s="537"/>
      <c r="E192" s="437"/>
      <c r="F192" s="544"/>
      <c r="G192" s="537"/>
      <c r="H192" s="437"/>
      <c r="I192" s="544"/>
      <c r="J192" s="545"/>
      <c r="K192" s="397"/>
      <c r="L192" s="552"/>
      <c r="M192" s="373"/>
      <c r="N192" s="373"/>
    </row>
    <row r="193" spans="1:15" x14ac:dyDescent="0.2">
      <c r="A193" s="359"/>
      <c r="B193" s="433" t="s">
        <v>427</v>
      </c>
      <c r="C193" s="394"/>
      <c r="D193" s="397"/>
      <c r="E193" s="444"/>
      <c r="F193" s="409">
        <f>F185+F191</f>
        <v>12916319.689824279</v>
      </c>
      <c r="G193" s="390"/>
      <c r="H193" s="444"/>
      <c r="I193" s="409">
        <f>I185+I191</f>
        <v>13888763.50684868</v>
      </c>
      <c r="J193" s="444"/>
      <c r="K193" s="409">
        <f>K185+K191</f>
        <v>972443.81702439976</v>
      </c>
      <c r="L193" s="589">
        <f>ROUND(K193/F193,5)</f>
        <v>7.5289999999999996E-2</v>
      </c>
      <c r="M193" s="373"/>
      <c r="N193" s="373"/>
    </row>
    <row r="194" spans="1:15" x14ac:dyDescent="0.2">
      <c r="A194" s="359"/>
      <c r="B194" s="421"/>
      <c r="C194" s="539"/>
      <c r="D194" s="540"/>
      <c r="E194" s="590"/>
      <c r="F194" s="551"/>
      <c r="G194" s="540"/>
      <c r="H194" s="542"/>
      <c r="I194" s="558"/>
      <c r="J194" s="543"/>
      <c r="K194" s="428"/>
      <c r="L194" s="429"/>
      <c r="M194" s="373"/>
      <c r="N194" s="373"/>
    </row>
    <row r="195" spans="1:15" x14ac:dyDescent="0.2">
      <c r="A195" s="359"/>
      <c r="B195" s="359"/>
      <c r="C195" s="359"/>
      <c r="D195" s="389"/>
      <c r="E195" s="453"/>
      <c r="F195" s="397"/>
      <c r="H195" s="444"/>
      <c r="I195" s="430"/>
      <c r="J195" s="404"/>
      <c r="K195" s="388"/>
      <c r="L195" s="568"/>
      <c r="M195" s="373"/>
      <c r="N195" s="373"/>
    </row>
    <row r="196" spans="1:15" x14ac:dyDescent="0.2">
      <c r="B196" s="493" t="s">
        <v>478</v>
      </c>
      <c r="C196" s="359"/>
      <c r="D196" s="389"/>
      <c r="E196" s="415"/>
      <c r="F196" s="473"/>
      <c r="H196" s="453"/>
      <c r="I196" s="473"/>
      <c r="J196" s="473"/>
      <c r="K196" s="473"/>
      <c r="L196" s="358"/>
      <c r="M196" s="373"/>
      <c r="N196" s="373"/>
      <c r="O196" s="410"/>
    </row>
    <row r="197" spans="1:15" x14ac:dyDescent="0.2">
      <c r="C197" s="359"/>
      <c r="D197" s="334" t="s">
        <v>10</v>
      </c>
      <c r="E197" s="415"/>
      <c r="F197" s="497" t="s">
        <v>410</v>
      </c>
      <c r="G197" s="491"/>
      <c r="H197" s="450"/>
      <c r="I197" s="497" t="s">
        <v>411</v>
      </c>
      <c r="J197" s="490"/>
      <c r="K197" s="497" t="s">
        <v>281</v>
      </c>
      <c r="L197" s="358"/>
      <c r="M197" s="373"/>
      <c r="N197" s="373"/>
      <c r="O197" s="410"/>
    </row>
    <row r="198" spans="1:15" x14ac:dyDescent="0.2">
      <c r="B198" s="212" t="s">
        <v>456</v>
      </c>
      <c r="C198" s="359"/>
      <c r="D198" s="403"/>
      <c r="E198" s="415"/>
      <c r="F198" s="591"/>
      <c r="G198" s="592"/>
      <c r="H198" s="592"/>
      <c r="I198" s="591"/>
      <c r="J198" s="591"/>
      <c r="K198" s="591"/>
      <c r="L198" s="358"/>
      <c r="M198" s="373"/>
      <c r="N198" s="373"/>
      <c r="O198" s="410"/>
    </row>
    <row r="199" spans="1:15" x14ac:dyDescent="0.2">
      <c r="B199" s="502" t="s">
        <v>479</v>
      </c>
      <c r="C199" s="359"/>
      <c r="D199" s="387"/>
      <c r="E199" s="415"/>
      <c r="F199" s="591">
        <f>F26+F45</f>
        <v>6308966.9343335107</v>
      </c>
      <c r="G199" s="592"/>
      <c r="H199" s="592"/>
      <c r="I199" s="591">
        <f>I26+I45</f>
        <v>6897204.7137999898</v>
      </c>
      <c r="J199" s="591"/>
      <c r="K199" s="591">
        <f>I199-F199</f>
        <v>588237.77946647909</v>
      </c>
      <c r="L199" s="358"/>
      <c r="M199" s="373"/>
      <c r="N199" s="373"/>
      <c r="O199" s="410"/>
    </row>
    <row r="200" spans="1:15" x14ac:dyDescent="0.2">
      <c r="B200" s="502" t="s">
        <v>480</v>
      </c>
      <c r="C200" s="359"/>
      <c r="D200" s="387"/>
      <c r="E200" s="415"/>
      <c r="F200" s="591">
        <f>F86+F102</f>
        <v>3540583.3753221999</v>
      </c>
      <c r="G200" s="592"/>
      <c r="H200" s="592"/>
      <c r="I200" s="591">
        <f>I86+I102</f>
        <v>3985765.7997426996</v>
      </c>
      <c r="J200" s="591"/>
      <c r="K200" s="591">
        <f>I200-F200</f>
        <v>445182.42442049971</v>
      </c>
      <c r="L200" s="358"/>
      <c r="M200" s="373"/>
      <c r="N200" s="373"/>
      <c r="O200" s="410"/>
    </row>
    <row r="201" spans="1:15" x14ac:dyDescent="0.2">
      <c r="B201" s="502" t="s">
        <v>481</v>
      </c>
      <c r="C201" s="359"/>
      <c r="D201" s="387"/>
      <c r="E201" s="415"/>
      <c r="F201" s="591">
        <f>F147+F167</f>
        <v>8119146.7198242797</v>
      </c>
      <c r="G201" s="592"/>
      <c r="H201" s="592"/>
      <c r="I201" s="591">
        <f>I147+I167</f>
        <v>9169324.4468486793</v>
      </c>
      <c r="J201" s="591"/>
      <c r="K201" s="591">
        <f>I201-F201</f>
        <v>1050177.7270243997</v>
      </c>
      <c r="L201" s="358"/>
      <c r="M201" s="373"/>
      <c r="N201" s="373"/>
      <c r="O201" s="410"/>
    </row>
    <row r="202" spans="1:15" x14ac:dyDescent="0.2">
      <c r="B202" s="502" t="s">
        <v>113</v>
      </c>
      <c r="C202" s="359"/>
      <c r="D202" s="387"/>
      <c r="E202" s="415"/>
      <c r="F202" s="593">
        <f>SUM(F199:F201)</f>
        <v>17968697.029479992</v>
      </c>
      <c r="G202" s="592"/>
      <c r="H202" s="592"/>
      <c r="I202" s="593">
        <f>SUM(I199:I201)</f>
        <v>20052294.960391369</v>
      </c>
      <c r="J202" s="591"/>
      <c r="K202" s="593">
        <f>SUM(K199:K201)</f>
        <v>2083597.9309113785</v>
      </c>
      <c r="L202" s="358"/>
      <c r="M202" s="373"/>
      <c r="N202" s="373"/>
      <c r="O202" s="410"/>
    </row>
    <row r="203" spans="1:15" x14ac:dyDescent="0.2">
      <c r="C203" s="359"/>
      <c r="D203" s="387"/>
      <c r="E203" s="415"/>
      <c r="F203" s="591"/>
      <c r="G203" s="592"/>
      <c r="H203" s="592"/>
      <c r="I203" s="591"/>
      <c r="J203" s="591"/>
      <c r="K203" s="591"/>
      <c r="L203" s="358"/>
      <c r="M203" s="373"/>
      <c r="N203" s="373"/>
      <c r="O203" s="410"/>
    </row>
    <row r="204" spans="1:15" x14ac:dyDescent="0.2">
      <c r="B204" s="212" t="s">
        <v>459</v>
      </c>
      <c r="C204" s="359"/>
      <c r="D204" s="387"/>
      <c r="E204" s="415"/>
      <c r="F204" s="591"/>
      <c r="G204" s="592"/>
      <c r="H204" s="592"/>
      <c r="I204" s="591"/>
      <c r="J204" s="591"/>
      <c r="K204" s="591"/>
      <c r="L204" s="358"/>
      <c r="M204" s="373"/>
      <c r="N204" s="373"/>
      <c r="O204" s="410"/>
    </row>
    <row r="205" spans="1:15" x14ac:dyDescent="0.2">
      <c r="B205" s="502" t="s">
        <v>479</v>
      </c>
      <c r="C205" s="359"/>
      <c r="D205" s="387"/>
      <c r="E205" s="415"/>
      <c r="F205" s="591">
        <f>F21+F43</f>
        <v>9170038.8448939808</v>
      </c>
      <c r="G205" s="592"/>
      <c r="H205" s="592"/>
      <c r="I205" s="591">
        <f>I21+I43</f>
        <v>9021134.5600000005</v>
      </c>
      <c r="J205" s="591"/>
      <c r="K205" s="591">
        <f>I205-F205</f>
        <v>-148904.28489398025</v>
      </c>
      <c r="L205" s="358"/>
      <c r="M205" s="373"/>
      <c r="N205" s="373"/>
      <c r="O205" s="410"/>
    </row>
    <row r="206" spans="1:15" x14ac:dyDescent="0.2">
      <c r="B206" s="502" t="s">
        <v>480</v>
      </c>
      <c r="C206" s="359"/>
      <c r="D206" s="387"/>
      <c r="E206" s="415"/>
      <c r="F206" s="591">
        <f>F81+F100</f>
        <v>2222696.94</v>
      </c>
      <c r="G206" s="592"/>
      <c r="H206" s="592"/>
      <c r="I206" s="591">
        <f>I81+I100</f>
        <v>2186532.87</v>
      </c>
      <c r="J206" s="591"/>
      <c r="K206" s="591">
        <f>I206-F206</f>
        <v>-36164.069999999832</v>
      </c>
      <c r="L206" s="358"/>
      <c r="M206" s="373"/>
      <c r="N206" s="373"/>
      <c r="O206" s="410"/>
    </row>
    <row r="207" spans="1:15" x14ac:dyDescent="0.2">
      <c r="B207" s="502" t="s">
        <v>481</v>
      </c>
      <c r="C207" s="359"/>
      <c r="D207" s="387"/>
      <c r="E207" s="415"/>
      <c r="F207" s="591">
        <f>F142+F165</f>
        <v>4797172.9700000007</v>
      </c>
      <c r="G207" s="592"/>
      <c r="H207" s="592"/>
      <c r="I207" s="591">
        <f>I142+I165</f>
        <v>4719439.0600000005</v>
      </c>
      <c r="J207" s="591"/>
      <c r="K207" s="591">
        <f>I207-F207</f>
        <v>-77733.910000000149</v>
      </c>
      <c r="L207" s="358"/>
      <c r="M207" s="373"/>
      <c r="N207" s="373"/>
      <c r="O207" s="410"/>
    </row>
    <row r="208" spans="1:15" x14ac:dyDescent="0.2">
      <c r="B208" s="502" t="s">
        <v>113</v>
      </c>
      <c r="C208" s="359"/>
      <c r="D208" s="387"/>
      <c r="E208" s="415"/>
      <c r="F208" s="593">
        <f>SUM(F205:F207)</f>
        <v>16189908.754893981</v>
      </c>
      <c r="G208" s="592"/>
      <c r="H208" s="592"/>
      <c r="I208" s="593">
        <f>SUM(I205:I207)</f>
        <v>15927106.49</v>
      </c>
      <c r="J208" s="591"/>
      <c r="K208" s="593">
        <f>SUM(K205:K207)</f>
        <v>-262802.26489398023</v>
      </c>
      <c r="L208" s="358"/>
      <c r="M208" s="373"/>
      <c r="N208" s="373"/>
      <c r="O208" s="410"/>
    </row>
    <row r="209" spans="2:15" x14ac:dyDescent="0.2">
      <c r="C209" s="359"/>
      <c r="D209" s="387"/>
      <c r="E209" s="415"/>
      <c r="F209" s="591"/>
      <c r="G209" s="592"/>
      <c r="H209" s="592"/>
      <c r="I209" s="591"/>
      <c r="J209" s="591"/>
      <c r="K209" s="591"/>
      <c r="L209" s="358"/>
      <c r="M209" s="373"/>
      <c r="N209" s="373"/>
      <c r="O209" s="410"/>
    </row>
    <row r="210" spans="2:15" x14ac:dyDescent="0.2">
      <c r="B210" s="493" t="s">
        <v>394</v>
      </c>
      <c r="C210" s="359"/>
      <c r="D210" s="387"/>
      <c r="E210" s="415"/>
      <c r="F210" s="591"/>
      <c r="G210" s="592"/>
      <c r="H210" s="592"/>
      <c r="I210" s="591"/>
      <c r="J210" s="591"/>
      <c r="K210" s="591"/>
      <c r="L210" s="358"/>
      <c r="M210" s="373"/>
      <c r="N210" s="373"/>
      <c r="O210" s="410"/>
    </row>
    <row r="211" spans="2:15" x14ac:dyDescent="0.2">
      <c r="B211" s="502" t="s">
        <v>479</v>
      </c>
      <c r="C211" s="359"/>
      <c r="D211" s="387">
        <f>D60</f>
        <v>96619860.699000001</v>
      </c>
      <c r="E211" s="415"/>
      <c r="F211" s="591">
        <f>F199+F205</f>
        <v>15479005.779227491</v>
      </c>
      <c r="G211" s="592"/>
      <c r="H211" s="592"/>
      <c r="I211" s="591">
        <f>I199+I205</f>
        <v>15918339.273799989</v>
      </c>
      <c r="J211" s="591"/>
      <c r="K211" s="591">
        <f>I211-F211</f>
        <v>439333.4945724979</v>
      </c>
      <c r="L211" s="358"/>
      <c r="M211" s="373"/>
      <c r="N211" s="373"/>
      <c r="O211" s="410"/>
    </row>
    <row r="212" spans="2:15" x14ac:dyDescent="0.2">
      <c r="B212" s="502" t="s">
        <v>480</v>
      </c>
      <c r="C212" s="359"/>
      <c r="D212" s="387">
        <f>D116</f>
        <v>10298663.83</v>
      </c>
      <c r="E212" s="415"/>
      <c r="F212" s="591">
        <f>F200+F206</f>
        <v>5763280.3153221998</v>
      </c>
      <c r="G212" s="592"/>
      <c r="H212" s="592"/>
      <c r="I212" s="591">
        <f>I200+I206</f>
        <v>6172298.6697426997</v>
      </c>
      <c r="J212" s="591"/>
      <c r="K212" s="591">
        <f>I212-F212</f>
        <v>409018.35442049988</v>
      </c>
      <c r="L212" s="358"/>
      <c r="M212" s="373"/>
      <c r="N212" s="373"/>
      <c r="O212" s="410"/>
    </row>
    <row r="213" spans="2:15" x14ac:dyDescent="0.2">
      <c r="B213" s="502" t="s">
        <v>481</v>
      </c>
      <c r="C213" s="359"/>
      <c r="D213" s="387">
        <f>D185</f>
        <v>122588020.23800001</v>
      </c>
      <c r="E213" s="415"/>
      <c r="F213" s="591">
        <f>F201+F207</f>
        <v>12916319.689824279</v>
      </c>
      <c r="G213" s="592"/>
      <c r="H213" s="592"/>
      <c r="I213" s="591">
        <f>I201+I207</f>
        <v>13888763.50684868</v>
      </c>
      <c r="J213" s="591"/>
      <c r="K213" s="591">
        <f>I213-F213</f>
        <v>972443.81702440046</v>
      </c>
      <c r="L213" s="358"/>
      <c r="M213" s="373"/>
      <c r="N213" s="373"/>
      <c r="O213" s="410"/>
    </row>
    <row r="214" spans="2:15" x14ac:dyDescent="0.2">
      <c r="B214" s="502" t="s">
        <v>113</v>
      </c>
      <c r="C214" s="359"/>
      <c r="D214" s="506">
        <f>SUM(D211:D213)</f>
        <v>229506544.76700002</v>
      </c>
      <c r="E214" s="415"/>
      <c r="F214" s="593">
        <f>SUM(F211:F213)</f>
        <v>34158605.784373969</v>
      </c>
      <c r="G214" s="592"/>
      <c r="H214" s="592"/>
      <c r="I214" s="593">
        <f>SUM(I211:I213)</f>
        <v>35979401.450391367</v>
      </c>
      <c r="J214" s="591"/>
      <c r="K214" s="593">
        <f>SUM(K211:K213)</f>
        <v>1820795.6660173982</v>
      </c>
      <c r="L214" s="358"/>
      <c r="M214" s="373"/>
      <c r="N214" s="373"/>
      <c r="O214" s="410"/>
    </row>
    <row r="215" spans="2:15" x14ac:dyDescent="0.2">
      <c r="B215" s="359"/>
      <c r="C215" s="359"/>
      <c r="D215" s="389"/>
      <c r="E215" s="415"/>
      <c r="F215" s="591"/>
      <c r="G215" s="592"/>
      <c r="H215" s="592"/>
      <c r="I215" s="591"/>
      <c r="J215" s="591"/>
      <c r="K215" s="591"/>
      <c r="L215" s="358"/>
      <c r="M215" s="373"/>
      <c r="N215" s="373"/>
      <c r="O215" s="490"/>
    </row>
    <row r="216" spans="2:15" x14ac:dyDescent="0.2">
      <c r="B216" s="493" t="s">
        <v>482</v>
      </c>
      <c r="E216" s="498"/>
      <c r="F216" s="594"/>
      <c r="G216" s="595"/>
      <c r="H216" s="596"/>
      <c r="I216" s="594"/>
      <c r="J216" s="594"/>
      <c r="K216" s="594"/>
      <c r="O216" s="490"/>
    </row>
    <row r="217" spans="2:15" x14ac:dyDescent="0.2">
      <c r="B217" s="598" t="s">
        <v>113</v>
      </c>
      <c r="D217" s="599">
        <f>'Rate Design Res'!D13+'Rate Design Res'!D25+'Rate Design Res'!D39+'Rate Design C&amp;I'!D36+'Rate Design C&amp;I'!D96+'Rate Design Int &amp; Trans'!D60+'Rate Design Int &amp; Trans'!D116+'Rate Design Int &amp; Trans'!D185</f>
        <v>1105327515.5699999</v>
      </c>
      <c r="E217" s="389"/>
      <c r="F217" s="600">
        <f>'Rate Design Res'!F18+'Rate Design Res'!F30+'Rate Design Res'!F43+'Rate Design C&amp;I'!F41+'Rate Design C&amp;I'!F106+'Rate Design Int &amp; Trans'!F68+'Rate Design Int &amp; Trans'!F124+'Rate Design Int &amp; Trans'!F193</f>
        <v>800067297.0762763</v>
      </c>
      <c r="G217" s="592"/>
      <c r="H217" s="596"/>
      <c r="I217" s="600">
        <f>'Rate Design Res'!I18+'Rate Design Res'!I30+'Rate Design Res'!I43+'Rate Design C&amp;I'!I41+'Rate Design C&amp;I'!I106+'Rate Design Int &amp; Trans'!I68+'Rate Design Int &amp; Trans'!I124+'Rate Design Int &amp; Trans'!I193</f>
        <v>794361606.44605815</v>
      </c>
      <c r="J217" s="594"/>
      <c r="K217" s="601">
        <f>I217-F217</f>
        <v>-5705690.6302181482</v>
      </c>
      <c r="L217" s="602">
        <f>K217/F217</f>
        <v>-7.1315133752732091E-3</v>
      </c>
      <c r="O217" s="490"/>
    </row>
    <row r="218" spans="2:15" x14ac:dyDescent="0.2">
      <c r="B218" s="598" t="s">
        <v>483</v>
      </c>
      <c r="D218" s="603">
        <v>37223237.460000001</v>
      </c>
      <c r="E218" s="389"/>
      <c r="F218" s="604">
        <v>1426817.449611546</v>
      </c>
      <c r="G218" s="592"/>
      <c r="H218" s="596"/>
      <c r="I218" s="604">
        <v>1465941.3557558353</v>
      </c>
      <c r="J218" s="594"/>
      <c r="K218" s="601">
        <f>I218-F218</f>
        <v>39123.9061442893</v>
      </c>
      <c r="L218" s="602">
        <f>K218/F218</f>
        <v>2.742040066508919E-2</v>
      </c>
      <c r="O218" s="490"/>
    </row>
    <row r="219" spans="2:15" x14ac:dyDescent="0.2">
      <c r="B219" s="598" t="s">
        <v>484</v>
      </c>
      <c r="E219" s="389"/>
      <c r="F219" s="604">
        <v>6041548.46</v>
      </c>
      <c r="G219" s="592"/>
      <c r="H219" s="596"/>
      <c r="I219" s="604">
        <v>5943249.8600000003</v>
      </c>
      <c r="J219" s="594"/>
      <c r="K219" s="601">
        <f>I219-F219</f>
        <v>-98298.599999999627</v>
      </c>
      <c r="L219" s="602">
        <f>K219/F219</f>
        <v>-1.627043143836665E-2</v>
      </c>
      <c r="O219" s="490"/>
    </row>
    <row r="220" spans="2:15" x14ac:dyDescent="0.2">
      <c r="B220" s="598" t="s">
        <v>485</v>
      </c>
      <c r="D220" s="382">
        <f>SUM(D217:D219)</f>
        <v>1142550753.03</v>
      </c>
      <c r="E220" s="389"/>
      <c r="F220" s="605">
        <f>SUM(F217:F219)</f>
        <v>807535662.98588789</v>
      </c>
      <c r="G220" s="592"/>
      <c r="H220" s="596"/>
      <c r="I220" s="605">
        <f>SUM(I217:I219)</f>
        <v>801770797.66181397</v>
      </c>
      <c r="J220" s="594"/>
      <c r="K220" s="605">
        <f>SUM(K217:K219)</f>
        <v>-5764865.3240738586</v>
      </c>
      <c r="L220" s="602">
        <f>K220/F220</f>
        <v>-7.1388368196125141E-3</v>
      </c>
      <c r="O220" s="490"/>
    </row>
    <row r="221" spans="2:15" x14ac:dyDescent="0.2">
      <c r="B221" s="606"/>
      <c r="C221" s="450"/>
      <c r="D221" s="603"/>
      <c r="E221" s="389"/>
      <c r="F221" s="607"/>
      <c r="G221" s="592"/>
      <c r="H221" s="596"/>
      <c r="I221" s="607"/>
      <c r="J221" s="594"/>
      <c r="K221" s="607"/>
      <c r="L221" s="602"/>
    </row>
    <row r="222" spans="2:15" x14ac:dyDescent="0.2">
      <c r="B222" s="598"/>
      <c r="E222" s="389"/>
      <c r="F222" s="591"/>
      <c r="G222" s="592"/>
      <c r="H222" s="596"/>
      <c r="I222" s="591"/>
      <c r="J222" s="594"/>
      <c r="K222" s="591"/>
    </row>
    <row r="223" spans="2:15" x14ac:dyDescent="0.2">
      <c r="B223" s="502"/>
      <c r="D223" s="608"/>
      <c r="F223" s="591"/>
      <c r="G223" s="592"/>
      <c r="H223" s="596"/>
      <c r="I223" s="591"/>
      <c r="J223" s="594"/>
      <c r="K223" s="591"/>
    </row>
    <row r="224" spans="2:15" x14ac:dyDescent="0.2">
      <c r="D224" s="608"/>
      <c r="F224" s="594"/>
      <c r="G224" s="592"/>
      <c r="H224" s="596"/>
      <c r="I224" s="594"/>
      <c r="J224" s="594"/>
      <c r="K224" s="594"/>
    </row>
    <row r="225" spans="2:4" x14ac:dyDescent="0.2">
      <c r="B225" s="207" t="s">
        <v>438</v>
      </c>
      <c r="D225" s="608"/>
    </row>
    <row r="227" spans="2:4" x14ac:dyDescent="0.2">
      <c r="D227" s="609"/>
    </row>
  </sheetData>
  <mergeCells count="1">
    <mergeCell ref="K7:L7"/>
  </mergeCells>
  <printOptions horizontalCentered="1"/>
  <pageMargins left="0.5" right="0.5" top="1" bottom="0.75" header="0.75" footer="0.5"/>
  <pageSetup scale="73" fitToHeight="2" orientation="landscape" blackAndWhite="1" r:id="rId1"/>
  <headerFooter alignWithMargins="0">
    <oddFooter>&amp;L&amp;F 
&amp;A&amp;C&amp;P&amp;R&amp;D</oddFooter>
  </headerFooter>
  <rowBreaks count="5" manualBreakCount="5">
    <brk id="47" max="16383" man="1"/>
    <brk id="89" min="1" max="16" man="1"/>
    <brk id="126" min="1" max="16" man="1"/>
    <brk id="169" max="16383" man="1"/>
    <brk id="214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49"/>
  <sheetViews>
    <sheetView workbookViewId="0">
      <selection activeCell="E33" sqref="E33"/>
    </sheetView>
  </sheetViews>
  <sheetFormatPr defaultRowHeight="12.75" x14ac:dyDescent="0.2"/>
  <cols>
    <col min="1" max="1" width="4.42578125" style="450" customWidth="1"/>
    <col min="2" max="2" width="4.42578125" style="450" bestFit="1" customWidth="1"/>
    <col min="3" max="3" width="11" style="450" customWidth="1"/>
    <col min="4" max="4" width="8.7109375" style="450" bestFit="1" customWidth="1"/>
    <col min="5" max="5" width="42.42578125" style="450" bestFit="1" customWidth="1"/>
    <col min="6" max="6" width="8.7109375" style="450" bestFit="1" customWidth="1"/>
    <col min="7" max="7" width="7.7109375" style="450" bestFit="1" customWidth="1"/>
    <col min="8" max="8" width="13.28515625" style="450" bestFit="1" customWidth="1"/>
    <col min="9" max="9" width="9.7109375" style="450" bestFit="1" customWidth="1"/>
    <col min="10" max="10" width="14.42578125" style="450" bestFit="1" customWidth="1"/>
    <col min="11" max="11" width="13.5703125" style="450" customWidth="1"/>
    <col min="12" max="12" width="14.7109375" style="450" customWidth="1"/>
    <col min="13" max="13" width="14" style="450" customWidth="1"/>
    <col min="14" max="14" width="10.28515625" style="390" bestFit="1" customWidth="1"/>
    <col min="15" max="15" width="8.85546875" style="390" bestFit="1" customWidth="1"/>
    <col min="16" max="16" width="14.7109375" style="450" customWidth="1"/>
    <col min="17" max="17" width="15.28515625" style="450" customWidth="1"/>
    <col min="18" max="19" width="14" style="450" customWidth="1"/>
    <col min="20" max="20" width="9.140625" style="450"/>
    <col min="21" max="21" width="14" style="450" customWidth="1"/>
    <col min="22" max="16384" width="9.140625" style="450"/>
  </cols>
  <sheetData>
    <row r="1" spans="1:21" x14ac:dyDescent="0.2">
      <c r="P1" s="390"/>
    </row>
    <row r="2" spans="1:21" x14ac:dyDescent="0.2">
      <c r="B2" s="199" t="s">
        <v>1</v>
      </c>
      <c r="C2" s="346"/>
      <c r="D2" s="346"/>
      <c r="E2" s="346"/>
      <c r="F2" s="346"/>
      <c r="G2" s="346"/>
      <c r="H2" s="346"/>
      <c r="I2" s="346"/>
      <c r="J2" s="346"/>
      <c r="K2" s="346"/>
      <c r="L2" s="346"/>
      <c r="P2" s="390"/>
    </row>
    <row r="3" spans="1:21" x14ac:dyDescent="0.2">
      <c r="B3" s="697" t="s">
        <v>541</v>
      </c>
      <c r="C3" s="346"/>
      <c r="D3" s="346"/>
      <c r="E3" s="346"/>
      <c r="F3" s="346"/>
      <c r="G3" s="346"/>
      <c r="H3" s="346"/>
      <c r="I3" s="346"/>
      <c r="J3" s="346"/>
      <c r="K3" s="346"/>
      <c r="L3" s="346"/>
      <c r="P3" s="390"/>
    </row>
    <row r="4" spans="1:21" x14ac:dyDescent="0.2">
      <c r="B4" s="697" t="s">
        <v>531</v>
      </c>
      <c r="C4" s="346"/>
      <c r="D4" s="346"/>
      <c r="E4" s="346"/>
      <c r="F4" s="346"/>
      <c r="G4" s="346"/>
      <c r="H4" s="346"/>
      <c r="I4" s="346"/>
      <c r="J4" s="346"/>
      <c r="K4" s="346"/>
      <c r="L4" s="346"/>
      <c r="P4" s="390"/>
    </row>
    <row r="5" spans="1:21" x14ac:dyDescent="0.2">
      <c r="B5" s="209" t="s">
        <v>408</v>
      </c>
      <c r="C5" s="346"/>
      <c r="D5" s="346"/>
      <c r="E5" s="346"/>
      <c r="F5" s="346"/>
      <c r="G5" s="346"/>
      <c r="H5" s="346"/>
      <c r="I5" s="346"/>
      <c r="J5" s="346"/>
      <c r="K5" s="346"/>
      <c r="L5" s="346"/>
      <c r="P5" s="390"/>
    </row>
    <row r="6" spans="1:21" s="355" customFormat="1" x14ac:dyDescent="0.2">
      <c r="A6" s="611"/>
      <c r="B6" s="612" t="s">
        <v>486</v>
      </c>
      <c r="C6" s="612"/>
      <c r="D6" s="612"/>
      <c r="E6" s="612"/>
      <c r="F6" s="612"/>
      <c r="G6" s="612"/>
      <c r="H6" s="612"/>
      <c r="I6" s="612"/>
      <c r="J6" s="612"/>
      <c r="K6" s="199"/>
      <c r="L6" s="346"/>
      <c r="M6" s="467"/>
      <c r="N6" s="365"/>
      <c r="O6" s="365"/>
      <c r="P6" s="365"/>
      <c r="Q6" s="467"/>
      <c r="R6" s="467"/>
      <c r="S6" s="467"/>
      <c r="T6" s="467"/>
      <c r="U6" s="467"/>
    </row>
    <row r="7" spans="1:21" s="355" customFormat="1" x14ac:dyDescent="0.2">
      <c r="A7" s="611"/>
      <c r="B7" s="365"/>
      <c r="C7" s="365"/>
      <c r="D7" s="365"/>
      <c r="E7" s="365"/>
      <c r="F7" s="613"/>
      <c r="G7" s="365"/>
      <c r="H7" s="365"/>
      <c r="I7" s="613"/>
      <c r="J7" s="365"/>
      <c r="K7" s="614"/>
      <c r="M7" s="467"/>
      <c r="N7" s="365"/>
      <c r="O7" s="611"/>
      <c r="P7" s="365"/>
      <c r="Q7" s="467"/>
      <c r="R7" s="467"/>
      <c r="S7" s="467"/>
      <c r="T7" s="467"/>
      <c r="U7" s="467"/>
    </row>
    <row r="8" spans="1:21" s="355" customFormat="1" x14ac:dyDescent="0.2">
      <c r="A8" s="611"/>
      <c r="B8" s="365"/>
      <c r="C8" s="365"/>
      <c r="D8" s="365"/>
      <c r="E8" s="365"/>
      <c r="F8" s="613"/>
      <c r="G8" s="365"/>
      <c r="H8" s="365"/>
      <c r="I8" s="365"/>
      <c r="J8" s="365"/>
      <c r="K8" s="614"/>
      <c r="M8" s="467"/>
      <c r="N8" s="365"/>
      <c r="O8" s="365"/>
      <c r="P8" s="365"/>
      <c r="Q8" s="467"/>
      <c r="R8" s="467"/>
      <c r="S8" s="467"/>
      <c r="T8" s="467"/>
      <c r="U8" s="467"/>
    </row>
    <row r="9" spans="1:21" s="355" customFormat="1" x14ac:dyDescent="0.2">
      <c r="B9" s="365"/>
      <c r="C9" s="365"/>
      <c r="D9" s="365"/>
      <c r="E9" s="365"/>
      <c r="F9" s="613"/>
      <c r="G9" s="365"/>
      <c r="H9" s="613" t="s">
        <v>111</v>
      </c>
      <c r="I9" s="365"/>
      <c r="J9" s="613" t="s">
        <v>111</v>
      </c>
      <c r="K9" s="614"/>
      <c r="M9" s="467"/>
      <c r="N9" s="613"/>
      <c r="O9" s="613"/>
      <c r="P9" s="365"/>
      <c r="Q9" s="467"/>
      <c r="R9" s="467"/>
      <c r="S9" s="467"/>
      <c r="T9" s="467"/>
      <c r="U9" s="467"/>
    </row>
    <row r="10" spans="1:21" s="355" customFormat="1" x14ac:dyDescent="0.2">
      <c r="B10" s="365"/>
      <c r="C10" s="365"/>
      <c r="D10" s="613" t="s">
        <v>487</v>
      </c>
      <c r="E10" s="365"/>
      <c r="F10" s="613" t="s">
        <v>488</v>
      </c>
      <c r="G10" s="613" t="s">
        <v>410</v>
      </c>
      <c r="H10" s="613" t="s">
        <v>489</v>
      </c>
      <c r="I10" s="613" t="s">
        <v>411</v>
      </c>
      <c r="J10" s="613" t="s">
        <v>489</v>
      </c>
      <c r="K10" s="614" t="s">
        <v>411</v>
      </c>
      <c r="M10" s="467"/>
      <c r="N10" s="613"/>
      <c r="O10" s="613"/>
      <c r="P10" s="365"/>
      <c r="Q10" s="467"/>
      <c r="R10" s="467"/>
      <c r="S10" s="467"/>
      <c r="T10" s="467"/>
      <c r="U10" s="467"/>
    </row>
    <row r="11" spans="1:21" s="355" customFormat="1" x14ac:dyDescent="0.2">
      <c r="B11" s="370" t="s">
        <v>112</v>
      </c>
      <c r="C11" s="370" t="s">
        <v>4</v>
      </c>
      <c r="D11" s="615" t="s">
        <v>4</v>
      </c>
      <c r="E11" s="615" t="s">
        <v>116</v>
      </c>
      <c r="F11" s="615" t="s">
        <v>490</v>
      </c>
      <c r="G11" s="615" t="s">
        <v>7</v>
      </c>
      <c r="H11" s="615" t="s">
        <v>491</v>
      </c>
      <c r="I11" s="615" t="s">
        <v>7</v>
      </c>
      <c r="J11" s="615" t="s">
        <v>492</v>
      </c>
      <c r="K11" s="615" t="s">
        <v>419</v>
      </c>
      <c r="M11" s="467"/>
      <c r="N11" s="613"/>
      <c r="O11" s="613"/>
      <c r="P11" s="365"/>
      <c r="Q11" s="467"/>
      <c r="R11" s="467"/>
      <c r="S11" s="467"/>
      <c r="T11" s="467"/>
      <c r="U11" s="467"/>
    </row>
    <row r="12" spans="1:21" x14ac:dyDescent="0.2">
      <c r="B12" s="467"/>
      <c r="C12" s="616" t="s">
        <v>173</v>
      </c>
      <c r="D12" s="616" t="s">
        <v>174</v>
      </c>
      <c r="E12" s="616" t="s">
        <v>175</v>
      </c>
      <c r="F12" s="616" t="s">
        <v>176</v>
      </c>
      <c r="G12" s="616" t="s">
        <v>177</v>
      </c>
      <c r="H12" s="616" t="s">
        <v>178</v>
      </c>
      <c r="I12" s="616" t="s">
        <v>179</v>
      </c>
      <c r="J12" s="616" t="s">
        <v>180</v>
      </c>
      <c r="K12" s="616" t="s">
        <v>181</v>
      </c>
      <c r="N12" s="616"/>
      <c r="P12" s="390"/>
    </row>
    <row r="13" spans="1:21" x14ac:dyDescent="0.2">
      <c r="B13" s="467"/>
      <c r="P13" s="390"/>
    </row>
    <row r="14" spans="1:21" ht="12.75" customHeight="1" x14ac:dyDescent="0.2">
      <c r="B14" s="617">
        <v>1</v>
      </c>
      <c r="C14" s="467" t="s">
        <v>493</v>
      </c>
      <c r="D14" s="450" t="s">
        <v>494</v>
      </c>
      <c r="E14" s="450" t="s">
        <v>495</v>
      </c>
      <c r="F14" s="618">
        <v>13837</v>
      </c>
      <c r="G14" s="619">
        <v>7.49</v>
      </c>
      <c r="H14" s="620">
        <f>F14*G14</f>
        <v>103639.13</v>
      </c>
      <c r="I14" s="621">
        <f>ROUND(G14*(1+$L$33),2)</f>
        <v>7.37</v>
      </c>
      <c r="J14" s="620">
        <f>F14*I14</f>
        <v>101978.69</v>
      </c>
      <c r="K14" s="622">
        <f>J14-H14</f>
        <v>-1660.4400000000023</v>
      </c>
      <c r="L14" s="623"/>
      <c r="M14" s="623"/>
      <c r="N14" s="624"/>
      <c r="O14" s="621"/>
      <c r="P14" s="625"/>
      <c r="Q14" s="623"/>
      <c r="R14" s="623"/>
      <c r="S14" s="623"/>
      <c r="U14" s="623"/>
    </row>
    <row r="15" spans="1:21" x14ac:dyDescent="0.2">
      <c r="B15" s="617">
        <f>B14+1</f>
        <v>2</v>
      </c>
      <c r="C15" s="467" t="s">
        <v>493</v>
      </c>
      <c r="D15" s="450" t="s">
        <v>496</v>
      </c>
      <c r="E15" s="450" t="s">
        <v>497</v>
      </c>
      <c r="F15" s="618">
        <v>215861</v>
      </c>
      <c r="G15" s="619">
        <v>12.29</v>
      </c>
      <c r="H15" s="626">
        <f>F15*G15</f>
        <v>2652931.69</v>
      </c>
      <c r="I15" s="621">
        <f t="shared" ref="I15:I30" si="0">ROUND(G15*(1+$L$33),2)</f>
        <v>12.09</v>
      </c>
      <c r="J15" s="626">
        <f>F15*I15</f>
        <v>2609759.4899999998</v>
      </c>
      <c r="K15" s="626">
        <f t="shared" ref="K15:K26" si="1">J15-H15</f>
        <v>-43172.200000000186</v>
      </c>
      <c r="L15" s="623"/>
      <c r="M15" s="623"/>
      <c r="N15" s="624"/>
      <c r="O15" s="621"/>
      <c r="P15" s="625"/>
      <c r="Q15" s="623"/>
      <c r="R15" s="623"/>
      <c r="S15" s="623"/>
      <c r="T15" s="623"/>
      <c r="U15" s="623"/>
    </row>
    <row r="16" spans="1:21" x14ac:dyDescent="0.2">
      <c r="B16" s="617">
        <f t="shared" ref="B16:B31" si="2">B15+1</f>
        <v>3</v>
      </c>
      <c r="C16" s="467" t="s">
        <v>493</v>
      </c>
      <c r="D16" s="450" t="s">
        <v>498</v>
      </c>
      <c r="E16" s="450" t="s">
        <v>499</v>
      </c>
      <c r="F16" s="618">
        <v>40579</v>
      </c>
      <c r="G16" s="619">
        <v>17.43</v>
      </c>
      <c r="H16" s="626">
        <f t="shared" ref="H16:H30" si="3">F16*G16</f>
        <v>707291.97</v>
      </c>
      <c r="I16" s="621">
        <f t="shared" si="0"/>
        <v>17.149999999999999</v>
      </c>
      <c r="J16" s="626">
        <f t="shared" ref="J16:J30" si="4">F16*I16</f>
        <v>695929.85</v>
      </c>
      <c r="K16" s="626">
        <f t="shared" si="1"/>
        <v>-11362.119999999995</v>
      </c>
      <c r="L16" s="623"/>
      <c r="M16" s="623"/>
      <c r="N16" s="624"/>
      <c r="O16" s="621"/>
      <c r="P16" s="625"/>
      <c r="Q16" s="623"/>
      <c r="R16" s="623"/>
      <c r="S16" s="623"/>
      <c r="T16" s="623"/>
      <c r="U16" s="623"/>
    </row>
    <row r="17" spans="2:21" x14ac:dyDescent="0.2">
      <c r="B17" s="617">
        <f t="shared" si="2"/>
        <v>4</v>
      </c>
      <c r="C17" s="467" t="s">
        <v>493</v>
      </c>
      <c r="D17" s="450" t="s">
        <v>500</v>
      </c>
      <c r="E17" s="450" t="s">
        <v>501</v>
      </c>
      <c r="F17" s="618">
        <v>9443</v>
      </c>
      <c r="G17" s="619">
        <v>17.059999999999999</v>
      </c>
      <c r="H17" s="626">
        <f t="shared" si="3"/>
        <v>161097.57999999999</v>
      </c>
      <c r="I17" s="621">
        <f t="shared" si="0"/>
        <v>16.78</v>
      </c>
      <c r="J17" s="626">
        <f>F17*I17</f>
        <v>158453.54</v>
      </c>
      <c r="K17" s="626">
        <f>J17-H17</f>
        <v>-2644.039999999979</v>
      </c>
      <c r="L17" s="623"/>
      <c r="M17" s="623"/>
      <c r="N17" s="624"/>
      <c r="O17" s="621"/>
      <c r="P17" s="625"/>
      <c r="Q17" s="623"/>
      <c r="R17" s="623"/>
      <c r="S17" s="623"/>
      <c r="T17" s="623"/>
      <c r="U17" s="623"/>
    </row>
    <row r="18" spans="2:21" x14ac:dyDescent="0.2">
      <c r="B18" s="617">
        <f t="shared" si="2"/>
        <v>5</v>
      </c>
      <c r="C18" s="467" t="s">
        <v>493</v>
      </c>
      <c r="D18" s="450" t="s">
        <v>502</v>
      </c>
      <c r="E18" s="450" t="s">
        <v>503</v>
      </c>
      <c r="F18" s="618">
        <v>44756</v>
      </c>
      <c r="G18" s="619">
        <v>5.93</v>
      </c>
      <c r="H18" s="626">
        <f t="shared" si="3"/>
        <v>265403.08</v>
      </c>
      <c r="I18" s="621">
        <f t="shared" si="0"/>
        <v>5.83</v>
      </c>
      <c r="J18" s="626">
        <f t="shared" si="4"/>
        <v>260927.48</v>
      </c>
      <c r="K18" s="626">
        <f t="shared" si="1"/>
        <v>-4475.6000000000058</v>
      </c>
      <c r="L18" s="623"/>
      <c r="M18" s="623"/>
      <c r="N18" s="624"/>
      <c r="O18" s="621"/>
      <c r="P18" s="625"/>
      <c r="Q18" s="623"/>
      <c r="R18" s="623"/>
      <c r="S18" s="623"/>
      <c r="T18" s="623"/>
      <c r="U18" s="623"/>
    </row>
    <row r="19" spans="2:21" x14ac:dyDescent="0.2">
      <c r="B19" s="617">
        <f t="shared" si="2"/>
        <v>6</v>
      </c>
      <c r="C19" s="467" t="s">
        <v>493</v>
      </c>
      <c r="D19" s="450" t="s">
        <v>504</v>
      </c>
      <c r="E19" s="450" t="s">
        <v>505</v>
      </c>
      <c r="F19" s="618">
        <v>2577</v>
      </c>
      <c r="G19" s="619">
        <v>10.74</v>
      </c>
      <c r="H19" s="626">
        <f t="shared" si="3"/>
        <v>27676.98</v>
      </c>
      <c r="I19" s="621">
        <f t="shared" si="0"/>
        <v>10.57</v>
      </c>
      <c r="J19" s="626">
        <f t="shared" si="4"/>
        <v>27238.89</v>
      </c>
      <c r="K19" s="626">
        <f t="shared" si="1"/>
        <v>-438.09000000000015</v>
      </c>
      <c r="L19" s="623"/>
      <c r="M19" s="623"/>
      <c r="N19" s="624"/>
      <c r="O19" s="621"/>
      <c r="P19" s="625"/>
      <c r="Q19" s="623"/>
      <c r="R19" s="623"/>
      <c r="S19" s="623"/>
      <c r="T19" s="623"/>
      <c r="U19" s="623"/>
    </row>
    <row r="20" spans="2:21" x14ac:dyDescent="0.2">
      <c r="B20" s="617">
        <f t="shared" si="2"/>
        <v>7</v>
      </c>
      <c r="C20" s="467" t="s">
        <v>506</v>
      </c>
      <c r="D20" s="450" t="s">
        <v>507</v>
      </c>
      <c r="E20" s="450" t="s">
        <v>508</v>
      </c>
      <c r="F20" s="618">
        <v>1528</v>
      </c>
      <c r="G20" s="619">
        <v>15.14</v>
      </c>
      <c r="H20" s="626">
        <f t="shared" si="3"/>
        <v>23133.920000000002</v>
      </c>
      <c r="I20" s="621">
        <f t="shared" si="0"/>
        <v>14.9</v>
      </c>
      <c r="J20" s="626">
        <f t="shared" si="4"/>
        <v>22767.200000000001</v>
      </c>
      <c r="K20" s="626">
        <f t="shared" si="1"/>
        <v>-366.72000000000116</v>
      </c>
      <c r="L20" s="623"/>
      <c r="M20" s="623"/>
      <c r="N20" s="624"/>
      <c r="O20" s="532"/>
      <c r="P20" s="625"/>
      <c r="Q20" s="623"/>
      <c r="R20" s="623"/>
      <c r="S20" s="623"/>
      <c r="T20" s="623"/>
      <c r="U20" s="623"/>
    </row>
    <row r="21" spans="2:21" x14ac:dyDescent="0.2">
      <c r="B21" s="617">
        <f t="shared" si="2"/>
        <v>8</v>
      </c>
      <c r="C21" s="467" t="s">
        <v>506</v>
      </c>
      <c r="D21" s="450" t="s">
        <v>509</v>
      </c>
      <c r="E21" s="450" t="s">
        <v>510</v>
      </c>
      <c r="F21" s="618">
        <v>1127</v>
      </c>
      <c r="G21" s="619">
        <v>19.920000000000002</v>
      </c>
      <c r="H21" s="626">
        <f t="shared" si="3"/>
        <v>22449.84</v>
      </c>
      <c r="I21" s="621">
        <f t="shared" si="0"/>
        <v>19.600000000000001</v>
      </c>
      <c r="J21" s="626">
        <f t="shared" si="4"/>
        <v>22089.200000000001</v>
      </c>
      <c r="K21" s="626">
        <f t="shared" si="1"/>
        <v>-360.63999999999942</v>
      </c>
      <c r="L21" s="623"/>
      <c r="M21" s="623"/>
      <c r="N21" s="624"/>
      <c r="O21" s="627"/>
      <c r="P21" s="625"/>
      <c r="Q21" s="623"/>
      <c r="R21" s="623"/>
      <c r="S21" s="623"/>
      <c r="T21" s="623"/>
      <c r="U21" s="623"/>
    </row>
    <row r="22" spans="2:21" x14ac:dyDescent="0.2">
      <c r="B22" s="617">
        <f t="shared" si="2"/>
        <v>9</v>
      </c>
      <c r="C22" s="467" t="s">
        <v>506</v>
      </c>
      <c r="D22" s="450" t="s">
        <v>511</v>
      </c>
      <c r="E22" s="450" t="s">
        <v>512</v>
      </c>
      <c r="F22" s="618">
        <v>3097</v>
      </c>
      <c r="G22" s="619">
        <v>19.920000000000002</v>
      </c>
      <c r="H22" s="626">
        <f t="shared" si="3"/>
        <v>61692.240000000005</v>
      </c>
      <c r="I22" s="621">
        <f t="shared" si="0"/>
        <v>19.600000000000001</v>
      </c>
      <c r="J22" s="626">
        <f t="shared" si="4"/>
        <v>60701.200000000004</v>
      </c>
      <c r="K22" s="626">
        <f t="shared" si="1"/>
        <v>-991.04000000000087</v>
      </c>
      <c r="L22" s="623"/>
      <c r="M22" s="623"/>
      <c r="N22" s="624"/>
      <c r="O22" s="627"/>
      <c r="P22" s="625"/>
      <c r="Q22" s="623"/>
      <c r="R22" s="623"/>
      <c r="S22" s="623"/>
      <c r="T22" s="623"/>
      <c r="U22" s="623"/>
    </row>
    <row r="23" spans="2:21" x14ac:dyDescent="0.2">
      <c r="B23" s="617">
        <f t="shared" si="2"/>
        <v>10</v>
      </c>
      <c r="C23" s="467" t="s">
        <v>506</v>
      </c>
      <c r="D23" s="450" t="s">
        <v>513</v>
      </c>
      <c r="E23" s="450" t="s">
        <v>514</v>
      </c>
      <c r="F23" s="618">
        <v>169</v>
      </c>
      <c r="G23" s="619">
        <v>31.46</v>
      </c>
      <c r="H23" s="626">
        <f t="shared" si="3"/>
        <v>5316.74</v>
      </c>
      <c r="I23" s="621">
        <f t="shared" si="0"/>
        <v>30.95</v>
      </c>
      <c r="J23" s="626">
        <f t="shared" si="4"/>
        <v>5230.55</v>
      </c>
      <c r="K23" s="626">
        <f t="shared" si="1"/>
        <v>-86.1899999999996</v>
      </c>
      <c r="L23" s="623"/>
      <c r="M23" s="623"/>
      <c r="N23" s="624"/>
      <c r="O23" s="627"/>
      <c r="P23" s="625"/>
      <c r="Q23" s="623"/>
      <c r="R23" s="623"/>
      <c r="S23" s="623"/>
      <c r="T23" s="623"/>
      <c r="U23" s="623"/>
    </row>
    <row r="24" spans="2:21" x14ac:dyDescent="0.2">
      <c r="B24" s="617">
        <f t="shared" si="2"/>
        <v>11</v>
      </c>
      <c r="C24" s="467" t="s">
        <v>506</v>
      </c>
      <c r="D24" s="450" t="s">
        <v>515</v>
      </c>
      <c r="E24" s="450" t="s">
        <v>516</v>
      </c>
      <c r="F24" s="618">
        <v>7262</v>
      </c>
      <c r="G24" s="619">
        <v>41.18</v>
      </c>
      <c r="H24" s="626">
        <f t="shared" si="3"/>
        <v>299049.15999999997</v>
      </c>
      <c r="I24" s="621">
        <f t="shared" si="0"/>
        <v>40.51</v>
      </c>
      <c r="J24" s="626">
        <f t="shared" si="4"/>
        <v>294183.62</v>
      </c>
      <c r="K24" s="626">
        <f t="shared" si="1"/>
        <v>-4865.539999999979</v>
      </c>
      <c r="L24" s="623"/>
      <c r="M24" s="623"/>
      <c r="N24" s="624"/>
      <c r="O24" s="627"/>
      <c r="P24" s="625"/>
      <c r="Q24" s="623"/>
      <c r="R24" s="623"/>
      <c r="S24" s="623"/>
      <c r="T24" s="623"/>
      <c r="U24" s="623"/>
    </row>
    <row r="25" spans="2:21" x14ac:dyDescent="0.2">
      <c r="B25" s="617">
        <f t="shared" si="2"/>
        <v>12</v>
      </c>
      <c r="C25" s="467" t="s">
        <v>506</v>
      </c>
      <c r="D25" s="450" t="s">
        <v>517</v>
      </c>
      <c r="E25" s="450" t="s">
        <v>518</v>
      </c>
      <c r="F25" s="618">
        <v>4883</v>
      </c>
      <c r="G25" s="619">
        <v>55.14</v>
      </c>
      <c r="H25" s="626">
        <f t="shared" si="3"/>
        <v>269248.62</v>
      </c>
      <c r="I25" s="621">
        <f t="shared" si="0"/>
        <v>54.25</v>
      </c>
      <c r="J25" s="626">
        <f t="shared" si="4"/>
        <v>264902.75</v>
      </c>
      <c r="K25" s="626">
        <f t="shared" si="1"/>
        <v>-4345.8699999999953</v>
      </c>
      <c r="L25" s="623"/>
      <c r="M25" s="623"/>
      <c r="N25" s="624"/>
      <c r="O25" s="627"/>
      <c r="P25" s="625"/>
      <c r="Q25" s="623"/>
      <c r="R25" s="623"/>
      <c r="S25" s="623"/>
      <c r="T25" s="623"/>
      <c r="U25" s="623"/>
    </row>
    <row r="26" spans="2:21" x14ac:dyDescent="0.2">
      <c r="B26" s="617">
        <f t="shared" si="2"/>
        <v>13</v>
      </c>
      <c r="C26" s="467" t="s">
        <v>506</v>
      </c>
      <c r="D26" s="450" t="s">
        <v>519</v>
      </c>
      <c r="E26" s="450" t="s">
        <v>520</v>
      </c>
      <c r="F26" s="618">
        <v>13877</v>
      </c>
      <c r="G26" s="619">
        <v>64.13</v>
      </c>
      <c r="H26" s="626">
        <f t="shared" si="3"/>
        <v>889932.00999999989</v>
      </c>
      <c r="I26" s="621">
        <f t="shared" si="0"/>
        <v>63.09</v>
      </c>
      <c r="J26" s="626">
        <f t="shared" si="4"/>
        <v>875499.93</v>
      </c>
      <c r="K26" s="626">
        <f t="shared" si="1"/>
        <v>-14432.079999999842</v>
      </c>
      <c r="L26" s="623"/>
      <c r="M26" s="623"/>
      <c r="N26" s="624"/>
      <c r="O26" s="627"/>
      <c r="P26" s="625"/>
      <c r="Q26" s="623"/>
      <c r="R26" s="623"/>
      <c r="S26" s="623"/>
      <c r="T26" s="623"/>
      <c r="U26" s="623"/>
    </row>
    <row r="27" spans="2:21" x14ac:dyDescent="0.2">
      <c r="B27" s="617">
        <f t="shared" si="2"/>
        <v>14</v>
      </c>
      <c r="C27" s="467" t="s">
        <v>521</v>
      </c>
      <c r="D27" s="450" t="s">
        <v>522</v>
      </c>
      <c r="E27" s="450" t="s">
        <v>523</v>
      </c>
      <c r="F27" s="618">
        <v>13829</v>
      </c>
      <c r="G27" s="619">
        <v>10.33</v>
      </c>
      <c r="H27" s="626">
        <f t="shared" si="3"/>
        <v>142853.57</v>
      </c>
      <c r="I27" s="621">
        <f t="shared" si="0"/>
        <v>10.16</v>
      </c>
      <c r="J27" s="626">
        <f t="shared" si="4"/>
        <v>140502.64000000001</v>
      </c>
      <c r="K27" s="626">
        <f>J27-H27</f>
        <v>-2350.929999999993</v>
      </c>
      <c r="L27" s="628" t="s">
        <v>524</v>
      </c>
      <c r="M27" s="623"/>
      <c r="N27" s="624"/>
      <c r="O27" s="621"/>
      <c r="P27" s="625"/>
      <c r="Q27" s="623"/>
      <c r="R27" s="623"/>
      <c r="S27" s="623"/>
      <c r="T27" s="623"/>
      <c r="U27" s="623"/>
    </row>
    <row r="28" spans="2:21" x14ac:dyDescent="0.2">
      <c r="B28" s="617">
        <f t="shared" si="2"/>
        <v>15</v>
      </c>
      <c r="C28" s="467" t="s">
        <v>521</v>
      </c>
      <c r="D28" s="450" t="s">
        <v>525</v>
      </c>
      <c r="E28" s="450" t="s">
        <v>526</v>
      </c>
      <c r="F28" s="618">
        <v>909</v>
      </c>
      <c r="G28" s="619">
        <v>28.17</v>
      </c>
      <c r="H28" s="626">
        <f t="shared" si="3"/>
        <v>25606.530000000002</v>
      </c>
      <c r="I28" s="621">
        <f t="shared" si="0"/>
        <v>27.71</v>
      </c>
      <c r="J28" s="626">
        <f t="shared" si="4"/>
        <v>25188.39</v>
      </c>
      <c r="K28" s="626">
        <f>J28-H28</f>
        <v>-418.14000000000306</v>
      </c>
      <c r="L28" s="629">
        <v>-98098.02769858684</v>
      </c>
      <c r="M28" s="623"/>
      <c r="N28" s="624"/>
      <c r="O28" s="621"/>
      <c r="P28" s="625"/>
      <c r="Q28" s="623"/>
      <c r="R28" s="623"/>
      <c r="S28" s="623"/>
      <c r="T28" s="623"/>
      <c r="U28" s="623"/>
    </row>
    <row r="29" spans="2:21" x14ac:dyDescent="0.2">
      <c r="B29" s="617">
        <f t="shared" si="2"/>
        <v>16</v>
      </c>
      <c r="C29" s="467" t="s">
        <v>521</v>
      </c>
      <c r="D29" s="450" t="s">
        <v>527</v>
      </c>
      <c r="E29" s="450" t="s">
        <v>528</v>
      </c>
      <c r="F29" s="618">
        <v>588</v>
      </c>
      <c r="G29" s="619">
        <v>38.200000000000003</v>
      </c>
      <c r="H29" s="626">
        <f t="shared" si="3"/>
        <v>22461.600000000002</v>
      </c>
      <c r="I29" s="621">
        <f t="shared" si="0"/>
        <v>37.58</v>
      </c>
      <c r="J29" s="626">
        <f t="shared" si="4"/>
        <v>22097.039999999997</v>
      </c>
      <c r="K29" s="626">
        <f>J29-H29</f>
        <v>-364.56000000000495</v>
      </c>
      <c r="L29" s="630" t="s">
        <v>425</v>
      </c>
      <c r="M29" s="623"/>
      <c r="N29" s="624"/>
      <c r="O29" s="621"/>
      <c r="P29" s="625"/>
      <c r="Q29" s="623"/>
      <c r="R29" s="623"/>
      <c r="S29" s="623"/>
      <c r="T29" s="623"/>
      <c r="U29" s="623"/>
    </row>
    <row r="30" spans="2:21" x14ac:dyDescent="0.2">
      <c r="B30" s="617">
        <f t="shared" si="2"/>
        <v>17</v>
      </c>
      <c r="C30" s="467" t="s">
        <v>521</v>
      </c>
      <c r="D30" s="450" t="s">
        <v>529</v>
      </c>
      <c r="E30" s="450" t="s">
        <v>530</v>
      </c>
      <c r="F30" s="618">
        <v>22940</v>
      </c>
      <c r="G30" s="619">
        <v>15.77</v>
      </c>
      <c r="H30" s="626">
        <f t="shared" si="3"/>
        <v>361763.8</v>
      </c>
      <c r="I30" s="621">
        <f t="shared" si="0"/>
        <v>15.51</v>
      </c>
      <c r="J30" s="626">
        <f t="shared" si="4"/>
        <v>355799.4</v>
      </c>
      <c r="K30" s="626">
        <f>J30-H30</f>
        <v>-5964.3999999999651</v>
      </c>
      <c r="L30" s="631">
        <f>K31-L28</f>
        <v>-200.5723014131072</v>
      </c>
      <c r="M30" s="623"/>
      <c r="N30" s="624"/>
      <c r="O30" s="621"/>
      <c r="P30" s="625"/>
      <c r="Q30" s="623"/>
      <c r="R30" s="623"/>
      <c r="S30" s="623"/>
      <c r="T30" s="623"/>
      <c r="U30" s="623"/>
    </row>
    <row r="31" spans="2:21" x14ac:dyDescent="0.2">
      <c r="B31" s="617">
        <f t="shared" si="2"/>
        <v>18</v>
      </c>
      <c r="E31" s="461" t="s">
        <v>113</v>
      </c>
      <c r="F31" s="382">
        <f>SUM(F14:F30)</f>
        <v>397262</v>
      </c>
      <c r="H31" s="632">
        <f>SUM(H14:H30)</f>
        <v>6041548.46</v>
      </c>
      <c r="I31" s="623"/>
      <c r="J31" s="632">
        <f>SUM(J14:J30)</f>
        <v>5943249.8599999994</v>
      </c>
      <c r="K31" s="633">
        <f>SUM(K14:K30)</f>
        <v>-98298.599999999948</v>
      </c>
      <c r="L31" s="634"/>
      <c r="O31" s="635"/>
      <c r="P31" s="634"/>
    </row>
    <row r="32" spans="2:21" s="390" customFormat="1" x14ac:dyDescent="0.2">
      <c r="B32" s="636"/>
      <c r="G32" s="634"/>
      <c r="H32" s="634"/>
      <c r="I32" s="634"/>
      <c r="J32" s="634"/>
      <c r="K32" s="634"/>
    </row>
    <row r="33" spans="2:21" s="390" customFormat="1" x14ac:dyDescent="0.2">
      <c r="B33" s="636"/>
      <c r="C33" s="461"/>
      <c r="D33" s="450"/>
      <c r="E33" s="450"/>
      <c r="F33" s="450"/>
      <c r="G33" s="637"/>
      <c r="H33" s="638"/>
      <c r="I33" s="623"/>
      <c r="J33" s="623"/>
      <c r="K33" s="634"/>
      <c r="L33" s="639">
        <v>-1.6169993745930988E-2</v>
      </c>
      <c r="M33" s="625"/>
      <c r="N33" s="640"/>
      <c r="O33" s="625"/>
      <c r="P33" s="625"/>
      <c r="Q33" s="625"/>
      <c r="R33" s="625"/>
      <c r="S33" s="625"/>
      <c r="U33" s="625"/>
    </row>
    <row r="34" spans="2:21" s="390" customFormat="1" x14ac:dyDescent="0.2">
      <c r="B34" s="636"/>
      <c r="G34" s="637"/>
      <c r="J34" s="365"/>
      <c r="K34" s="641"/>
    </row>
    <row r="35" spans="2:21" x14ac:dyDescent="0.2">
      <c r="B35" s="617"/>
      <c r="G35" s="637"/>
      <c r="O35" s="642"/>
      <c r="P35" s="625"/>
      <c r="Q35" s="623"/>
      <c r="R35" s="623"/>
      <c r="S35" s="623"/>
    </row>
    <row r="36" spans="2:21" x14ac:dyDescent="0.2">
      <c r="B36" s="617"/>
      <c r="G36" s="637"/>
      <c r="P36" s="625"/>
      <c r="Q36" s="623"/>
      <c r="R36" s="623"/>
      <c r="S36" s="623"/>
    </row>
    <row r="37" spans="2:21" x14ac:dyDescent="0.2">
      <c r="B37" s="617"/>
      <c r="G37" s="637"/>
      <c r="J37" s="623"/>
      <c r="K37" s="623"/>
      <c r="O37" s="636"/>
      <c r="P37" s="643"/>
      <c r="Q37" s="643"/>
      <c r="R37" s="644"/>
      <c r="S37" s="644"/>
    </row>
    <row r="38" spans="2:21" x14ac:dyDescent="0.2">
      <c r="B38" s="617"/>
      <c r="G38" s="637"/>
      <c r="P38" s="390"/>
    </row>
    <row r="39" spans="2:21" x14ac:dyDescent="0.2">
      <c r="B39" s="617"/>
    </row>
    <row r="40" spans="2:21" x14ac:dyDescent="0.2">
      <c r="B40" s="617"/>
    </row>
    <row r="41" spans="2:21" x14ac:dyDescent="0.2">
      <c r="B41" s="617"/>
    </row>
    <row r="42" spans="2:21" x14ac:dyDescent="0.2">
      <c r="B42" s="617"/>
    </row>
    <row r="43" spans="2:21" x14ac:dyDescent="0.2">
      <c r="B43" s="617"/>
    </row>
    <row r="44" spans="2:21" x14ac:dyDescent="0.2">
      <c r="B44" s="617"/>
    </row>
    <row r="45" spans="2:21" x14ac:dyDescent="0.2">
      <c r="B45" s="617"/>
    </row>
    <row r="46" spans="2:21" x14ac:dyDescent="0.2">
      <c r="B46" s="617"/>
    </row>
    <row r="47" spans="2:21" x14ac:dyDescent="0.2">
      <c r="B47" s="617"/>
    </row>
    <row r="48" spans="2:21" x14ac:dyDescent="0.2">
      <c r="B48" s="617"/>
    </row>
    <row r="49" spans="2:2" x14ac:dyDescent="0.2">
      <c r="B49" s="617"/>
    </row>
  </sheetData>
  <printOptions horizontalCentered="1"/>
  <pageMargins left="0.51" right="0.67" top="1" bottom="1" header="0.75" footer="0.5"/>
  <pageSetup scale="86" orientation="landscape" blackAndWhite="1" r:id="rId1"/>
  <headerFooter alignWithMargins="0">
    <oddFooter>&amp;L&amp;F 
&amp;A&amp;C&amp;P&amp;R&amp;D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"/>
  <sheetViews>
    <sheetView workbookViewId="0">
      <selection activeCell="N53" sqref="N53"/>
    </sheetView>
  </sheetViews>
  <sheetFormatPr defaultRowHeight="12.75" x14ac:dyDescent="0.2"/>
  <sheetData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335"/>
  <sheetViews>
    <sheetView workbookViewId="0">
      <pane xSplit="3" ySplit="7" topLeftCell="D165" activePane="bottomRight" state="frozen"/>
      <selection activeCell="AX41" sqref="AX41"/>
      <selection pane="topRight" activeCell="AX41" sqref="AX41"/>
      <selection pane="bottomLeft" activeCell="AX41" sqref="AX41"/>
      <selection pane="bottomRight" activeCell="P212" sqref="P212"/>
    </sheetView>
  </sheetViews>
  <sheetFormatPr defaultColWidth="9.140625" defaultRowHeight="12.75" x14ac:dyDescent="0.2"/>
  <cols>
    <col min="1" max="1" width="2.28515625" style="709" customWidth="1"/>
    <col min="2" max="2" width="41.7109375" style="709" customWidth="1"/>
    <col min="3" max="3" width="9.85546875" style="709" bestFit="1" customWidth="1"/>
    <col min="4" max="15" width="12.28515625" style="709" customWidth="1"/>
    <col min="16" max="16" width="14.42578125" style="709" customWidth="1"/>
    <col min="17" max="17" width="12.7109375" style="709" customWidth="1"/>
    <col min="18" max="18" width="10.7109375" style="709" bestFit="1" customWidth="1"/>
    <col min="19" max="16384" width="9.140625" style="709"/>
  </cols>
  <sheetData>
    <row r="1" spans="2:20" x14ac:dyDescent="0.2">
      <c r="B1" s="847" t="s">
        <v>1</v>
      </c>
      <c r="C1" s="847"/>
      <c r="D1" s="847"/>
      <c r="E1" s="847"/>
      <c r="F1" s="847"/>
      <c r="G1" s="847"/>
      <c r="H1" s="847"/>
      <c r="I1" s="847"/>
      <c r="J1" s="847"/>
      <c r="K1" s="847"/>
      <c r="L1" s="847"/>
      <c r="M1" s="847"/>
      <c r="N1" s="847"/>
      <c r="O1" s="847"/>
      <c r="P1" s="847"/>
      <c r="Q1" s="708"/>
    </row>
    <row r="2" spans="2:20" x14ac:dyDescent="0.2">
      <c r="B2" s="847" t="s">
        <v>397</v>
      </c>
      <c r="C2" s="847"/>
      <c r="D2" s="847"/>
      <c r="E2" s="847"/>
      <c r="F2" s="847"/>
      <c r="G2" s="847"/>
      <c r="H2" s="847"/>
      <c r="I2" s="847"/>
      <c r="J2" s="847"/>
      <c r="K2" s="847"/>
      <c r="L2" s="847"/>
      <c r="M2" s="847"/>
      <c r="N2" s="847"/>
      <c r="O2" s="847"/>
      <c r="P2" s="847"/>
      <c r="Q2" s="708"/>
    </row>
    <row r="3" spans="2:20" x14ac:dyDescent="0.2">
      <c r="B3" s="847" t="s">
        <v>271</v>
      </c>
      <c r="C3" s="847"/>
      <c r="D3" s="847"/>
      <c r="E3" s="847"/>
      <c r="F3" s="847"/>
      <c r="G3" s="847"/>
      <c r="H3" s="847"/>
      <c r="I3" s="847"/>
      <c r="J3" s="847"/>
      <c r="K3" s="847"/>
      <c r="L3" s="847"/>
      <c r="M3" s="847"/>
      <c r="N3" s="847"/>
      <c r="O3" s="847"/>
      <c r="P3" s="847"/>
      <c r="Q3" s="708"/>
    </row>
    <row r="4" spans="2:20" x14ac:dyDescent="0.2">
      <c r="B4" s="847" t="s">
        <v>542</v>
      </c>
      <c r="C4" s="847"/>
      <c r="D4" s="847"/>
      <c r="E4" s="847"/>
      <c r="F4" s="847"/>
      <c r="G4" s="847"/>
      <c r="H4" s="847"/>
      <c r="I4" s="847"/>
      <c r="J4" s="847"/>
      <c r="K4" s="847"/>
      <c r="L4" s="847"/>
      <c r="M4" s="847"/>
      <c r="N4" s="847"/>
      <c r="O4" s="847"/>
      <c r="P4" s="847"/>
      <c r="Q4" s="708"/>
    </row>
    <row r="5" spans="2:20" x14ac:dyDescent="0.2">
      <c r="B5" s="710"/>
      <c r="C5" s="708"/>
      <c r="D5" s="708"/>
      <c r="E5" s="708"/>
      <c r="F5" s="708"/>
      <c r="G5" s="708"/>
      <c r="H5" s="708"/>
      <c r="I5" s="708"/>
      <c r="J5" s="708"/>
      <c r="K5" s="708"/>
      <c r="L5" s="708"/>
      <c r="M5" s="708"/>
      <c r="N5" s="708"/>
      <c r="O5" s="708"/>
      <c r="P5" s="708"/>
      <c r="Q5" s="708"/>
    </row>
    <row r="6" spans="2:20" x14ac:dyDescent="0.2">
      <c r="B6" s="711" t="s">
        <v>117</v>
      </c>
      <c r="C6" s="711" t="s">
        <v>118</v>
      </c>
      <c r="D6" s="712">
        <v>42917</v>
      </c>
      <c r="E6" s="712">
        <v>42948</v>
      </c>
      <c r="F6" s="712">
        <v>42979</v>
      </c>
      <c r="G6" s="712">
        <v>43009</v>
      </c>
      <c r="H6" s="712">
        <v>43040</v>
      </c>
      <c r="I6" s="712">
        <v>43070</v>
      </c>
      <c r="J6" s="712">
        <v>43101</v>
      </c>
      <c r="K6" s="712">
        <v>43132</v>
      </c>
      <c r="L6" s="712">
        <v>43160</v>
      </c>
      <c r="M6" s="712">
        <v>43191</v>
      </c>
      <c r="N6" s="712">
        <v>43221</v>
      </c>
      <c r="O6" s="712">
        <v>43252</v>
      </c>
      <c r="P6" s="713" t="s">
        <v>113</v>
      </c>
      <c r="Q6" s="714"/>
    </row>
    <row r="7" spans="2:20" x14ac:dyDescent="0.2">
      <c r="B7" s="715" t="s">
        <v>532</v>
      </c>
      <c r="C7" s="716"/>
      <c r="D7" s="717"/>
      <c r="E7" s="717"/>
      <c r="F7" s="717"/>
      <c r="G7" s="717"/>
      <c r="H7" s="717"/>
      <c r="I7" s="717"/>
      <c r="J7" s="717"/>
      <c r="K7" s="717"/>
      <c r="L7" s="717"/>
      <c r="M7" s="717"/>
      <c r="N7" s="717"/>
      <c r="O7" s="717"/>
      <c r="P7" s="717"/>
      <c r="Q7" s="717"/>
    </row>
    <row r="8" spans="2:20" s="718" customFormat="1" x14ac:dyDescent="0.2">
      <c r="B8" s="718" t="s">
        <v>168</v>
      </c>
      <c r="C8" s="719">
        <v>16</v>
      </c>
      <c r="D8" s="720">
        <v>826.07600000000002</v>
      </c>
      <c r="E8" s="720">
        <v>820.92700000000002</v>
      </c>
      <c r="F8" s="720">
        <v>774.51800000000003</v>
      </c>
      <c r="G8" s="720">
        <v>824.08199999999999</v>
      </c>
      <c r="H8" s="720">
        <v>783.54899999999998</v>
      </c>
      <c r="I8" s="720">
        <v>800.10699999999997</v>
      </c>
      <c r="J8" s="720">
        <v>797.62900000000002</v>
      </c>
      <c r="K8" s="720">
        <v>723.62300000000005</v>
      </c>
      <c r="L8" s="720">
        <v>835.85599999999999</v>
      </c>
      <c r="M8" s="720">
        <v>821.65099999999995</v>
      </c>
      <c r="N8" s="720">
        <v>818.67499999999995</v>
      </c>
      <c r="O8" s="720">
        <v>765.35199999999998</v>
      </c>
      <c r="P8" s="721">
        <f>SUM(D8:O8)</f>
        <v>9592.0450000000001</v>
      </c>
      <c r="Q8" s="721"/>
      <c r="S8" s="721"/>
    </row>
    <row r="9" spans="2:20" s="718" customFormat="1" x14ac:dyDescent="0.2">
      <c r="B9" s="718" t="s">
        <v>72</v>
      </c>
      <c r="C9" s="718">
        <v>23</v>
      </c>
      <c r="D9" s="720">
        <v>13443846.632999999</v>
      </c>
      <c r="E9" s="720">
        <v>12736009.979</v>
      </c>
      <c r="F9" s="720">
        <v>19953051.936999999</v>
      </c>
      <c r="G9" s="720">
        <v>46428765.25</v>
      </c>
      <c r="H9" s="720">
        <v>70958837.160999998</v>
      </c>
      <c r="I9" s="720">
        <v>92223262.627000004</v>
      </c>
      <c r="J9" s="720">
        <v>85100009.343999997</v>
      </c>
      <c r="K9" s="720">
        <v>80982698.152999997</v>
      </c>
      <c r="L9" s="720">
        <v>75370532.385000005</v>
      </c>
      <c r="M9" s="720">
        <v>47861731.055</v>
      </c>
      <c r="N9" s="720">
        <v>24077760.546</v>
      </c>
      <c r="O9" s="720">
        <v>17715113.866999999</v>
      </c>
      <c r="P9" s="721">
        <f t="shared" ref="P9:P30" si="0">SUM(D9:O9)</f>
        <v>586851618.93699992</v>
      </c>
      <c r="Q9" s="721"/>
      <c r="R9" s="722"/>
    </row>
    <row r="10" spans="2:20" s="718" customFormat="1" x14ac:dyDescent="0.2">
      <c r="B10" s="718" t="s">
        <v>75</v>
      </c>
      <c r="C10" s="718">
        <v>53</v>
      </c>
      <c r="D10" s="720">
        <v>9.0079999999999991</v>
      </c>
      <c r="E10" s="720">
        <v>9.2899999999999991</v>
      </c>
      <c r="F10" s="720">
        <v>23.614000000000001</v>
      </c>
      <c r="G10" s="720">
        <v>52.81</v>
      </c>
      <c r="H10" s="720">
        <v>67.945999999999998</v>
      </c>
      <c r="I10" s="720">
        <v>68.12700000000001</v>
      </c>
      <c r="J10" s="720">
        <v>56.914999999999999</v>
      </c>
      <c r="K10" s="720">
        <v>7.5629999999999997</v>
      </c>
      <c r="L10" s="720">
        <v>0</v>
      </c>
      <c r="M10" s="720">
        <v>0</v>
      </c>
      <c r="N10" s="720">
        <v>0</v>
      </c>
      <c r="O10" s="720">
        <v>0</v>
      </c>
      <c r="P10" s="721">
        <f t="shared" si="0"/>
        <v>295.27300000000002</v>
      </c>
      <c r="Q10" s="721"/>
      <c r="R10" s="722"/>
    </row>
    <row r="11" spans="2:20" s="718" customFormat="1" x14ac:dyDescent="0.2">
      <c r="B11" s="718" t="s">
        <v>101</v>
      </c>
      <c r="C11" s="718">
        <v>31</v>
      </c>
      <c r="D11" s="720">
        <v>7628079.7920000004</v>
      </c>
      <c r="E11" s="720">
        <v>7453085.6330000004</v>
      </c>
      <c r="F11" s="720">
        <v>9048012.2430000007</v>
      </c>
      <c r="G11" s="720">
        <v>15986076.433</v>
      </c>
      <c r="H11" s="720">
        <v>23305718.149999999</v>
      </c>
      <c r="I11" s="720">
        <v>30383409.791000001</v>
      </c>
      <c r="J11" s="720">
        <v>28408420.164999999</v>
      </c>
      <c r="K11" s="720">
        <v>26930271.664999999</v>
      </c>
      <c r="L11" s="720">
        <v>25549762.872000001</v>
      </c>
      <c r="M11" s="720">
        <v>17553561.793000001</v>
      </c>
      <c r="N11" s="720">
        <v>10844495.560000001</v>
      </c>
      <c r="O11" s="720">
        <v>8894243.5490000006</v>
      </c>
      <c r="P11" s="721">
        <f t="shared" si="0"/>
        <v>211985137.646</v>
      </c>
      <c r="Q11" s="721"/>
    </row>
    <row r="12" spans="2:20" s="718" customFormat="1" x14ac:dyDescent="0.2">
      <c r="B12" s="718" t="s">
        <v>102</v>
      </c>
      <c r="C12" s="718">
        <v>41</v>
      </c>
      <c r="D12" s="720">
        <v>2436691.1039999998</v>
      </c>
      <c r="E12" s="720">
        <v>2305053.4160000002</v>
      </c>
      <c r="F12" s="720">
        <v>2781084.9019999998</v>
      </c>
      <c r="G12" s="720">
        <v>4458896.4029999999</v>
      </c>
      <c r="H12" s="720">
        <v>5661872.9620000003</v>
      </c>
      <c r="I12" s="720">
        <v>6994015.2349999994</v>
      </c>
      <c r="J12" s="720">
        <v>6582985.9359999998</v>
      </c>
      <c r="K12" s="720">
        <v>6376722.0830000006</v>
      </c>
      <c r="L12" s="720">
        <v>6234660.6830000002</v>
      </c>
      <c r="M12" s="720">
        <v>4788918.1710000001</v>
      </c>
      <c r="N12" s="720">
        <v>3300949.523</v>
      </c>
      <c r="O12" s="720">
        <v>1563898.8959999999</v>
      </c>
      <c r="P12" s="721">
        <f t="shared" si="0"/>
        <v>53485749.313999996</v>
      </c>
      <c r="Q12" s="721"/>
      <c r="R12" s="723"/>
    </row>
    <row r="13" spans="2:20" s="718" customFormat="1" x14ac:dyDescent="0.2">
      <c r="B13" s="709" t="s">
        <v>535</v>
      </c>
      <c r="C13" s="719" t="s">
        <v>387</v>
      </c>
      <c r="D13" s="720">
        <v>76.98</v>
      </c>
      <c r="E13" s="720">
        <v>27.25</v>
      </c>
      <c r="F13" s="720">
        <v>218.87</v>
      </c>
      <c r="G13" s="720">
        <v>1982.63</v>
      </c>
      <c r="H13" s="720">
        <v>3323.76</v>
      </c>
      <c r="I13" s="720">
        <v>4410.21</v>
      </c>
      <c r="J13" s="720">
        <v>2530.87</v>
      </c>
      <c r="K13" s="720">
        <v>3905.98</v>
      </c>
      <c r="L13" s="720">
        <v>2821.34</v>
      </c>
      <c r="M13" s="720">
        <v>1980.65</v>
      </c>
      <c r="N13" s="720">
        <v>595.91</v>
      </c>
      <c r="O13" s="720">
        <v>27.44</v>
      </c>
      <c r="P13" s="721">
        <f t="shared" si="0"/>
        <v>21901.89</v>
      </c>
      <c r="Q13" s="721"/>
    </row>
    <row r="14" spans="2:20" s="718" customFormat="1" x14ac:dyDescent="0.2">
      <c r="B14" s="718" t="s">
        <v>103</v>
      </c>
      <c r="C14" s="718">
        <v>85</v>
      </c>
      <c r="D14" s="720">
        <v>718072.78200000001</v>
      </c>
      <c r="E14" s="720">
        <v>664389.50499999989</v>
      </c>
      <c r="F14" s="720">
        <v>792053.55200000003</v>
      </c>
      <c r="G14" s="720">
        <v>1250756.3330000001</v>
      </c>
      <c r="H14" s="720">
        <v>1551311.9750000001</v>
      </c>
      <c r="I14" s="720">
        <v>1866442.2080000001</v>
      </c>
      <c r="J14" s="720">
        <v>1710515.939</v>
      </c>
      <c r="K14" s="720">
        <v>1579736.5380000002</v>
      </c>
      <c r="L14" s="720">
        <v>1642259.1359999999</v>
      </c>
      <c r="M14" s="720">
        <v>1243655.1359999999</v>
      </c>
      <c r="N14" s="720">
        <v>920234.88600000006</v>
      </c>
      <c r="O14" s="720">
        <v>709740.74400000006</v>
      </c>
      <c r="P14" s="721">
        <f t="shared" si="0"/>
        <v>14649168.734000001</v>
      </c>
      <c r="Q14" s="721"/>
      <c r="R14" s="720"/>
      <c r="T14" s="721"/>
    </row>
    <row r="15" spans="2:20" s="718" customFormat="1" x14ac:dyDescent="0.2">
      <c r="B15" s="718" t="s">
        <v>108</v>
      </c>
      <c r="C15" s="718">
        <v>86</v>
      </c>
      <c r="D15" s="720">
        <v>208746.55599999998</v>
      </c>
      <c r="E15" s="720">
        <v>193052.79699999999</v>
      </c>
      <c r="F15" s="720">
        <v>320287.72700000001</v>
      </c>
      <c r="G15" s="720">
        <v>752339.98400000005</v>
      </c>
      <c r="H15" s="720">
        <v>1027027.388</v>
      </c>
      <c r="I15" s="720">
        <v>1282526.0389999999</v>
      </c>
      <c r="J15" s="720">
        <v>1186743.409</v>
      </c>
      <c r="K15" s="720">
        <v>1096745.9580000001</v>
      </c>
      <c r="L15" s="720">
        <v>1108771.162</v>
      </c>
      <c r="M15" s="720">
        <v>838893.72800000012</v>
      </c>
      <c r="N15" s="720">
        <v>477239.02300000004</v>
      </c>
      <c r="O15" s="720">
        <v>307851.304</v>
      </c>
      <c r="P15" s="721">
        <f t="shared" si="0"/>
        <v>8800225.0750000011</v>
      </c>
      <c r="Q15" s="721"/>
      <c r="R15" s="720"/>
      <c r="T15" s="721"/>
    </row>
    <row r="16" spans="2:20" s="718" customFormat="1" x14ac:dyDescent="0.2">
      <c r="B16" s="718" t="s">
        <v>110</v>
      </c>
      <c r="C16" s="718">
        <v>87</v>
      </c>
      <c r="D16" s="720">
        <v>1205163.1340000001</v>
      </c>
      <c r="E16" s="720">
        <v>1191232.98</v>
      </c>
      <c r="F16" s="720">
        <v>1297454.0249999999</v>
      </c>
      <c r="G16" s="720">
        <v>1958326.8969999999</v>
      </c>
      <c r="H16" s="720">
        <v>2341872.3509999998</v>
      </c>
      <c r="I16" s="720">
        <v>2817477.4819999998</v>
      </c>
      <c r="J16" s="720">
        <v>2488073.4070000001</v>
      </c>
      <c r="K16" s="720">
        <v>2506045.7620000001</v>
      </c>
      <c r="L16" s="720">
        <v>2429944.3769999999</v>
      </c>
      <c r="M16" s="720">
        <v>2066250.916</v>
      </c>
      <c r="N16" s="720">
        <v>1485710.202</v>
      </c>
      <c r="O16" s="720">
        <v>1430551.095</v>
      </c>
      <c r="P16" s="721">
        <f t="shared" si="0"/>
        <v>23218102.627999999</v>
      </c>
      <c r="Q16" s="721"/>
      <c r="R16" s="720"/>
      <c r="T16" s="721"/>
    </row>
    <row r="17" spans="2:20" s="718" customFormat="1" x14ac:dyDescent="0.2">
      <c r="B17" s="718" t="s">
        <v>104</v>
      </c>
      <c r="C17" s="718">
        <v>31</v>
      </c>
      <c r="D17" s="720">
        <v>395133.00599999999</v>
      </c>
      <c r="E17" s="720">
        <v>415618.07</v>
      </c>
      <c r="F17" s="720">
        <v>500846.97600000002</v>
      </c>
      <c r="G17" s="720">
        <v>1006993.794</v>
      </c>
      <c r="H17" s="720">
        <v>1528407.077</v>
      </c>
      <c r="I17" s="720">
        <v>2041098.7910000002</v>
      </c>
      <c r="J17" s="720">
        <v>1964791.37</v>
      </c>
      <c r="K17" s="720">
        <v>1882934.0430000001</v>
      </c>
      <c r="L17" s="720">
        <v>1682660.3740000001</v>
      </c>
      <c r="M17" s="720">
        <v>1063918.2120000001</v>
      </c>
      <c r="N17" s="720">
        <v>559791.22699999996</v>
      </c>
      <c r="O17" s="720">
        <v>429753.88400000002</v>
      </c>
      <c r="P17" s="721">
        <f t="shared" si="0"/>
        <v>13471946.823999999</v>
      </c>
      <c r="Q17" s="721"/>
    </row>
    <row r="18" spans="2:20" s="718" customFormat="1" x14ac:dyDescent="0.2">
      <c r="B18" s="718" t="s">
        <v>105</v>
      </c>
      <c r="C18" s="718">
        <v>41</v>
      </c>
      <c r="D18" s="720">
        <v>715686.64599999995</v>
      </c>
      <c r="E18" s="720">
        <v>723322.54399999999</v>
      </c>
      <c r="F18" s="720">
        <v>721587.85899999994</v>
      </c>
      <c r="G18" s="720">
        <v>895018.30300000007</v>
      </c>
      <c r="H18" s="720">
        <v>893863.43400000012</v>
      </c>
      <c r="I18" s="720">
        <v>978320.95299999998</v>
      </c>
      <c r="J18" s="720">
        <v>946435.92099999997</v>
      </c>
      <c r="K18" s="720">
        <v>901078.02300000004</v>
      </c>
      <c r="L18" s="720">
        <v>919254.62699999998</v>
      </c>
      <c r="M18" s="720">
        <v>811446.06</v>
      </c>
      <c r="N18" s="720">
        <v>700117.15899999999</v>
      </c>
      <c r="O18" s="720">
        <v>208689.174</v>
      </c>
      <c r="P18" s="721">
        <f t="shared" si="0"/>
        <v>9414820.7030000016</v>
      </c>
      <c r="Q18" s="721"/>
    </row>
    <row r="19" spans="2:20" s="718" customFormat="1" x14ac:dyDescent="0.2">
      <c r="B19" s="718" t="s">
        <v>106</v>
      </c>
      <c r="C19" s="718">
        <v>85</v>
      </c>
      <c r="D19" s="720">
        <v>118216.663</v>
      </c>
      <c r="E19" s="720">
        <v>108078.61899999999</v>
      </c>
      <c r="F19" s="720">
        <v>117621.26699999999</v>
      </c>
      <c r="G19" s="720">
        <v>132658.54500000001</v>
      </c>
      <c r="H19" s="720">
        <v>150576.024</v>
      </c>
      <c r="I19" s="720">
        <v>162942.16400000002</v>
      </c>
      <c r="J19" s="720">
        <v>152783.32999999999</v>
      </c>
      <c r="K19" s="720">
        <v>144144.49599999998</v>
      </c>
      <c r="L19" s="720">
        <v>145396.611</v>
      </c>
      <c r="M19" s="720">
        <v>149688.77699999997</v>
      </c>
      <c r="N19" s="720">
        <v>126713.5</v>
      </c>
      <c r="O19" s="720">
        <v>112017.696</v>
      </c>
      <c r="P19" s="721">
        <f t="shared" si="0"/>
        <v>1620837.692</v>
      </c>
      <c r="Q19" s="721"/>
      <c r="T19" s="721"/>
    </row>
    <row r="20" spans="2:20" s="718" customFormat="1" x14ac:dyDescent="0.2">
      <c r="B20" s="718" t="s">
        <v>107</v>
      </c>
      <c r="C20" s="718">
        <v>86</v>
      </c>
      <c r="D20" s="720">
        <v>7050.719000000001</v>
      </c>
      <c r="E20" s="720">
        <v>6990.4639999999999</v>
      </c>
      <c r="F20" s="720">
        <v>59473.29</v>
      </c>
      <c r="G20" s="720">
        <v>65278.603999999999</v>
      </c>
      <c r="H20" s="720">
        <v>18252.848999999998</v>
      </c>
      <c r="I20" s="720">
        <v>18496.313999999998</v>
      </c>
      <c r="J20" s="720">
        <v>17702.267</v>
      </c>
      <c r="K20" s="720">
        <v>18723.310999999998</v>
      </c>
      <c r="L20" s="720">
        <v>17030.457000000002</v>
      </c>
      <c r="M20" s="720">
        <v>21970.927</v>
      </c>
      <c r="N20" s="720">
        <v>11131.916000000001</v>
      </c>
      <c r="O20" s="720">
        <v>8571.3490000000002</v>
      </c>
      <c r="P20" s="721">
        <f t="shared" si="0"/>
        <v>270672.46699999995</v>
      </c>
      <c r="Q20" s="721"/>
      <c r="T20" s="721"/>
    </row>
    <row r="21" spans="2:20" s="718" customFormat="1" x14ac:dyDescent="0.2">
      <c r="B21" s="718" t="s">
        <v>264</v>
      </c>
      <c r="C21" s="718">
        <v>87</v>
      </c>
      <c r="D21" s="720">
        <v>0</v>
      </c>
      <c r="E21" s="720">
        <v>0</v>
      </c>
      <c r="F21" s="720">
        <v>0</v>
      </c>
      <c r="G21" s="720">
        <v>0</v>
      </c>
      <c r="H21" s="720">
        <v>0</v>
      </c>
      <c r="I21" s="720">
        <v>0</v>
      </c>
      <c r="J21" s="720">
        <v>0</v>
      </c>
      <c r="K21" s="720">
        <v>0</v>
      </c>
      <c r="L21" s="720">
        <v>0</v>
      </c>
      <c r="M21" s="720">
        <v>0</v>
      </c>
      <c r="N21" s="720">
        <v>0</v>
      </c>
      <c r="O21" s="720">
        <v>0</v>
      </c>
      <c r="P21" s="721">
        <f t="shared" si="0"/>
        <v>0</v>
      </c>
      <c r="Q21" s="721"/>
      <c r="T21" s="721"/>
    </row>
    <row r="22" spans="2:20" s="718" customFormat="1" x14ac:dyDescent="0.2">
      <c r="B22" s="709" t="s">
        <v>402</v>
      </c>
      <c r="C22" s="719" t="s">
        <v>387</v>
      </c>
      <c r="D22" s="720">
        <v>833.33</v>
      </c>
      <c r="E22" s="720">
        <v>852.46</v>
      </c>
      <c r="F22" s="720">
        <v>1004.34</v>
      </c>
      <c r="G22" s="720">
        <v>1858.11</v>
      </c>
      <c r="H22" s="720">
        <v>2420.34</v>
      </c>
      <c r="I22" s="720">
        <v>3639.8599999999997</v>
      </c>
      <c r="J22" s="720">
        <v>2356.8000000000002</v>
      </c>
      <c r="K22" s="720">
        <v>2713.47</v>
      </c>
      <c r="L22" s="720">
        <v>2240.84</v>
      </c>
      <c r="M22" s="720">
        <v>1514.91</v>
      </c>
      <c r="N22" s="720">
        <v>975.42</v>
      </c>
      <c r="O22" s="720">
        <v>955</v>
      </c>
      <c r="P22" s="721">
        <f t="shared" si="0"/>
        <v>21364.879999999994</v>
      </c>
      <c r="Q22" s="721"/>
    </row>
    <row r="23" spans="2:20" s="718" customFormat="1" x14ac:dyDescent="0.2">
      <c r="B23" s="709" t="s">
        <v>259</v>
      </c>
      <c r="C23" s="724" t="s">
        <v>236</v>
      </c>
      <c r="D23" s="720">
        <v>842278.49</v>
      </c>
      <c r="E23" s="720">
        <v>919204.60000000009</v>
      </c>
      <c r="F23" s="720">
        <v>874618.36</v>
      </c>
      <c r="G23" s="720">
        <v>1039536.68</v>
      </c>
      <c r="H23" s="720">
        <v>1141129.2390000001</v>
      </c>
      <c r="I23" s="720">
        <v>1249368.6400000001</v>
      </c>
      <c r="J23" s="720">
        <v>1255972.3900000001</v>
      </c>
      <c r="K23" s="720">
        <v>1219491.01</v>
      </c>
      <c r="L23" s="720">
        <v>1249375.8599999999</v>
      </c>
      <c r="M23" s="720">
        <v>1121319.93</v>
      </c>
      <c r="N23" s="720">
        <v>997442.22</v>
      </c>
      <c r="O23" s="720">
        <v>813156.53</v>
      </c>
      <c r="P23" s="721">
        <f t="shared" si="0"/>
        <v>12722893.949000001</v>
      </c>
      <c r="Q23" s="721"/>
    </row>
    <row r="24" spans="2:20" s="718" customFormat="1" x14ac:dyDescent="0.2">
      <c r="B24" s="709" t="s">
        <v>260</v>
      </c>
      <c r="C24" s="724" t="s">
        <v>231</v>
      </c>
      <c r="D24" s="720">
        <v>1570935.13</v>
      </c>
      <c r="E24" s="720">
        <v>1652500.78</v>
      </c>
      <c r="F24" s="720">
        <v>1563451.74</v>
      </c>
      <c r="G24" s="720">
        <v>1823153.78</v>
      </c>
      <c r="H24" s="720">
        <v>1960693.12</v>
      </c>
      <c r="I24" s="720">
        <v>2174610.2800000003</v>
      </c>
      <c r="J24" s="720">
        <v>2118211.92</v>
      </c>
      <c r="K24" s="720">
        <v>2005289.4500000002</v>
      </c>
      <c r="L24" s="720">
        <v>2104200.58</v>
      </c>
      <c r="M24" s="720">
        <v>1832042.1</v>
      </c>
      <c r="N24" s="720">
        <v>1801033.12</v>
      </c>
      <c r="O24" s="720">
        <v>1732174.3499999999</v>
      </c>
      <c r="P24" s="721">
        <f t="shared" si="0"/>
        <v>22338296.350000005</v>
      </c>
      <c r="Q24" s="721"/>
      <c r="T24" s="721"/>
    </row>
    <row r="25" spans="2:20" s="718" customFormat="1" x14ac:dyDescent="0.2">
      <c r="B25" s="709" t="s">
        <v>263</v>
      </c>
      <c r="C25" s="724" t="s">
        <v>232</v>
      </c>
      <c r="D25" s="720">
        <v>1084131.21</v>
      </c>
      <c r="E25" s="720">
        <v>1076261.75</v>
      </c>
      <c r="F25" s="720">
        <v>1104327.17</v>
      </c>
      <c r="G25" s="720">
        <v>1494217.02</v>
      </c>
      <c r="H25" s="720">
        <v>1811392.06</v>
      </c>
      <c r="I25" s="720">
        <v>2114674.64</v>
      </c>
      <c r="J25" s="720">
        <v>1951459.87</v>
      </c>
      <c r="K25" s="720">
        <v>1961093.9500000002</v>
      </c>
      <c r="L25" s="720">
        <v>1857442.65</v>
      </c>
      <c r="M25" s="720">
        <v>1599860.8800000001</v>
      </c>
      <c r="N25" s="720">
        <v>1278689.8499999999</v>
      </c>
      <c r="O25" s="720">
        <v>1168040.95</v>
      </c>
      <c r="P25" s="721">
        <f t="shared" si="0"/>
        <v>18501592.000000004</v>
      </c>
      <c r="Q25" s="721"/>
      <c r="T25" s="721"/>
    </row>
    <row r="26" spans="2:20" s="718" customFormat="1" x14ac:dyDescent="0.2">
      <c r="B26" s="709" t="s">
        <v>261</v>
      </c>
      <c r="C26" s="724" t="s">
        <v>236</v>
      </c>
      <c r="D26" s="720">
        <v>566917.64</v>
      </c>
      <c r="E26" s="720">
        <v>536778.17999999993</v>
      </c>
      <c r="F26" s="720">
        <v>501521.2</v>
      </c>
      <c r="G26" s="720">
        <v>548774.43999999994</v>
      </c>
      <c r="H26" s="720">
        <v>530865.47</v>
      </c>
      <c r="I26" s="720">
        <v>502356.32999999996</v>
      </c>
      <c r="J26" s="720">
        <v>587041.71</v>
      </c>
      <c r="K26" s="720">
        <v>560063.15999999992</v>
      </c>
      <c r="L26" s="720">
        <v>653291.67999999993</v>
      </c>
      <c r="M26" s="720">
        <v>562059.31000000006</v>
      </c>
      <c r="N26" s="720">
        <v>465111.51</v>
      </c>
      <c r="O26" s="720">
        <v>456972.94</v>
      </c>
      <c r="P26" s="721">
        <f t="shared" si="0"/>
        <v>6471753.5699999994</v>
      </c>
      <c r="Q26" s="721"/>
    </row>
    <row r="27" spans="2:20" s="718" customFormat="1" x14ac:dyDescent="0.2">
      <c r="B27" s="709" t="s">
        <v>257</v>
      </c>
      <c r="C27" s="724" t="s">
        <v>231</v>
      </c>
      <c r="D27" s="720">
        <v>4280828.5600000005</v>
      </c>
      <c r="E27" s="720">
        <v>4715349.79</v>
      </c>
      <c r="F27" s="720">
        <v>4631320.07</v>
      </c>
      <c r="G27" s="720">
        <v>5126915.4399999995</v>
      </c>
      <c r="H27" s="720">
        <v>4478198.82</v>
      </c>
      <c r="I27" s="720">
        <v>4595260.34</v>
      </c>
      <c r="J27" s="720">
        <v>4463633.12</v>
      </c>
      <c r="K27" s="720">
        <v>4116771.16</v>
      </c>
      <c r="L27" s="720">
        <v>4871480.7699999996</v>
      </c>
      <c r="M27" s="720">
        <v>4319936.82</v>
      </c>
      <c r="N27" s="720">
        <v>4256767.37</v>
      </c>
      <c r="O27" s="720">
        <v>4233782.51</v>
      </c>
      <c r="P27" s="721">
        <f t="shared" si="0"/>
        <v>54090244.769999988</v>
      </c>
      <c r="Q27" s="721"/>
      <c r="T27" s="721"/>
    </row>
    <row r="28" spans="2:20" s="718" customFormat="1" x14ac:dyDescent="0.2">
      <c r="B28" s="718" t="s">
        <v>321</v>
      </c>
      <c r="C28" s="724" t="s">
        <v>298</v>
      </c>
      <c r="D28" s="720">
        <v>24835.61</v>
      </c>
      <c r="E28" s="720">
        <v>18950.099999999999</v>
      </c>
      <c r="F28" s="720">
        <v>14249</v>
      </c>
      <c r="G28" s="720">
        <v>31358.14</v>
      </c>
      <c r="H28" s="720">
        <v>28587.62</v>
      </c>
      <c r="I28" s="720">
        <v>29791.48</v>
      </c>
      <c r="J28" s="720">
        <v>49343.94</v>
      </c>
      <c r="K28" s="720">
        <v>52603.87</v>
      </c>
      <c r="L28" s="720">
        <v>40825.67</v>
      </c>
      <c r="M28" s="720">
        <v>24785.5</v>
      </c>
      <c r="N28" s="720">
        <v>18363.18</v>
      </c>
      <c r="O28" s="720">
        <v>20942.59</v>
      </c>
      <c r="P28" s="721">
        <f t="shared" si="0"/>
        <v>354636.7</v>
      </c>
      <c r="Q28" s="721"/>
      <c r="T28" s="721"/>
    </row>
    <row r="29" spans="2:20" s="718" customFormat="1" x14ac:dyDescent="0.2">
      <c r="B29" s="709" t="s">
        <v>262</v>
      </c>
      <c r="C29" s="724" t="s">
        <v>232</v>
      </c>
      <c r="D29" s="720">
        <v>7598296.1299999999</v>
      </c>
      <c r="E29" s="720">
        <v>7734935.3200000003</v>
      </c>
      <c r="F29" s="720">
        <v>7364818.1600000001</v>
      </c>
      <c r="G29" s="720">
        <v>7444983.4000000004</v>
      </c>
      <c r="H29" s="720">
        <v>6267312.4800000004</v>
      </c>
      <c r="I29" s="720">
        <v>7766997.3499999996</v>
      </c>
      <c r="J29" s="720">
        <v>6317281.6500000004</v>
      </c>
      <c r="K29" s="720">
        <v>6906246.4400000004</v>
      </c>
      <c r="L29" s="720">
        <v>7685171.5099999998</v>
      </c>
      <c r="M29" s="720">
        <v>6615627.5999999996</v>
      </c>
      <c r="N29" s="720">
        <v>6953514.0099999998</v>
      </c>
      <c r="O29" s="720">
        <v>6482373.2000000002</v>
      </c>
      <c r="P29" s="721">
        <f t="shared" si="0"/>
        <v>85137557.25</v>
      </c>
      <c r="Q29" s="721"/>
      <c r="T29" s="721"/>
    </row>
    <row r="30" spans="2:20" s="725" customFormat="1" ht="15" x14ac:dyDescent="0.25">
      <c r="B30" s="725" t="s">
        <v>270</v>
      </c>
      <c r="C30" s="726" t="s">
        <v>346</v>
      </c>
      <c r="D30" s="720">
        <v>1921334.9100000001</v>
      </c>
      <c r="E30" s="727">
        <v>1869187.75</v>
      </c>
      <c r="F30" s="727">
        <v>1943193.99</v>
      </c>
      <c r="G30" s="727">
        <v>3014511.56</v>
      </c>
      <c r="H30" s="727">
        <v>3745262.62</v>
      </c>
      <c r="I30" s="727">
        <v>4436578.41</v>
      </c>
      <c r="J30" s="727">
        <v>4032427.7399999998</v>
      </c>
      <c r="K30" s="727">
        <v>4114898.2699999996</v>
      </c>
      <c r="L30" s="727">
        <v>3806410.93</v>
      </c>
      <c r="M30" s="727">
        <v>3156368.4099999997</v>
      </c>
      <c r="N30" s="727">
        <v>2317402.04</v>
      </c>
      <c r="O30" s="727">
        <v>2136885.0499999998</v>
      </c>
      <c r="P30" s="728">
        <f t="shared" si="0"/>
        <v>36494461.68</v>
      </c>
      <c r="Q30" s="729"/>
    </row>
    <row r="31" spans="2:20" s="718" customFormat="1" x14ac:dyDescent="0.2">
      <c r="B31" s="718" t="s">
        <v>119</v>
      </c>
      <c r="D31" s="730">
        <f t="shared" ref="D31:O31" si="1">SUM(D8:D30)</f>
        <v>44767990.108999997</v>
      </c>
      <c r="E31" s="730">
        <f t="shared" si="1"/>
        <v>44321712.204000004</v>
      </c>
      <c r="F31" s="730">
        <f t="shared" si="1"/>
        <v>53590994.81000001</v>
      </c>
      <c r="G31" s="730">
        <f t="shared" si="1"/>
        <v>93463278.638000011</v>
      </c>
      <c r="H31" s="730">
        <f t="shared" si="1"/>
        <v>127407776.39500003</v>
      </c>
      <c r="I31" s="730">
        <f t="shared" si="1"/>
        <v>161646547.37800002</v>
      </c>
      <c r="J31" s="730">
        <f t="shared" si="1"/>
        <v>149339575.64200005</v>
      </c>
      <c r="K31" s="730">
        <f t="shared" si="1"/>
        <v>143362907.97800002</v>
      </c>
      <c r="L31" s="730">
        <f t="shared" si="1"/>
        <v>137374370.37000003</v>
      </c>
      <c r="M31" s="730">
        <f t="shared" si="1"/>
        <v>95636352.535999984</v>
      </c>
      <c r="N31" s="730">
        <f t="shared" si="1"/>
        <v>60594856.846999995</v>
      </c>
      <c r="O31" s="730">
        <f t="shared" si="1"/>
        <v>48426507.469999999</v>
      </c>
      <c r="P31" s="721">
        <f>SUM(D31:O31)</f>
        <v>1159932870.3770001</v>
      </c>
      <c r="Q31" s="729"/>
      <c r="R31" s="721"/>
    </row>
    <row r="32" spans="2:20" s="718" customFormat="1" x14ac:dyDescent="0.2">
      <c r="B32" s="718" t="s">
        <v>276</v>
      </c>
      <c r="D32" s="729">
        <f t="shared" ref="D32:O32" si="2">SUM(D13,D22:D30)</f>
        <v>17890467.990000002</v>
      </c>
      <c r="E32" s="729">
        <f t="shared" si="2"/>
        <v>18524047.979999997</v>
      </c>
      <c r="F32" s="729">
        <f t="shared" si="2"/>
        <v>17998722.899999999</v>
      </c>
      <c r="G32" s="729">
        <f t="shared" si="2"/>
        <v>20527291.199999999</v>
      </c>
      <c r="H32" s="729">
        <f t="shared" si="2"/>
        <v>19969185.528999999</v>
      </c>
      <c r="I32" s="729">
        <f t="shared" si="2"/>
        <v>22877687.540000003</v>
      </c>
      <c r="J32" s="729">
        <f t="shared" si="2"/>
        <v>20780260.009999998</v>
      </c>
      <c r="K32" s="729">
        <f t="shared" si="2"/>
        <v>20943076.759999998</v>
      </c>
      <c r="L32" s="729">
        <f t="shared" si="2"/>
        <v>22273261.829999998</v>
      </c>
      <c r="M32" s="729">
        <f t="shared" si="2"/>
        <v>19235496.109999999</v>
      </c>
      <c r="N32" s="729">
        <f t="shared" si="2"/>
        <v>18089894.629999999</v>
      </c>
      <c r="O32" s="729">
        <f t="shared" si="2"/>
        <v>17045310.559999999</v>
      </c>
      <c r="P32" s="721">
        <f>SUM(D32:O32)</f>
        <v>236154703.03899997</v>
      </c>
      <c r="Q32" s="721"/>
    </row>
    <row r="33" spans="2:40" s="718" customFormat="1" x14ac:dyDescent="0.2">
      <c r="B33" s="731" t="s">
        <v>403</v>
      </c>
      <c r="D33" s="729">
        <f t="shared" ref="D33:O33" si="3">D14+D16+D19+D21+D24+D25+D27+D29+D30</f>
        <v>18496978.519000001</v>
      </c>
      <c r="E33" s="729">
        <f t="shared" si="3"/>
        <v>19011936.493999999</v>
      </c>
      <c r="F33" s="729">
        <f t="shared" si="3"/>
        <v>18814239.973999999</v>
      </c>
      <c r="G33" s="729">
        <f t="shared" si="3"/>
        <v>22245522.974999998</v>
      </c>
      <c r="H33" s="729">
        <f t="shared" si="3"/>
        <v>22306619.450000003</v>
      </c>
      <c r="I33" s="729">
        <f t="shared" si="3"/>
        <v>25934982.874000002</v>
      </c>
      <c r="J33" s="729">
        <f t="shared" si="3"/>
        <v>23234386.976</v>
      </c>
      <c r="K33" s="729">
        <f t="shared" si="3"/>
        <v>23334226.066</v>
      </c>
      <c r="L33" s="729">
        <f t="shared" si="3"/>
        <v>24542306.563999999</v>
      </c>
      <c r="M33" s="729">
        <f t="shared" si="3"/>
        <v>20983430.639000002</v>
      </c>
      <c r="N33" s="729">
        <f t="shared" si="3"/>
        <v>19140064.978</v>
      </c>
      <c r="O33" s="729">
        <f t="shared" si="3"/>
        <v>18005565.594999999</v>
      </c>
      <c r="P33" s="721">
        <f>SUM(D33:O33)</f>
        <v>256050261.104</v>
      </c>
      <c r="Q33" s="721"/>
    </row>
    <row r="34" spans="2:40" x14ac:dyDescent="0.2">
      <c r="C34" s="724"/>
      <c r="D34" s="720"/>
      <c r="E34" s="732"/>
      <c r="F34" s="732"/>
      <c r="G34" s="732"/>
      <c r="H34" s="732"/>
      <c r="I34" s="732"/>
      <c r="J34" s="729"/>
      <c r="K34" s="729"/>
      <c r="L34" s="729"/>
      <c r="M34" s="729"/>
      <c r="N34" s="729"/>
      <c r="O34" s="729"/>
      <c r="P34" s="721"/>
      <c r="Q34" s="732"/>
    </row>
    <row r="35" spans="2:40" x14ac:dyDescent="0.2">
      <c r="B35" s="715" t="s">
        <v>339</v>
      </c>
      <c r="C35" s="716"/>
      <c r="D35" s="732"/>
      <c r="E35" s="732"/>
      <c r="F35" s="732"/>
      <c r="G35" s="732"/>
      <c r="H35" s="732"/>
      <c r="I35" s="732"/>
      <c r="J35" s="732"/>
      <c r="K35" s="732"/>
      <c r="L35" s="732"/>
      <c r="M35" s="732"/>
      <c r="N35" s="732"/>
      <c r="O35" s="732"/>
      <c r="P35" s="721"/>
      <c r="Q35" s="732"/>
    </row>
    <row r="36" spans="2:40" x14ac:dyDescent="0.2">
      <c r="B36" s="718" t="s">
        <v>168</v>
      </c>
      <c r="C36" s="719">
        <v>16</v>
      </c>
      <c r="D36" s="720">
        <v>5</v>
      </c>
      <c r="E36" s="720">
        <v>6</v>
      </c>
      <c r="F36" s="720">
        <v>6</v>
      </c>
      <c r="G36" s="720">
        <v>6</v>
      </c>
      <c r="H36" s="720">
        <v>6</v>
      </c>
      <c r="I36" s="733">
        <v>7</v>
      </c>
      <c r="J36" s="720">
        <v>7</v>
      </c>
      <c r="K36" s="720">
        <v>6</v>
      </c>
      <c r="L36" s="720">
        <v>6</v>
      </c>
      <c r="M36" s="720">
        <v>6</v>
      </c>
      <c r="N36" s="720">
        <v>6</v>
      </c>
      <c r="O36" s="720">
        <v>7</v>
      </c>
      <c r="P36" s="721">
        <f>SUM(D36:O36)</f>
        <v>74</v>
      </c>
      <c r="Q36" s="734"/>
      <c r="R36" s="719"/>
      <c r="S36" s="734"/>
      <c r="T36" s="734"/>
      <c r="U36" s="735"/>
      <c r="V36" s="735"/>
      <c r="W36" s="734"/>
      <c r="X36" s="734"/>
      <c r="Y36" s="734"/>
      <c r="Z36" s="734"/>
      <c r="AA36" s="734"/>
      <c r="AB36" s="735"/>
      <c r="AC36" s="734"/>
      <c r="AD36" s="734"/>
      <c r="AE36" s="736"/>
      <c r="AF36" s="734"/>
      <c r="AG36" s="734"/>
      <c r="AH36" s="734"/>
      <c r="AI36" s="734"/>
      <c r="AJ36" s="734"/>
      <c r="AK36" s="734"/>
      <c r="AL36" s="734"/>
      <c r="AM36" s="734"/>
      <c r="AN36" s="734"/>
    </row>
    <row r="37" spans="2:40" s="718" customFormat="1" x14ac:dyDescent="0.2">
      <c r="B37" s="718" t="s">
        <v>72</v>
      </c>
      <c r="C37" s="718">
        <v>23</v>
      </c>
      <c r="D37" s="720">
        <v>760063</v>
      </c>
      <c r="E37" s="720">
        <v>760649</v>
      </c>
      <c r="F37" s="720">
        <v>761855</v>
      </c>
      <c r="G37" s="720">
        <v>763562</v>
      </c>
      <c r="H37" s="720">
        <v>765581</v>
      </c>
      <c r="I37" s="720">
        <v>767037</v>
      </c>
      <c r="J37" s="720">
        <v>768037</v>
      </c>
      <c r="K37" s="720">
        <v>769182</v>
      </c>
      <c r="L37" s="720">
        <v>769904</v>
      </c>
      <c r="M37" s="720">
        <v>770294</v>
      </c>
      <c r="N37" s="720">
        <v>770940</v>
      </c>
      <c r="O37" s="720">
        <v>771256</v>
      </c>
      <c r="P37" s="721">
        <f t="shared" ref="P37:P61" si="4">SUM(D37:O37)</f>
        <v>9198360</v>
      </c>
      <c r="Q37" s="734"/>
    </row>
    <row r="38" spans="2:40" s="718" customFormat="1" x14ac:dyDescent="0.2">
      <c r="B38" s="718" t="s">
        <v>75</v>
      </c>
      <c r="C38" s="718">
        <v>53</v>
      </c>
      <c r="D38" s="720">
        <v>1</v>
      </c>
      <c r="E38" s="720">
        <v>1</v>
      </c>
      <c r="F38" s="720">
        <v>1</v>
      </c>
      <c r="G38" s="720">
        <v>1</v>
      </c>
      <c r="H38" s="720">
        <v>1</v>
      </c>
      <c r="I38" s="720">
        <v>1</v>
      </c>
      <c r="J38" s="720">
        <v>1</v>
      </c>
      <c r="K38" s="720">
        <v>0</v>
      </c>
      <c r="L38" s="720">
        <v>0</v>
      </c>
      <c r="M38" s="720">
        <v>0</v>
      </c>
      <c r="N38" s="720">
        <v>0</v>
      </c>
      <c r="O38" s="720">
        <v>0</v>
      </c>
      <c r="P38" s="721">
        <f t="shared" si="4"/>
        <v>7</v>
      </c>
      <c r="Q38" s="734"/>
    </row>
    <row r="39" spans="2:40" s="718" customFormat="1" x14ac:dyDescent="0.2">
      <c r="B39" s="718" t="s">
        <v>404</v>
      </c>
      <c r="C39" s="718">
        <v>61</v>
      </c>
      <c r="D39" s="720"/>
      <c r="E39" s="720"/>
      <c r="F39" s="720"/>
      <c r="G39" s="720"/>
      <c r="H39" s="720"/>
      <c r="I39" s="720"/>
      <c r="J39" s="720"/>
      <c r="K39" s="720"/>
      <c r="L39" s="720"/>
      <c r="M39" s="720"/>
      <c r="N39" s="720"/>
      <c r="O39" s="720"/>
      <c r="P39" s="721">
        <f t="shared" si="4"/>
        <v>0</v>
      </c>
      <c r="Q39" s="734"/>
    </row>
    <row r="40" spans="2:40" s="718" customFormat="1" x14ac:dyDescent="0.2">
      <c r="B40" s="718" t="s">
        <v>254</v>
      </c>
      <c r="C40" s="718">
        <v>31</v>
      </c>
      <c r="D40" s="720">
        <v>53987</v>
      </c>
      <c r="E40" s="720">
        <v>53956</v>
      </c>
      <c r="F40" s="720">
        <v>53926</v>
      </c>
      <c r="G40" s="720">
        <v>54008</v>
      </c>
      <c r="H40" s="720">
        <v>54182</v>
      </c>
      <c r="I40" s="720">
        <v>54328</v>
      </c>
      <c r="J40" s="720">
        <v>54410</v>
      </c>
      <c r="K40" s="720">
        <v>54413</v>
      </c>
      <c r="L40" s="720">
        <v>54486</v>
      </c>
      <c r="M40" s="720">
        <v>54455</v>
      </c>
      <c r="N40" s="720">
        <v>54442</v>
      </c>
      <c r="O40" s="720">
        <v>54374</v>
      </c>
      <c r="P40" s="721">
        <f t="shared" si="4"/>
        <v>650967</v>
      </c>
      <c r="Q40" s="734"/>
    </row>
    <row r="41" spans="2:40" s="718" customFormat="1" x14ac:dyDescent="0.2">
      <c r="B41" s="718" t="s">
        <v>255</v>
      </c>
      <c r="C41" s="718">
        <v>41</v>
      </c>
      <c r="D41" s="720">
        <v>1279</v>
      </c>
      <c r="E41" s="720">
        <v>1273</v>
      </c>
      <c r="F41" s="720">
        <v>1280</v>
      </c>
      <c r="G41" s="720">
        <v>1285</v>
      </c>
      <c r="H41" s="720">
        <v>1284</v>
      </c>
      <c r="I41" s="720">
        <v>1282</v>
      </c>
      <c r="J41" s="720">
        <v>1289</v>
      </c>
      <c r="K41" s="720">
        <v>1284</v>
      </c>
      <c r="L41" s="720">
        <v>1287</v>
      </c>
      <c r="M41" s="720">
        <v>1290</v>
      </c>
      <c r="N41" s="720">
        <v>1288</v>
      </c>
      <c r="O41" s="720">
        <v>1280</v>
      </c>
      <c r="P41" s="721">
        <f t="shared" si="4"/>
        <v>15401</v>
      </c>
      <c r="Q41" s="734"/>
    </row>
    <row r="42" spans="2:40" s="718" customFormat="1" x14ac:dyDescent="0.2">
      <c r="B42" s="709" t="s">
        <v>535</v>
      </c>
      <c r="C42" s="719" t="s">
        <v>387</v>
      </c>
      <c r="D42" s="720">
        <v>1</v>
      </c>
      <c r="E42" s="720">
        <v>1</v>
      </c>
      <c r="F42" s="720">
        <v>1</v>
      </c>
      <c r="G42" s="720">
        <v>1</v>
      </c>
      <c r="H42" s="720">
        <v>1</v>
      </c>
      <c r="I42" s="720">
        <v>1</v>
      </c>
      <c r="J42" s="720">
        <v>1</v>
      </c>
      <c r="K42" s="720">
        <v>1</v>
      </c>
      <c r="L42" s="720">
        <v>1</v>
      </c>
      <c r="M42" s="720">
        <v>1</v>
      </c>
      <c r="N42" s="720">
        <v>1</v>
      </c>
      <c r="O42" s="720">
        <v>1</v>
      </c>
      <c r="P42" s="721">
        <f t="shared" si="4"/>
        <v>12</v>
      </c>
      <c r="Q42" s="734"/>
    </row>
    <row r="43" spans="2:40" s="718" customFormat="1" x14ac:dyDescent="0.2">
      <c r="B43" s="718" t="s">
        <v>405</v>
      </c>
      <c r="C43" s="718">
        <v>61</v>
      </c>
      <c r="D43" s="720"/>
      <c r="E43" s="720"/>
      <c r="F43" s="720"/>
      <c r="G43" s="720"/>
      <c r="H43" s="720"/>
      <c r="I43" s="720"/>
      <c r="J43" s="720"/>
      <c r="K43" s="720"/>
      <c r="L43" s="720"/>
      <c r="M43" s="720"/>
      <c r="N43" s="720"/>
      <c r="O43" s="720"/>
      <c r="P43" s="721">
        <f t="shared" si="4"/>
        <v>0</v>
      </c>
      <c r="Q43" s="734"/>
    </row>
    <row r="44" spans="2:40" s="718" customFormat="1" x14ac:dyDescent="0.2">
      <c r="B44" s="718" t="s">
        <v>103</v>
      </c>
      <c r="C44" s="718">
        <v>85</v>
      </c>
      <c r="D44" s="720">
        <v>25</v>
      </c>
      <c r="E44" s="720">
        <v>25</v>
      </c>
      <c r="F44" s="720">
        <v>24</v>
      </c>
      <c r="G44" s="720">
        <v>25</v>
      </c>
      <c r="H44" s="720">
        <v>25</v>
      </c>
      <c r="I44" s="720">
        <v>25</v>
      </c>
      <c r="J44" s="720">
        <v>25</v>
      </c>
      <c r="K44" s="720">
        <v>25</v>
      </c>
      <c r="L44" s="720">
        <v>25</v>
      </c>
      <c r="M44" s="720">
        <v>25</v>
      </c>
      <c r="N44" s="720">
        <v>25</v>
      </c>
      <c r="O44" s="720">
        <v>24</v>
      </c>
      <c r="P44" s="721">
        <f t="shared" si="4"/>
        <v>298</v>
      </c>
      <c r="Q44" s="734"/>
    </row>
    <row r="45" spans="2:40" s="718" customFormat="1" x14ac:dyDescent="0.2">
      <c r="B45" s="718" t="s">
        <v>108</v>
      </c>
      <c r="C45" s="718">
        <v>86</v>
      </c>
      <c r="D45" s="720">
        <v>223</v>
      </c>
      <c r="E45" s="720">
        <v>223</v>
      </c>
      <c r="F45" s="720">
        <v>223</v>
      </c>
      <c r="G45" s="720">
        <v>222</v>
      </c>
      <c r="H45" s="720">
        <v>222</v>
      </c>
      <c r="I45" s="720">
        <v>222</v>
      </c>
      <c r="J45" s="720">
        <v>222</v>
      </c>
      <c r="K45" s="720">
        <v>222</v>
      </c>
      <c r="L45" s="720">
        <v>222</v>
      </c>
      <c r="M45" s="720">
        <v>222</v>
      </c>
      <c r="N45" s="720">
        <v>221</v>
      </c>
      <c r="O45" s="720">
        <v>221</v>
      </c>
      <c r="P45" s="721">
        <f t="shared" si="4"/>
        <v>2665</v>
      </c>
      <c r="Q45" s="734"/>
    </row>
    <row r="46" spans="2:40" s="718" customFormat="1" x14ac:dyDescent="0.2">
      <c r="B46" s="718" t="s">
        <v>265</v>
      </c>
      <c r="C46" s="718">
        <v>87</v>
      </c>
      <c r="D46" s="720">
        <v>5</v>
      </c>
      <c r="E46" s="720">
        <v>5</v>
      </c>
      <c r="F46" s="720">
        <v>5</v>
      </c>
      <c r="G46" s="720">
        <v>5</v>
      </c>
      <c r="H46" s="720">
        <v>5</v>
      </c>
      <c r="I46" s="720">
        <v>5</v>
      </c>
      <c r="J46" s="720">
        <v>5</v>
      </c>
      <c r="K46" s="720">
        <v>5</v>
      </c>
      <c r="L46" s="720">
        <v>5</v>
      </c>
      <c r="M46" s="720">
        <v>5</v>
      </c>
      <c r="N46" s="720">
        <v>5</v>
      </c>
      <c r="O46" s="720">
        <v>5</v>
      </c>
      <c r="P46" s="721">
        <f t="shared" si="4"/>
        <v>60</v>
      </c>
      <c r="Q46" s="734"/>
    </row>
    <row r="47" spans="2:40" s="718" customFormat="1" x14ac:dyDescent="0.2">
      <c r="B47" s="718" t="s">
        <v>104</v>
      </c>
      <c r="C47" s="718">
        <v>31</v>
      </c>
      <c r="D47" s="720">
        <v>2240</v>
      </c>
      <c r="E47" s="720">
        <v>2233</v>
      </c>
      <c r="F47" s="720">
        <v>2227</v>
      </c>
      <c r="G47" s="720">
        <v>2235</v>
      </c>
      <c r="H47" s="720">
        <v>2242</v>
      </c>
      <c r="I47" s="720">
        <v>2246</v>
      </c>
      <c r="J47" s="720">
        <v>2248</v>
      </c>
      <c r="K47" s="720">
        <v>2248</v>
      </c>
      <c r="L47" s="720">
        <v>2252</v>
      </c>
      <c r="M47" s="720">
        <v>2245</v>
      </c>
      <c r="N47" s="720">
        <v>2242</v>
      </c>
      <c r="O47" s="720">
        <v>2235</v>
      </c>
      <c r="P47" s="721">
        <f t="shared" si="4"/>
        <v>26893</v>
      </c>
      <c r="Q47" s="734"/>
    </row>
    <row r="48" spans="2:40" s="718" customFormat="1" ht="15" x14ac:dyDescent="0.25">
      <c r="B48" s="718" t="s">
        <v>105</v>
      </c>
      <c r="C48" s="718">
        <v>41</v>
      </c>
      <c r="D48" s="720">
        <v>79</v>
      </c>
      <c r="E48" s="720">
        <v>78</v>
      </c>
      <c r="F48" s="720">
        <v>79</v>
      </c>
      <c r="G48" s="720">
        <v>78</v>
      </c>
      <c r="H48" s="720">
        <v>76</v>
      </c>
      <c r="I48" s="720">
        <v>76</v>
      </c>
      <c r="J48" s="720">
        <v>73</v>
      </c>
      <c r="K48" s="720">
        <v>73</v>
      </c>
      <c r="L48" s="720">
        <v>73</v>
      </c>
      <c r="M48" s="720">
        <v>73</v>
      </c>
      <c r="N48" s="720">
        <v>73</v>
      </c>
      <c r="O48" s="720">
        <v>72</v>
      </c>
      <c r="P48" s="721">
        <f t="shared" si="4"/>
        <v>903</v>
      </c>
      <c r="Q48" s="734"/>
      <c r="S48" s="721"/>
      <c r="T48" s="737"/>
    </row>
    <row r="49" spans="1:19" s="718" customFormat="1" x14ac:dyDescent="0.2">
      <c r="B49" s="718" t="s">
        <v>406</v>
      </c>
      <c r="C49" s="718">
        <v>61</v>
      </c>
      <c r="D49" s="720"/>
      <c r="E49" s="720"/>
      <c r="F49" s="720"/>
      <c r="G49" s="720"/>
      <c r="H49" s="720"/>
      <c r="I49" s="720"/>
      <c r="J49" s="720"/>
      <c r="K49" s="720"/>
      <c r="L49" s="720"/>
      <c r="M49" s="720"/>
      <c r="N49" s="720"/>
      <c r="O49" s="720"/>
      <c r="P49" s="721">
        <f t="shared" si="4"/>
        <v>0</v>
      </c>
      <c r="Q49" s="734"/>
      <c r="S49" s="721"/>
    </row>
    <row r="50" spans="1:19" s="718" customFormat="1" x14ac:dyDescent="0.2">
      <c r="B50" s="718" t="s">
        <v>106</v>
      </c>
      <c r="C50" s="718">
        <v>85</v>
      </c>
      <c r="D50" s="720">
        <v>4</v>
      </c>
      <c r="E50" s="720">
        <v>4</v>
      </c>
      <c r="F50" s="720">
        <v>4</v>
      </c>
      <c r="G50" s="720">
        <v>4</v>
      </c>
      <c r="H50" s="720">
        <v>4</v>
      </c>
      <c r="I50" s="720">
        <v>4</v>
      </c>
      <c r="J50" s="720">
        <v>4</v>
      </c>
      <c r="K50" s="720">
        <v>4</v>
      </c>
      <c r="L50" s="720">
        <v>4</v>
      </c>
      <c r="M50" s="720">
        <v>4</v>
      </c>
      <c r="N50" s="720">
        <v>4</v>
      </c>
      <c r="O50" s="720">
        <v>4</v>
      </c>
      <c r="P50" s="721">
        <f t="shared" si="4"/>
        <v>48</v>
      </c>
      <c r="Q50" s="734"/>
    </row>
    <row r="51" spans="1:19" s="718" customFormat="1" x14ac:dyDescent="0.2">
      <c r="B51" s="718" t="s">
        <v>107</v>
      </c>
      <c r="C51" s="718">
        <v>86</v>
      </c>
      <c r="D51" s="720">
        <v>6</v>
      </c>
      <c r="E51" s="720">
        <v>6</v>
      </c>
      <c r="F51" s="720">
        <v>6</v>
      </c>
      <c r="G51" s="720">
        <v>6</v>
      </c>
      <c r="H51" s="720">
        <v>6</v>
      </c>
      <c r="I51" s="720">
        <v>6</v>
      </c>
      <c r="J51" s="720">
        <v>6</v>
      </c>
      <c r="K51" s="720">
        <v>6</v>
      </c>
      <c r="L51" s="720">
        <v>6</v>
      </c>
      <c r="M51" s="720">
        <v>6</v>
      </c>
      <c r="N51" s="720">
        <v>6</v>
      </c>
      <c r="O51" s="720">
        <v>6</v>
      </c>
      <c r="P51" s="721">
        <f t="shared" si="4"/>
        <v>72</v>
      </c>
      <c r="Q51" s="734"/>
    </row>
    <row r="52" spans="1:19" s="718" customFormat="1" x14ac:dyDescent="0.2">
      <c r="B52" s="718" t="s">
        <v>264</v>
      </c>
      <c r="C52" s="718">
        <v>87</v>
      </c>
      <c r="D52" s="720"/>
      <c r="E52" s="720"/>
      <c r="F52" s="720"/>
      <c r="G52" s="720"/>
      <c r="H52" s="720"/>
      <c r="I52" s="720"/>
      <c r="J52" s="720"/>
      <c r="K52" s="720"/>
      <c r="L52" s="720"/>
      <c r="M52" s="720"/>
      <c r="N52" s="720"/>
      <c r="O52" s="720"/>
      <c r="P52" s="721">
        <f t="shared" si="4"/>
        <v>0</v>
      </c>
      <c r="Q52" s="734"/>
    </row>
    <row r="53" spans="1:19" s="718" customFormat="1" x14ac:dyDescent="0.2">
      <c r="B53" s="709" t="s">
        <v>402</v>
      </c>
      <c r="C53" s="719" t="s">
        <v>387</v>
      </c>
      <c r="D53" s="720">
        <v>2</v>
      </c>
      <c r="E53" s="720">
        <v>2</v>
      </c>
      <c r="F53" s="720">
        <v>2</v>
      </c>
      <c r="G53" s="720">
        <v>2</v>
      </c>
      <c r="H53" s="720">
        <v>2</v>
      </c>
      <c r="I53" s="720">
        <v>2</v>
      </c>
      <c r="J53" s="720">
        <v>2</v>
      </c>
      <c r="K53" s="720">
        <v>2</v>
      </c>
      <c r="L53" s="720">
        <v>2</v>
      </c>
      <c r="M53" s="720">
        <v>2</v>
      </c>
      <c r="N53" s="720">
        <v>2</v>
      </c>
      <c r="O53" s="720">
        <v>2</v>
      </c>
      <c r="P53" s="721">
        <f t="shared" si="4"/>
        <v>24</v>
      </c>
      <c r="Q53" s="734"/>
      <c r="R53" s="719"/>
    </row>
    <row r="54" spans="1:19" s="718" customFormat="1" x14ac:dyDescent="0.2">
      <c r="B54" s="709" t="s">
        <v>259</v>
      </c>
      <c r="C54" s="724" t="s">
        <v>236</v>
      </c>
      <c r="D54" s="720">
        <v>72</v>
      </c>
      <c r="E54" s="720">
        <v>73</v>
      </c>
      <c r="F54" s="720">
        <v>74</v>
      </c>
      <c r="G54" s="720">
        <v>74</v>
      </c>
      <c r="H54" s="720">
        <v>75</v>
      </c>
      <c r="I54" s="720">
        <v>75</v>
      </c>
      <c r="J54" s="720">
        <v>77</v>
      </c>
      <c r="K54" s="720">
        <v>79</v>
      </c>
      <c r="L54" s="720">
        <v>79</v>
      </c>
      <c r="M54" s="720">
        <v>80</v>
      </c>
      <c r="N54" s="720">
        <v>81</v>
      </c>
      <c r="O54" s="720">
        <v>85</v>
      </c>
      <c r="P54" s="721">
        <f t="shared" si="4"/>
        <v>924</v>
      </c>
      <c r="Q54" s="734"/>
      <c r="R54" s="724"/>
    </row>
    <row r="55" spans="1:19" s="718" customFormat="1" x14ac:dyDescent="0.2">
      <c r="B55" s="709" t="s">
        <v>260</v>
      </c>
      <c r="C55" s="724" t="s">
        <v>231</v>
      </c>
      <c r="D55" s="720">
        <v>33</v>
      </c>
      <c r="E55" s="720">
        <v>33</v>
      </c>
      <c r="F55" s="720">
        <v>33</v>
      </c>
      <c r="G55" s="720">
        <v>33</v>
      </c>
      <c r="H55" s="720">
        <v>33</v>
      </c>
      <c r="I55" s="720">
        <v>33</v>
      </c>
      <c r="J55" s="720">
        <v>33</v>
      </c>
      <c r="K55" s="720">
        <v>33</v>
      </c>
      <c r="L55" s="720">
        <v>33</v>
      </c>
      <c r="M55" s="720">
        <v>33</v>
      </c>
      <c r="N55" s="720">
        <v>33</v>
      </c>
      <c r="O55" s="720">
        <v>33</v>
      </c>
      <c r="P55" s="721">
        <f t="shared" si="4"/>
        <v>396</v>
      </c>
      <c r="Q55" s="734"/>
      <c r="R55" s="724"/>
    </row>
    <row r="56" spans="1:19" s="718" customFormat="1" x14ac:dyDescent="0.2">
      <c r="B56" s="709" t="s">
        <v>263</v>
      </c>
      <c r="C56" s="724" t="s">
        <v>232</v>
      </c>
      <c r="D56" s="720">
        <v>3</v>
      </c>
      <c r="E56" s="720">
        <v>3</v>
      </c>
      <c r="F56" s="720">
        <v>3</v>
      </c>
      <c r="G56" s="720">
        <v>3</v>
      </c>
      <c r="H56" s="720">
        <v>3</v>
      </c>
      <c r="I56" s="720">
        <v>3</v>
      </c>
      <c r="J56" s="720">
        <v>3</v>
      </c>
      <c r="K56" s="720">
        <v>3</v>
      </c>
      <c r="L56" s="720">
        <v>3</v>
      </c>
      <c r="M56" s="720">
        <v>3</v>
      </c>
      <c r="N56" s="720">
        <v>3</v>
      </c>
      <c r="O56" s="720">
        <v>3</v>
      </c>
      <c r="P56" s="721">
        <f t="shared" si="4"/>
        <v>36</v>
      </c>
      <c r="Q56" s="734"/>
      <c r="R56" s="724"/>
    </row>
    <row r="57" spans="1:19" s="718" customFormat="1" x14ac:dyDescent="0.2">
      <c r="B57" s="709" t="s">
        <v>261</v>
      </c>
      <c r="C57" s="724" t="s">
        <v>236</v>
      </c>
      <c r="D57" s="720">
        <v>27</v>
      </c>
      <c r="E57" s="720">
        <v>25</v>
      </c>
      <c r="F57" s="720">
        <v>25</v>
      </c>
      <c r="G57" s="720">
        <v>26</v>
      </c>
      <c r="H57" s="720">
        <v>26</v>
      </c>
      <c r="I57" s="720">
        <v>26</v>
      </c>
      <c r="J57" s="720">
        <v>26</v>
      </c>
      <c r="K57" s="720">
        <v>26</v>
      </c>
      <c r="L57" s="720">
        <v>26</v>
      </c>
      <c r="M57" s="720">
        <v>25</v>
      </c>
      <c r="N57" s="720">
        <v>24</v>
      </c>
      <c r="O57" s="720">
        <v>24</v>
      </c>
      <c r="P57" s="721">
        <f t="shared" si="4"/>
        <v>306</v>
      </c>
      <c r="Q57" s="734"/>
      <c r="R57" s="724"/>
    </row>
    <row r="58" spans="1:19" s="718" customFormat="1" x14ac:dyDescent="0.2">
      <c r="B58" s="709" t="s">
        <v>257</v>
      </c>
      <c r="C58" s="724" t="s">
        <v>231</v>
      </c>
      <c r="D58" s="720">
        <v>66</v>
      </c>
      <c r="E58" s="720">
        <v>67</v>
      </c>
      <c r="F58" s="720">
        <v>67</v>
      </c>
      <c r="G58" s="720">
        <v>67</v>
      </c>
      <c r="H58" s="720">
        <v>68</v>
      </c>
      <c r="I58" s="720">
        <v>67</v>
      </c>
      <c r="J58" s="720">
        <v>68</v>
      </c>
      <c r="K58" s="720">
        <v>68</v>
      </c>
      <c r="L58" s="720">
        <v>68</v>
      </c>
      <c r="M58" s="720">
        <v>68</v>
      </c>
      <c r="N58" s="720">
        <v>69</v>
      </c>
      <c r="O58" s="720">
        <v>70</v>
      </c>
      <c r="P58" s="721">
        <f t="shared" si="4"/>
        <v>813</v>
      </c>
      <c r="Q58" s="734"/>
      <c r="R58" s="724"/>
    </row>
    <row r="59" spans="1:19" s="718" customFormat="1" x14ac:dyDescent="0.2">
      <c r="B59" s="718" t="s">
        <v>321</v>
      </c>
      <c r="C59" s="724" t="s">
        <v>298</v>
      </c>
      <c r="D59" s="720">
        <v>4</v>
      </c>
      <c r="E59" s="720">
        <v>4</v>
      </c>
      <c r="F59" s="720">
        <v>4</v>
      </c>
      <c r="G59" s="720">
        <v>4</v>
      </c>
      <c r="H59" s="720">
        <v>2</v>
      </c>
      <c r="I59" s="720">
        <v>2</v>
      </c>
      <c r="J59" s="720">
        <v>2</v>
      </c>
      <c r="K59" s="720">
        <v>2</v>
      </c>
      <c r="L59" s="720">
        <v>2</v>
      </c>
      <c r="M59" s="720">
        <v>2</v>
      </c>
      <c r="N59" s="720">
        <v>2</v>
      </c>
      <c r="O59" s="720">
        <v>2</v>
      </c>
      <c r="P59" s="721">
        <f t="shared" si="4"/>
        <v>32</v>
      </c>
      <c r="Q59" s="734"/>
      <c r="R59" s="724"/>
    </row>
    <row r="60" spans="1:19" s="725" customFormat="1" x14ac:dyDescent="0.2">
      <c r="A60" s="718"/>
      <c r="B60" s="709" t="s">
        <v>262</v>
      </c>
      <c r="C60" s="724" t="s">
        <v>232</v>
      </c>
      <c r="D60" s="720">
        <v>7</v>
      </c>
      <c r="E60" s="720">
        <v>7</v>
      </c>
      <c r="F60" s="720">
        <v>7</v>
      </c>
      <c r="G60" s="720">
        <v>7</v>
      </c>
      <c r="H60" s="720">
        <v>7</v>
      </c>
      <c r="I60" s="720">
        <v>7</v>
      </c>
      <c r="J60" s="720">
        <v>7</v>
      </c>
      <c r="K60" s="720">
        <v>7</v>
      </c>
      <c r="L60" s="720">
        <v>7</v>
      </c>
      <c r="M60" s="720">
        <v>7</v>
      </c>
      <c r="N60" s="720">
        <v>7</v>
      </c>
      <c r="O60" s="720">
        <v>7</v>
      </c>
      <c r="P60" s="721">
        <f t="shared" si="4"/>
        <v>84</v>
      </c>
      <c r="Q60" s="734"/>
      <c r="R60" s="724"/>
    </row>
    <row r="61" spans="1:19" s="718" customFormat="1" ht="15" x14ac:dyDescent="0.25">
      <c r="A61" s="725"/>
      <c r="B61" s="725" t="s">
        <v>270</v>
      </c>
      <c r="C61" s="726" t="s">
        <v>346</v>
      </c>
      <c r="D61" s="727">
        <v>10</v>
      </c>
      <c r="E61" s="727">
        <v>10</v>
      </c>
      <c r="F61" s="727">
        <v>10</v>
      </c>
      <c r="G61" s="727">
        <v>10</v>
      </c>
      <c r="H61" s="727">
        <v>10</v>
      </c>
      <c r="I61" s="727">
        <v>10</v>
      </c>
      <c r="J61" s="727">
        <v>10</v>
      </c>
      <c r="K61" s="727">
        <v>10</v>
      </c>
      <c r="L61" s="727">
        <v>10</v>
      </c>
      <c r="M61" s="727">
        <v>10</v>
      </c>
      <c r="N61" s="727">
        <v>10</v>
      </c>
      <c r="O61" s="727">
        <v>10</v>
      </c>
      <c r="P61" s="728">
        <f t="shared" si="4"/>
        <v>120</v>
      </c>
      <c r="Q61" s="734"/>
      <c r="R61" s="726"/>
    </row>
    <row r="62" spans="1:19" s="718" customFormat="1" x14ac:dyDescent="0.2">
      <c r="B62" s="718" t="s">
        <v>113</v>
      </c>
      <c r="D62" s="730">
        <f t="shared" ref="D62:O62" si="5">SUM(D36:D61)</f>
        <v>818142</v>
      </c>
      <c r="E62" s="730">
        <f t="shared" si="5"/>
        <v>818684</v>
      </c>
      <c r="F62" s="730">
        <f t="shared" si="5"/>
        <v>819862</v>
      </c>
      <c r="G62" s="730">
        <f t="shared" si="5"/>
        <v>821664</v>
      </c>
      <c r="H62" s="730">
        <f t="shared" si="5"/>
        <v>823861</v>
      </c>
      <c r="I62" s="730">
        <f t="shared" si="5"/>
        <v>825465</v>
      </c>
      <c r="J62" s="730">
        <f t="shared" si="5"/>
        <v>826556</v>
      </c>
      <c r="K62" s="730">
        <f t="shared" si="5"/>
        <v>827699</v>
      </c>
      <c r="L62" s="730">
        <f t="shared" si="5"/>
        <v>828501</v>
      </c>
      <c r="M62" s="730">
        <f t="shared" si="5"/>
        <v>828856</v>
      </c>
      <c r="N62" s="730">
        <f t="shared" si="5"/>
        <v>829484</v>
      </c>
      <c r="O62" s="730">
        <f t="shared" si="5"/>
        <v>829721</v>
      </c>
      <c r="P62" s="721">
        <f>SUM(D62:O62)</f>
        <v>9898495</v>
      </c>
      <c r="Q62" s="721"/>
    </row>
    <row r="63" spans="1:19" x14ac:dyDescent="0.2">
      <c r="A63" s="718"/>
      <c r="B63" s="718"/>
      <c r="C63" s="719"/>
      <c r="D63" s="721"/>
      <c r="E63" s="721"/>
      <c r="F63" s="721"/>
      <c r="G63" s="721"/>
      <c r="H63" s="721"/>
      <c r="I63" s="721"/>
      <c r="J63" s="721"/>
      <c r="K63" s="721"/>
      <c r="L63" s="721"/>
      <c r="M63" s="721"/>
      <c r="N63" s="721"/>
      <c r="O63" s="721"/>
      <c r="P63" s="721"/>
      <c r="Q63" s="732"/>
    </row>
    <row r="64" spans="1:19" x14ac:dyDescent="0.2">
      <c r="B64" s="715" t="s">
        <v>226</v>
      </c>
      <c r="C64" s="724"/>
      <c r="D64" s="732"/>
      <c r="E64" s="732"/>
      <c r="F64" s="732"/>
      <c r="G64" s="732"/>
      <c r="H64" s="732"/>
      <c r="I64" s="732"/>
      <c r="J64" s="732"/>
      <c r="K64" s="732"/>
      <c r="L64" s="732"/>
      <c r="M64" s="732"/>
      <c r="N64" s="732"/>
      <c r="O64" s="732"/>
      <c r="P64" s="732"/>
      <c r="Q64" s="732"/>
    </row>
    <row r="65" spans="1:17" x14ac:dyDescent="0.2">
      <c r="B65" s="709" t="s">
        <v>72</v>
      </c>
      <c r="C65" s="724">
        <v>23</v>
      </c>
      <c r="D65" s="732">
        <f t="shared" ref="D65:O65" si="6">IFERROR(D9/D37,0)</f>
        <v>17.687805659530856</v>
      </c>
      <c r="E65" s="732">
        <f t="shared" si="6"/>
        <v>16.743609705659246</v>
      </c>
      <c r="F65" s="732">
        <f t="shared" si="6"/>
        <v>26.1900912076445</v>
      </c>
      <c r="G65" s="732">
        <f t="shared" si="6"/>
        <v>60.805494838664053</v>
      </c>
      <c r="H65" s="732">
        <f t="shared" si="6"/>
        <v>92.686256791900533</v>
      </c>
      <c r="I65" s="732">
        <f t="shared" si="6"/>
        <v>120.23313429078389</v>
      </c>
      <c r="J65" s="732">
        <f t="shared" si="6"/>
        <v>110.80196571779744</v>
      </c>
      <c r="K65" s="732">
        <f t="shared" si="6"/>
        <v>105.28418261607786</v>
      </c>
      <c r="L65" s="732">
        <f t="shared" si="6"/>
        <v>97.896013509476518</v>
      </c>
      <c r="M65" s="732">
        <f t="shared" si="6"/>
        <v>62.134368247708018</v>
      </c>
      <c r="N65" s="732">
        <f t="shared" si="6"/>
        <v>31.231691890419487</v>
      </c>
      <c r="O65" s="732">
        <f t="shared" si="6"/>
        <v>22.969174783729397</v>
      </c>
      <c r="P65" s="732">
        <f>SUM(D65:O65)</f>
        <v>764.66378925939171</v>
      </c>
      <c r="Q65" s="732"/>
    </row>
    <row r="66" spans="1:17" s="718" customFormat="1" x14ac:dyDescent="0.2">
      <c r="A66" s="709"/>
      <c r="B66" s="718" t="s">
        <v>101</v>
      </c>
      <c r="C66" s="718">
        <v>31</v>
      </c>
      <c r="D66" s="732">
        <f t="shared" ref="D66:O67" si="7">IFERROR(D11/D40,0)</f>
        <v>141.2947522922185</v>
      </c>
      <c r="E66" s="732">
        <f t="shared" si="7"/>
        <v>138.13265685002597</v>
      </c>
      <c r="F66" s="732">
        <f t="shared" si="7"/>
        <v>167.78571084449061</v>
      </c>
      <c r="G66" s="732">
        <f t="shared" si="7"/>
        <v>295.99460141090208</v>
      </c>
      <c r="H66" s="732">
        <f t="shared" si="7"/>
        <v>430.13764995755042</v>
      </c>
      <c r="I66" s="732">
        <f t="shared" si="7"/>
        <v>559.2587577492269</v>
      </c>
      <c r="J66" s="732">
        <f t="shared" si="7"/>
        <v>522.11762846903139</v>
      </c>
      <c r="K66" s="732">
        <f t="shared" si="7"/>
        <v>494.92348639111975</v>
      </c>
      <c r="L66" s="732">
        <f t="shared" si="7"/>
        <v>468.92344587600485</v>
      </c>
      <c r="M66" s="732">
        <f t="shared" si="7"/>
        <v>322.34986306124324</v>
      </c>
      <c r="N66" s="732">
        <f t="shared" si="7"/>
        <v>199.19355571066458</v>
      </c>
      <c r="O66" s="732">
        <f t="shared" si="7"/>
        <v>163.57530343546549</v>
      </c>
      <c r="P66" s="732">
        <f t="shared" ref="P66:P77" si="8">SUM(D66:O66)</f>
        <v>3903.6874120479433</v>
      </c>
      <c r="Q66" s="732"/>
    </row>
    <row r="67" spans="1:17" s="718" customFormat="1" x14ac:dyDescent="0.2">
      <c r="B67" s="718" t="s">
        <v>102</v>
      </c>
      <c r="C67" s="718">
        <v>41</v>
      </c>
      <c r="D67" s="721">
        <f t="shared" si="7"/>
        <v>1905.1533260359654</v>
      </c>
      <c r="E67" s="721">
        <f t="shared" si="7"/>
        <v>1810.7253857030637</v>
      </c>
      <c r="F67" s="721">
        <f t="shared" si="7"/>
        <v>2172.7225796875</v>
      </c>
      <c r="G67" s="721">
        <f t="shared" si="7"/>
        <v>3469.9582902723737</v>
      </c>
      <c r="H67" s="721">
        <f t="shared" si="7"/>
        <v>4409.5583816199378</v>
      </c>
      <c r="I67" s="721">
        <f t="shared" si="7"/>
        <v>5455.5501053042117</v>
      </c>
      <c r="J67" s="721">
        <f t="shared" si="7"/>
        <v>5107.0488254460824</v>
      </c>
      <c r="K67" s="721">
        <f t="shared" si="7"/>
        <v>4966.2944571651096</v>
      </c>
      <c r="L67" s="721">
        <f t="shared" si="7"/>
        <v>4844.3361950271956</v>
      </c>
      <c r="M67" s="721">
        <f t="shared" si="7"/>
        <v>3712.3396674418605</v>
      </c>
      <c r="N67" s="721">
        <f t="shared" si="7"/>
        <v>2562.8490085403728</v>
      </c>
      <c r="O67" s="721">
        <f t="shared" si="7"/>
        <v>1221.7960125</v>
      </c>
      <c r="P67" s="732">
        <f t="shared" si="8"/>
        <v>41638.332234743684</v>
      </c>
      <c r="Q67" s="732"/>
    </row>
    <row r="68" spans="1:17" x14ac:dyDescent="0.2">
      <c r="A68" s="718"/>
      <c r="B68" s="718" t="s">
        <v>105</v>
      </c>
      <c r="C68" s="718">
        <v>41</v>
      </c>
      <c r="D68" s="721">
        <f t="shared" ref="D68:O68" si="9">IFERROR(D18/D48,0)</f>
        <v>9059.3246329113917</v>
      </c>
      <c r="E68" s="721">
        <f t="shared" si="9"/>
        <v>9273.3659487179484</v>
      </c>
      <c r="F68" s="721">
        <f t="shared" si="9"/>
        <v>9134.0235316455692</v>
      </c>
      <c r="G68" s="721">
        <f t="shared" si="9"/>
        <v>11474.59362820513</v>
      </c>
      <c r="H68" s="721">
        <f t="shared" si="9"/>
        <v>11761.360973684212</v>
      </c>
      <c r="I68" s="721">
        <f t="shared" si="9"/>
        <v>12872.644118421053</v>
      </c>
      <c r="J68" s="721">
        <f t="shared" si="9"/>
        <v>12964.875630136987</v>
      </c>
      <c r="K68" s="721">
        <f t="shared" si="9"/>
        <v>12343.534561643835</v>
      </c>
      <c r="L68" s="721">
        <f t="shared" si="9"/>
        <v>12592.529136986301</v>
      </c>
      <c r="M68" s="721">
        <f t="shared" si="9"/>
        <v>11115.699452054796</v>
      </c>
      <c r="N68" s="721">
        <f t="shared" si="9"/>
        <v>9590.6460136986298</v>
      </c>
      <c r="O68" s="721">
        <f t="shared" si="9"/>
        <v>2898.4607500000002</v>
      </c>
      <c r="P68" s="732">
        <f t="shared" si="8"/>
        <v>125081.05837810584</v>
      </c>
      <c r="Q68" s="732"/>
    </row>
    <row r="69" spans="1:17" x14ac:dyDescent="0.2">
      <c r="B69" s="709" t="s">
        <v>259</v>
      </c>
      <c r="C69" s="724" t="s">
        <v>236</v>
      </c>
      <c r="D69" s="732">
        <f t="shared" ref="D69:O71" si="10">IFERROR(D23/D54,0)</f>
        <v>11698.312361111111</v>
      </c>
      <c r="E69" s="732">
        <f t="shared" si="10"/>
        <v>12591.843835616439</v>
      </c>
      <c r="F69" s="732">
        <f t="shared" si="10"/>
        <v>11819.167027027026</v>
      </c>
      <c r="G69" s="732">
        <f t="shared" si="10"/>
        <v>14047.792972972973</v>
      </c>
      <c r="H69" s="732">
        <f t="shared" si="10"/>
        <v>15215.05652</v>
      </c>
      <c r="I69" s="732">
        <f t="shared" si="10"/>
        <v>16658.248533333335</v>
      </c>
      <c r="J69" s="732">
        <f t="shared" si="10"/>
        <v>16311.329740259742</v>
      </c>
      <c r="K69" s="732">
        <f t="shared" si="10"/>
        <v>15436.595063291139</v>
      </c>
      <c r="L69" s="732">
        <f t="shared" si="10"/>
        <v>15814.884303797468</v>
      </c>
      <c r="M69" s="732">
        <f t="shared" si="10"/>
        <v>14016.499124999998</v>
      </c>
      <c r="N69" s="732">
        <f t="shared" si="10"/>
        <v>12314.101481481481</v>
      </c>
      <c r="O69" s="732">
        <f t="shared" si="10"/>
        <v>9566.5474117647063</v>
      </c>
      <c r="P69" s="732">
        <f t="shared" si="8"/>
        <v>165490.37837565542</v>
      </c>
      <c r="Q69" s="732"/>
    </row>
    <row r="70" spans="1:17" x14ac:dyDescent="0.2">
      <c r="B70" s="709" t="s">
        <v>260</v>
      </c>
      <c r="C70" s="724" t="s">
        <v>231</v>
      </c>
      <c r="D70" s="732">
        <f t="shared" si="10"/>
        <v>47604.094848484849</v>
      </c>
      <c r="E70" s="732">
        <f t="shared" si="10"/>
        <v>50075.781212121212</v>
      </c>
      <c r="F70" s="732">
        <f t="shared" si="10"/>
        <v>47377.325454545455</v>
      </c>
      <c r="G70" s="732">
        <f t="shared" si="10"/>
        <v>55247.084242424244</v>
      </c>
      <c r="H70" s="732">
        <f t="shared" si="10"/>
        <v>59414.943030303031</v>
      </c>
      <c r="I70" s="732">
        <f t="shared" si="10"/>
        <v>65897.281212121219</v>
      </c>
      <c r="J70" s="732">
        <f t="shared" si="10"/>
        <v>64188.24</v>
      </c>
      <c r="K70" s="732">
        <f t="shared" si="10"/>
        <v>60766.346969696977</v>
      </c>
      <c r="L70" s="732">
        <f t="shared" si="10"/>
        <v>63763.653939393938</v>
      </c>
      <c r="M70" s="732">
        <f t="shared" si="10"/>
        <v>55516.427272727276</v>
      </c>
      <c r="N70" s="732">
        <f t="shared" si="10"/>
        <v>54576.761212121215</v>
      </c>
      <c r="O70" s="732">
        <f t="shared" si="10"/>
        <v>52490.131818181813</v>
      </c>
      <c r="P70" s="732">
        <f t="shared" si="8"/>
        <v>676918.07121212129</v>
      </c>
      <c r="Q70" s="732"/>
    </row>
    <row r="71" spans="1:17" x14ac:dyDescent="0.2">
      <c r="B71" s="709" t="s">
        <v>263</v>
      </c>
      <c r="C71" s="724" t="s">
        <v>232</v>
      </c>
      <c r="D71" s="732">
        <f t="shared" si="10"/>
        <v>361377.07</v>
      </c>
      <c r="E71" s="732">
        <f t="shared" si="10"/>
        <v>358753.91666666669</v>
      </c>
      <c r="F71" s="732">
        <f t="shared" si="10"/>
        <v>368109.05666666664</v>
      </c>
      <c r="G71" s="732">
        <f t="shared" si="10"/>
        <v>498072.34</v>
      </c>
      <c r="H71" s="732">
        <f t="shared" si="10"/>
        <v>603797.35333333339</v>
      </c>
      <c r="I71" s="732">
        <f t="shared" si="10"/>
        <v>704891.54666666675</v>
      </c>
      <c r="J71" s="732">
        <f t="shared" si="10"/>
        <v>650486.62333333341</v>
      </c>
      <c r="K71" s="732">
        <f t="shared" si="10"/>
        <v>653697.9833333334</v>
      </c>
      <c r="L71" s="732">
        <f t="shared" si="10"/>
        <v>619147.54999999993</v>
      </c>
      <c r="M71" s="732">
        <f t="shared" si="10"/>
        <v>533286.96000000008</v>
      </c>
      <c r="N71" s="732">
        <f t="shared" si="10"/>
        <v>426229.94999999995</v>
      </c>
      <c r="O71" s="732">
        <f t="shared" si="10"/>
        <v>389346.98333333334</v>
      </c>
      <c r="P71" s="732">
        <f t="shared" si="8"/>
        <v>6167197.333333334</v>
      </c>
      <c r="Q71" s="732"/>
    </row>
    <row r="72" spans="1:17" x14ac:dyDescent="0.2">
      <c r="B72" s="709" t="s">
        <v>103</v>
      </c>
      <c r="C72" s="709">
        <v>85</v>
      </c>
      <c r="D72" s="732">
        <f t="shared" ref="D72:O74" si="11">IFERROR(D14/D44,0)</f>
        <v>28722.91128</v>
      </c>
      <c r="E72" s="732">
        <f t="shared" si="11"/>
        <v>26575.580199999997</v>
      </c>
      <c r="F72" s="732">
        <f t="shared" si="11"/>
        <v>33002.231333333337</v>
      </c>
      <c r="G72" s="732">
        <f t="shared" si="11"/>
        <v>50030.253320000003</v>
      </c>
      <c r="H72" s="732">
        <f t="shared" si="11"/>
        <v>62052.479000000007</v>
      </c>
      <c r="I72" s="732">
        <f t="shared" si="11"/>
        <v>74657.688320000001</v>
      </c>
      <c r="J72" s="732">
        <f t="shared" si="11"/>
        <v>68420.637560000003</v>
      </c>
      <c r="K72" s="732">
        <f t="shared" si="11"/>
        <v>63189.461520000004</v>
      </c>
      <c r="L72" s="732">
        <f t="shared" si="11"/>
        <v>65690.365439999994</v>
      </c>
      <c r="M72" s="732">
        <f t="shared" si="11"/>
        <v>49746.205439999998</v>
      </c>
      <c r="N72" s="732">
        <f t="shared" si="11"/>
        <v>36809.39544</v>
      </c>
      <c r="O72" s="732">
        <f t="shared" si="11"/>
        <v>29572.531000000003</v>
      </c>
      <c r="P72" s="732">
        <f t="shared" si="8"/>
        <v>588469.73985333333</v>
      </c>
      <c r="Q72" s="732"/>
    </row>
    <row r="73" spans="1:17" x14ac:dyDescent="0.2">
      <c r="B73" s="709" t="s">
        <v>108</v>
      </c>
      <c r="C73" s="709">
        <v>86</v>
      </c>
      <c r="D73" s="732">
        <f t="shared" si="11"/>
        <v>936.08321076233176</v>
      </c>
      <c r="E73" s="732">
        <f t="shared" si="11"/>
        <v>865.70760986547077</v>
      </c>
      <c r="F73" s="732">
        <f t="shared" si="11"/>
        <v>1436.2678340807176</v>
      </c>
      <c r="G73" s="732">
        <f t="shared" si="11"/>
        <v>3388.9188468468469</v>
      </c>
      <c r="H73" s="732">
        <f t="shared" si="11"/>
        <v>4626.2494954954955</v>
      </c>
      <c r="I73" s="732">
        <f t="shared" si="11"/>
        <v>5777.1443198198194</v>
      </c>
      <c r="J73" s="732">
        <f t="shared" si="11"/>
        <v>5345.6910315315317</v>
      </c>
      <c r="K73" s="732">
        <f t="shared" si="11"/>
        <v>4940.2971081081087</v>
      </c>
      <c r="L73" s="732">
        <f t="shared" si="11"/>
        <v>4994.4646936936933</v>
      </c>
      <c r="M73" s="732">
        <f t="shared" si="11"/>
        <v>3778.800576576577</v>
      </c>
      <c r="N73" s="732">
        <f t="shared" si="11"/>
        <v>2159.4525927601812</v>
      </c>
      <c r="O73" s="732">
        <f t="shared" si="11"/>
        <v>1392.9923257918551</v>
      </c>
      <c r="P73" s="732">
        <f t="shared" si="8"/>
        <v>39642.069645332631</v>
      </c>
      <c r="Q73" s="732"/>
    </row>
    <row r="74" spans="1:17" x14ac:dyDescent="0.2">
      <c r="B74" s="718" t="s">
        <v>265</v>
      </c>
      <c r="C74" s="718">
        <v>87</v>
      </c>
      <c r="D74" s="732">
        <f t="shared" si="11"/>
        <v>241032.62680000003</v>
      </c>
      <c r="E74" s="732">
        <f t="shared" si="11"/>
        <v>238246.59599999999</v>
      </c>
      <c r="F74" s="732">
        <f t="shared" si="11"/>
        <v>259490.80499999999</v>
      </c>
      <c r="G74" s="732">
        <f t="shared" si="11"/>
        <v>391665.37939999998</v>
      </c>
      <c r="H74" s="732">
        <f t="shared" si="11"/>
        <v>468374.47019999998</v>
      </c>
      <c r="I74" s="732">
        <f t="shared" si="11"/>
        <v>563495.49639999995</v>
      </c>
      <c r="J74" s="732">
        <f t="shared" si="11"/>
        <v>497614.6814</v>
      </c>
      <c r="K74" s="732">
        <f t="shared" si="11"/>
        <v>501209.15240000002</v>
      </c>
      <c r="L74" s="732">
        <f t="shared" si="11"/>
        <v>485988.87539999996</v>
      </c>
      <c r="M74" s="732">
        <f t="shared" si="11"/>
        <v>413250.18319999997</v>
      </c>
      <c r="N74" s="732">
        <f t="shared" si="11"/>
        <v>297142.0404</v>
      </c>
      <c r="O74" s="732">
        <f t="shared" si="11"/>
        <v>286110.21899999998</v>
      </c>
      <c r="P74" s="732">
        <f t="shared" si="8"/>
        <v>4643620.5255999994</v>
      </c>
      <c r="Q74" s="732"/>
    </row>
    <row r="75" spans="1:17" x14ac:dyDescent="0.2">
      <c r="B75" s="709" t="s">
        <v>535</v>
      </c>
      <c r="C75" s="719" t="s">
        <v>387</v>
      </c>
      <c r="D75" s="732">
        <f t="shared" ref="D75:O75" si="12">D13/D42</f>
        <v>76.98</v>
      </c>
      <c r="E75" s="732">
        <f t="shared" si="12"/>
        <v>27.25</v>
      </c>
      <c r="F75" s="732">
        <f t="shared" si="12"/>
        <v>218.87</v>
      </c>
      <c r="G75" s="732">
        <f t="shared" si="12"/>
        <v>1982.63</v>
      </c>
      <c r="H75" s="732">
        <f t="shared" si="12"/>
        <v>3323.76</v>
      </c>
      <c r="I75" s="732">
        <f t="shared" si="12"/>
        <v>4410.21</v>
      </c>
      <c r="J75" s="732">
        <f t="shared" si="12"/>
        <v>2530.87</v>
      </c>
      <c r="K75" s="732">
        <f t="shared" si="12"/>
        <v>3905.98</v>
      </c>
      <c r="L75" s="732">
        <f t="shared" si="12"/>
        <v>2821.34</v>
      </c>
      <c r="M75" s="732">
        <f t="shared" si="12"/>
        <v>1980.65</v>
      </c>
      <c r="N75" s="732">
        <f t="shared" si="12"/>
        <v>595.91</v>
      </c>
      <c r="O75" s="732">
        <f t="shared" si="12"/>
        <v>27.44</v>
      </c>
      <c r="P75" s="732">
        <f t="shared" si="8"/>
        <v>21901.89</v>
      </c>
      <c r="Q75" s="732"/>
    </row>
    <row r="76" spans="1:17" s="739" customFormat="1" x14ac:dyDescent="0.2">
      <c r="A76" s="709"/>
      <c r="B76" s="709" t="s">
        <v>104</v>
      </c>
      <c r="C76" s="709">
        <v>31</v>
      </c>
      <c r="D76" s="732">
        <f t="shared" ref="D76:O76" si="13">IFERROR(D17/D47,0)</f>
        <v>176.39866339285715</v>
      </c>
      <c r="E76" s="732">
        <f t="shared" si="13"/>
        <v>186.12542319749215</v>
      </c>
      <c r="F76" s="732">
        <f t="shared" si="13"/>
        <v>224.89760933991917</v>
      </c>
      <c r="G76" s="732">
        <f t="shared" si="13"/>
        <v>450.55650738255031</v>
      </c>
      <c r="H76" s="732">
        <f t="shared" si="13"/>
        <v>681.71591302408569</v>
      </c>
      <c r="I76" s="732">
        <f t="shared" si="13"/>
        <v>908.77061041852187</v>
      </c>
      <c r="J76" s="732">
        <f t="shared" si="13"/>
        <v>874.01751334519577</v>
      </c>
      <c r="K76" s="732">
        <f t="shared" si="13"/>
        <v>837.60411165480434</v>
      </c>
      <c r="L76" s="732">
        <f t="shared" si="13"/>
        <v>747.18489076376557</v>
      </c>
      <c r="M76" s="732">
        <f t="shared" si="13"/>
        <v>473.90566236080178</v>
      </c>
      <c r="N76" s="732">
        <f t="shared" si="13"/>
        <v>249.68386574487064</v>
      </c>
      <c r="O76" s="732">
        <f t="shared" si="13"/>
        <v>192.28361700223715</v>
      </c>
      <c r="P76" s="732">
        <f t="shared" si="8"/>
        <v>6003.1443876271023</v>
      </c>
      <c r="Q76" s="738"/>
    </row>
    <row r="77" spans="1:17" ht="15" x14ac:dyDescent="0.25">
      <c r="A77" s="739"/>
      <c r="B77" s="725" t="s">
        <v>270</v>
      </c>
      <c r="C77" s="740" t="s">
        <v>346</v>
      </c>
      <c r="D77" s="738">
        <f t="shared" ref="D77:O77" si="14">IFERROR(D30/D61,0)</f>
        <v>192133.49100000001</v>
      </c>
      <c r="E77" s="738">
        <f t="shared" si="14"/>
        <v>186918.77499999999</v>
      </c>
      <c r="F77" s="738">
        <f t="shared" si="14"/>
        <v>194319.399</v>
      </c>
      <c r="G77" s="738">
        <f t="shared" si="14"/>
        <v>301451.15600000002</v>
      </c>
      <c r="H77" s="738">
        <f t="shared" si="14"/>
        <v>374526.26199999999</v>
      </c>
      <c r="I77" s="738">
        <f t="shared" si="14"/>
        <v>443657.84100000001</v>
      </c>
      <c r="J77" s="738">
        <f t="shared" si="14"/>
        <v>403242.77399999998</v>
      </c>
      <c r="K77" s="738">
        <f t="shared" si="14"/>
        <v>411489.82699999993</v>
      </c>
      <c r="L77" s="738">
        <f t="shared" si="14"/>
        <v>380641.09299999999</v>
      </c>
      <c r="M77" s="738">
        <f t="shared" si="14"/>
        <v>315636.84099999996</v>
      </c>
      <c r="N77" s="738">
        <f t="shared" si="14"/>
        <v>231740.204</v>
      </c>
      <c r="O77" s="738">
        <f t="shared" si="14"/>
        <v>213688.50499999998</v>
      </c>
      <c r="P77" s="732">
        <f t="shared" si="8"/>
        <v>3649446.1679999996</v>
      </c>
      <c r="Q77" s="732"/>
    </row>
    <row r="78" spans="1:17" x14ac:dyDescent="0.2">
      <c r="C78" s="724"/>
      <c r="D78" s="732"/>
      <c r="E78" s="732"/>
      <c r="F78" s="732"/>
      <c r="G78" s="732"/>
      <c r="H78" s="732"/>
      <c r="I78" s="732"/>
      <c r="J78" s="732"/>
      <c r="K78" s="732"/>
      <c r="L78" s="732"/>
      <c r="M78" s="732"/>
      <c r="N78" s="732"/>
      <c r="O78" s="732"/>
      <c r="P78" s="732"/>
      <c r="Q78" s="732"/>
    </row>
    <row r="79" spans="1:17" s="718" customFormat="1" x14ac:dyDescent="0.2">
      <c r="A79" s="709"/>
      <c r="B79" s="715" t="s">
        <v>121</v>
      </c>
      <c r="C79" s="724"/>
      <c r="D79" s="732"/>
      <c r="E79" s="732"/>
      <c r="F79" s="732"/>
      <c r="G79" s="732"/>
      <c r="H79" s="732"/>
      <c r="I79" s="732"/>
      <c r="J79" s="732"/>
      <c r="K79" s="732"/>
      <c r="L79" s="732"/>
      <c r="M79" s="732"/>
      <c r="N79" s="732"/>
      <c r="O79" s="732"/>
      <c r="P79" s="732"/>
      <c r="Q79" s="721"/>
    </row>
    <row r="80" spans="1:17" s="718" customFormat="1" x14ac:dyDescent="0.2">
      <c r="B80" s="718" t="s">
        <v>228</v>
      </c>
      <c r="C80" s="719"/>
      <c r="D80" s="741">
        <f>SystemWeatherAdj!$Q$15</f>
        <v>18.916799999999999</v>
      </c>
      <c r="E80" s="741">
        <f>SystemWeatherAdj!$Q$16</f>
        <v>4.7084000000000001</v>
      </c>
      <c r="F80" s="741">
        <f>SystemWeatherAdj!$Q$17</f>
        <v>102.2084</v>
      </c>
      <c r="G80" s="741">
        <f>SystemWeatherAdj!$Q$18</f>
        <v>389.20829999999995</v>
      </c>
      <c r="H80" s="741">
        <f>SystemWeatherAdj!$Q$19</f>
        <v>563.87490000000003</v>
      </c>
      <c r="I80" s="741">
        <f>SystemWeatherAdj!$Q$20</f>
        <v>780.5</v>
      </c>
      <c r="J80" s="741">
        <f>SystemWeatherAdj!$Q$21</f>
        <v>628.70833333333326</v>
      </c>
      <c r="K80" s="741">
        <f>SystemWeatherAdj!$Q$22</f>
        <v>672.58333333333303</v>
      </c>
      <c r="L80" s="741">
        <f>SystemWeatherAdj!$Q$23</f>
        <v>589.02083333333303</v>
      </c>
      <c r="M80" s="741">
        <f>SystemWeatherAdj!$Q$24</f>
        <v>419.04166666666703</v>
      </c>
      <c r="N80" s="741">
        <f>SystemWeatherAdj!$Q$25</f>
        <v>172.458333333333</v>
      </c>
      <c r="O80" s="741">
        <f>SystemWeatherAdj!$Q$26</f>
        <v>124.833333333333</v>
      </c>
      <c r="P80" s="721">
        <f>SUM(D80:O80)</f>
        <v>4466.0626333333321</v>
      </c>
      <c r="Q80" s="721"/>
    </row>
    <row r="81" spans="1:23" s="718" customFormat="1" x14ac:dyDescent="0.2">
      <c r="B81" s="718" t="s">
        <v>127</v>
      </c>
      <c r="C81" s="719"/>
      <c r="D81" s="741">
        <f>SystemWeatherAdj!$P$15</f>
        <v>57.0138888888889</v>
      </c>
      <c r="E81" s="741">
        <f>SystemWeatherAdj!$P$16</f>
        <v>47.509722222222202</v>
      </c>
      <c r="F81" s="741">
        <f>SystemWeatherAdj!$P$17</f>
        <v>136.759722222222</v>
      </c>
      <c r="G81" s="741">
        <f>SystemWeatherAdj!$P$18</f>
        <v>386.027777777778</v>
      </c>
      <c r="H81" s="741">
        <f>SystemWeatherAdj!$P$19</f>
        <v>583.59097222222204</v>
      </c>
      <c r="I81" s="741">
        <f>SystemWeatherAdj!$P$20</f>
        <v>747.57777777777801</v>
      </c>
      <c r="J81" s="741">
        <f>SystemWeatherAdj!$P$21</f>
        <v>723.21388888888896</v>
      </c>
      <c r="K81" s="741">
        <f>SystemWeatherAdj!$P$22</f>
        <v>616.98611111111097</v>
      </c>
      <c r="L81" s="741">
        <f>SystemWeatherAdj!$P$23</f>
        <v>592.16805555555595</v>
      </c>
      <c r="M81" s="741">
        <f>SystemWeatherAdj!$P$24</f>
        <v>450.14722222222201</v>
      </c>
      <c r="N81" s="741">
        <f>SystemWeatherAdj!$P$25</f>
        <v>296.66111111111098</v>
      </c>
      <c r="O81" s="741">
        <f>SystemWeatherAdj!$P$26</f>
        <v>162.50833333333301</v>
      </c>
      <c r="P81" s="721">
        <f>SUM(D81:O81)</f>
        <v>4800.1645833333332</v>
      </c>
      <c r="Q81" s="742"/>
    </row>
    <row r="82" spans="1:23" x14ac:dyDescent="0.2">
      <c r="A82" s="718"/>
      <c r="B82" s="718" t="s">
        <v>300</v>
      </c>
      <c r="C82" s="719"/>
      <c r="D82" s="730">
        <f t="shared" ref="D82:P82" si="15">D80-D81</f>
        <v>-38.097088888888905</v>
      </c>
      <c r="E82" s="730">
        <f t="shared" si="15"/>
        <v>-42.801322222222204</v>
      </c>
      <c r="F82" s="730">
        <f t="shared" si="15"/>
        <v>-34.551322222221998</v>
      </c>
      <c r="G82" s="730">
        <f t="shared" si="15"/>
        <v>3.1805222222219527</v>
      </c>
      <c r="H82" s="730">
        <f t="shared" si="15"/>
        <v>-19.71607222222201</v>
      </c>
      <c r="I82" s="730">
        <f t="shared" si="15"/>
        <v>32.92222222222199</v>
      </c>
      <c r="J82" s="730">
        <f t="shared" si="15"/>
        <v>-94.505555555555702</v>
      </c>
      <c r="K82" s="730">
        <f t="shared" si="15"/>
        <v>55.597222222222058</v>
      </c>
      <c r="L82" s="730">
        <f t="shared" si="15"/>
        <v>-3.147222222222922</v>
      </c>
      <c r="M82" s="730">
        <f t="shared" si="15"/>
        <v>-31.105555555554986</v>
      </c>
      <c r="N82" s="730">
        <f t="shared" si="15"/>
        <v>-124.20277777777798</v>
      </c>
      <c r="O82" s="730">
        <f t="shared" si="15"/>
        <v>-37.675000000000011</v>
      </c>
      <c r="P82" s="730">
        <f t="shared" si="15"/>
        <v>-334.10195000000112</v>
      </c>
      <c r="Q82" s="732"/>
    </row>
    <row r="83" spans="1:23" x14ac:dyDescent="0.2">
      <c r="C83" s="724"/>
      <c r="D83" s="732"/>
      <c r="E83" s="732"/>
      <c r="F83" s="732"/>
      <c r="G83" s="732"/>
      <c r="H83" s="732"/>
      <c r="I83" s="732"/>
      <c r="J83" s="732"/>
      <c r="K83" s="732"/>
      <c r="L83" s="732"/>
      <c r="M83" s="732"/>
      <c r="N83" s="732"/>
      <c r="O83" s="732"/>
      <c r="P83" s="732"/>
      <c r="Q83" s="732"/>
    </row>
    <row r="84" spans="1:23" s="718" customFormat="1" x14ac:dyDescent="0.2">
      <c r="A84" s="709"/>
      <c r="B84" s="715" t="s">
        <v>122</v>
      </c>
      <c r="C84" s="724"/>
      <c r="D84" s="732"/>
      <c r="E84" s="732"/>
      <c r="F84" s="732"/>
      <c r="G84" s="732"/>
      <c r="H84" s="732"/>
      <c r="I84" s="732"/>
      <c r="J84" s="732"/>
      <c r="K84" s="732"/>
      <c r="L84" s="732"/>
      <c r="M84" s="732"/>
      <c r="N84" s="732"/>
      <c r="O84" s="732"/>
      <c r="P84" s="732"/>
      <c r="Q84" s="721"/>
      <c r="R84" s="743"/>
      <c r="S84" s="743"/>
      <c r="T84" s="743"/>
      <c r="U84" s="743"/>
      <c r="V84" s="743"/>
      <c r="W84" s="743"/>
    </row>
    <row r="85" spans="1:23" s="718" customFormat="1" x14ac:dyDescent="0.2">
      <c r="B85" s="709" t="s">
        <v>72</v>
      </c>
      <c r="C85" s="719">
        <v>23</v>
      </c>
      <c r="D85" s="744">
        <v>0</v>
      </c>
      <c r="E85" s="744">
        <v>0</v>
      </c>
      <c r="F85" s="744">
        <v>6.1267000000000002E-2</v>
      </c>
      <c r="G85" s="744">
        <v>0.10335</v>
      </c>
      <c r="H85" s="744">
        <v>0.13109000000000001</v>
      </c>
      <c r="I85" s="744">
        <v>0.14038600000000001</v>
      </c>
      <c r="J85" s="744">
        <v>0.14258899999999999</v>
      </c>
      <c r="K85" s="744">
        <v>0.13567199999999999</v>
      </c>
      <c r="L85" s="744">
        <v>0.12486899999999999</v>
      </c>
      <c r="M85" s="744">
        <v>9.7504999999999994E-2</v>
      </c>
      <c r="N85" s="744">
        <v>7.7023999999999995E-2</v>
      </c>
      <c r="O85" s="744">
        <v>4.9307999999999998E-2</v>
      </c>
      <c r="P85" s="721"/>
      <c r="Q85" s="721"/>
      <c r="R85" s="743"/>
      <c r="S85" s="743"/>
      <c r="T85" s="743"/>
      <c r="U85" s="743"/>
      <c r="V85" s="743"/>
      <c r="W85" s="743"/>
    </row>
    <row r="86" spans="1:23" s="718" customFormat="1" x14ac:dyDescent="0.2">
      <c r="B86" s="718" t="s">
        <v>101</v>
      </c>
      <c r="C86" s="718">
        <v>31</v>
      </c>
      <c r="D86" s="744">
        <v>0</v>
      </c>
      <c r="E86" s="744">
        <v>0</v>
      </c>
      <c r="F86" s="744">
        <v>0</v>
      </c>
      <c r="G86" s="744">
        <v>0.28602899999999998</v>
      </c>
      <c r="H86" s="744">
        <v>0.43996600000000002</v>
      </c>
      <c r="I86" s="744">
        <v>0.51790400000000003</v>
      </c>
      <c r="J86" s="744">
        <v>0.53004700000000005</v>
      </c>
      <c r="K86" s="744">
        <v>0.48302200000000001</v>
      </c>
      <c r="L86" s="744">
        <v>0.44266800000000001</v>
      </c>
      <c r="M86" s="744">
        <v>0.30964599999999998</v>
      </c>
      <c r="N86" s="744">
        <v>0.20496700000000001</v>
      </c>
      <c r="O86" s="744">
        <v>0</v>
      </c>
      <c r="P86" s="721"/>
      <c r="Q86" s="721"/>
      <c r="R86" s="743"/>
      <c r="S86" s="743"/>
      <c r="T86" s="743"/>
      <c r="U86" s="743"/>
      <c r="V86" s="743"/>
      <c r="W86" s="743"/>
    </row>
    <row r="87" spans="1:23" s="718" customFormat="1" x14ac:dyDescent="0.2">
      <c r="B87" s="718" t="s">
        <v>102</v>
      </c>
      <c r="C87" s="718">
        <v>41</v>
      </c>
      <c r="D87" s="744">
        <v>0</v>
      </c>
      <c r="E87" s="744">
        <v>0</v>
      </c>
      <c r="F87" s="744">
        <v>1.8869560000000001</v>
      </c>
      <c r="G87" s="744">
        <v>3.3324769999999999</v>
      </c>
      <c r="H87" s="744">
        <v>3.9634170000000002</v>
      </c>
      <c r="I87" s="744">
        <v>4.3025140000000004</v>
      </c>
      <c r="J87" s="744">
        <v>4.4232339999999999</v>
      </c>
      <c r="K87" s="744">
        <v>4.0960900000000002</v>
      </c>
      <c r="L87" s="744">
        <v>4.2550169999999996</v>
      </c>
      <c r="M87" s="744">
        <v>3.3169300000000002</v>
      </c>
      <c r="N87" s="744">
        <v>3.0851820000000001</v>
      </c>
      <c r="O87" s="744">
        <v>2.3724050000000001</v>
      </c>
      <c r="P87" s="721"/>
      <c r="Q87" s="721"/>
      <c r="R87" s="743"/>
      <c r="S87" s="743"/>
      <c r="T87" s="743"/>
      <c r="U87" s="743"/>
      <c r="V87" s="743"/>
      <c r="W87" s="743"/>
    </row>
    <row r="88" spans="1:23" s="718" customFormat="1" x14ac:dyDescent="0.2">
      <c r="B88" s="709" t="s">
        <v>259</v>
      </c>
      <c r="C88" s="724" t="s">
        <v>236</v>
      </c>
      <c r="D88" s="744">
        <v>0</v>
      </c>
      <c r="E88" s="744">
        <v>0</v>
      </c>
      <c r="F88" s="744">
        <v>0</v>
      </c>
      <c r="G88" s="744">
        <v>4.9070229999999997</v>
      </c>
      <c r="H88" s="744">
        <v>5.0952380000000002</v>
      </c>
      <c r="I88" s="744">
        <v>5.9990639999999997</v>
      </c>
      <c r="J88" s="744">
        <v>6.2450140000000003</v>
      </c>
      <c r="K88" s="744">
        <v>5.5843040000000004</v>
      </c>
      <c r="L88" s="744">
        <v>6.6018319999999999</v>
      </c>
      <c r="M88" s="744">
        <v>4.4300100000000002</v>
      </c>
      <c r="N88" s="744">
        <v>3.1402450000000002</v>
      </c>
      <c r="O88" s="744">
        <v>0</v>
      </c>
      <c r="P88" s="721"/>
      <c r="Q88" s="721"/>
      <c r="R88" s="743"/>
      <c r="S88" s="743"/>
      <c r="T88" s="743"/>
      <c r="U88" s="743"/>
      <c r="V88" s="743"/>
      <c r="W88" s="743"/>
    </row>
    <row r="89" spans="1:23" s="718" customFormat="1" x14ac:dyDescent="0.2">
      <c r="B89" s="709" t="s">
        <v>260</v>
      </c>
      <c r="C89" s="724" t="s">
        <v>231</v>
      </c>
      <c r="D89" s="744">
        <v>0</v>
      </c>
      <c r="E89" s="744">
        <v>0</v>
      </c>
      <c r="F89" s="744">
        <v>0</v>
      </c>
      <c r="G89" s="744">
        <v>19.421810000000001</v>
      </c>
      <c r="H89" s="744">
        <v>20.552879999999998</v>
      </c>
      <c r="I89" s="744">
        <v>25.147639999999999</v>
      </c>
      <c r="J89" s="744">
        <v>25.863019999999999</v>
      </c>
      <c r="K89" s="744">
        <v>17.022880000000001</v>
      </c>
      <c r="L89" s="744">
        <v>23.35707</v>
      </c>
      <c r="M89" s="744">
        <v>17.929849999999998</v>
      </c>
      <c r="N89" s="744">
        <v>18.489039999999999</v>
      </c>
      <c r="O89" s="744">
        <v>15.670389999999999</v>
      </c>
      <c r="P89" s="721"/>
      <c r="Q89" s="721"/>
      <c r="R89" s="743"/>
      <c r="S89" s="743"/>
      <c r="T89" s="743"/>
      <c r="U89" s="743"/>
      <c r="V89" s="743"/>
      <c r="W89" s="743"/>
    </row>
    <row r="90" spans="1:23" s="718" customFormat="1" x14ac:dyDescent="0.2">
      <c r="B90" s="709" t="s">
        <v>263</v>
      </c>
      <c r="C90" s="724" t="s">
        <v>232</v>
      </c>
      <c r="D90" s="744">
        <v>0</v>
      </c>
      <c r="E90" s="744">
        <v>0</v>
      </c>
      <c r="F90" s="744"/>
      <c r="G90" s="744">
        <v>292.32600000000002</v>
      </c>
      <c r="H90" s="744">
        <v>405.23860000000002</v>
      </c>
      <c r="I90" s="744">
        <v>489.97309999999999</v>
      </c>
      <c r="J90" s="744">
        <v>498.61770000000001</v>
      </c>
      <c r="K90" s="744">
        <v>416.05340000000001</v>
      </c>
      <c r="L90" s="744">
        <v>437.85559999999998</v>
      </c>
      <c r="M90" s="744">
        <v>350.5145</v>
      </c>
      <c r="N90" s="744">
        <v>357.57459999999998</v>
      </c>
      <c r="O90" s="744">
        <v>231.9744</v>
      </c>
      <c r="P90" s="721"/>
      <c r="Q90" s="721"/>
      <c r="R90" s="743"/>
      <c r="S90" s="743"/>
      <c r="T90" s="743"/>
      <c r="U90" s="743"/>
      <c r="V90" s="743"/>
      <c r="W90" s="743"/>
    </row>
    <row r="91" spans="1:23" s="718" customFormat="1" x14ac:dyDescent="0.2">
      <c r="B91" s="718" t="s">
        <v>103</v>
      </c>
      <c r="C91" s="718">
        <v>85</v>
      </c>
      <c r="D91" s="744">
        <v>0</v>
      </c>
      <c r="E91" s="744">
        <v>0</v>
      </c>
      <c r="F91" s="744">
        <v>0</v>
      </c>
      <c r="G91" s="744">
        <v>42.228180000000002</v>
      </c>
      <c r="H91" s="744">
        <v>47.382179999999998</v>
      </c>
      <c r="I91" s="744">
        <v>51.544719999999998</v>
      </c>
      <c r="J91" s="744">
        <v>54.698979999999999</v>
      </c>
      <c r="K91" s="744">
        <v>51.855840000000001</v>
      </c>
      <c r="L91" s="744">
        <v>54.701529999999998</v>
      </c>
      <c r="M91" s="744">
        <v>47.905470000000001</v>
      </c>
      <c r="N91" s="744">
        <v>41.308880000000002</v>
      </c>
      <c r="O91" s="744">
        <v>0</v>
      </c>
      <c r="P91" s="721"/>
      <c r="Q91" s="721"/>
      <c r="R91" s="743"/>
      <c r="S91" s="743"/>
      <c r="T91" s="743"/>
      <c r="U91" s="743"/>
      <c r="V91" s="743"/>
      <c r="W91" s="743"/>
    </row>
    <row r="92" spans="1:23" s="718" customFormat="1" x14ac:dyDescent="0.2">
      <c r="B92" s="718" t="s">
        <v>108</v>
      </c>
      <c r="C92" s="718">
        <v>86</v>
      </c>
      <c r="D92" s="744">
        <v>0</v>
      </c>
      <c r="E92" s="744">
        <v>0</v>
      </c>
      <c r="F92" s="744">
        <v>3.8223630000000002</v>
      </c>
      <c r="G92" s="744">
        <v>5.5541510000000001</v>
      </c>
      <c r="H92" s="744">
        <v>5.9706299999999999</v>
      </c>
      <c r="I92" s="744">
        <v>5.9919729999999998</v>
      </c>
      <c r="J92" s="744">
        <v>6.306381</v>
      </c>
      <c r="K92" s="744">
        <v>6.3312249999999999</v>
      </c>
      <c r="L92" s="744">
        <v>6.47736</v>
      </c>
      <c r="M92" s="744">
        <v>5.6191269999999998</v>
      </c>
      <c r="N92" s="744">
        <v>5.4516109999999998</v>
      </c>
      <c r="O92" s="744">
        <v>4.0647390000000003</v>
      </c>
      <c r="P92" s="721"/>
      <c r="Q92" s="721"/>
      <c r="R92" s="745"/>
      <c r="S92" s="745"/>
      <c r="T92" s="743"/>
      <c r="U92" s="743"/>
      <c r="V92" s="743"/>
      <c r="W92" s="743"/>
    </row>
    <row r="93" spans="1:23" s="718" customFormat="1" x14ac:dyDescent="0.2">
      <c r="B93" s="718" t="s">
        <v>265</v>
      </c>
      <c r="C93" s="718">
        <v>87</v>
      </c>
      <c r="D93" s="744">
        <v>0</v>
      </c>
      <c r="E93" s="744">
        <v>0</v>
      </c>
      <c r="F93" s="744">
        <v>0</v>
      </c>
      <c r="G93" s="744">
        <v>262.26600000000002</v>
      </c>
      <c r="H93" s="744">
        <v>312.3014</v>
      </c>
      <c r="I93" s="744">
        <v>353.04090000000002</v>
      </c>
      <c r="J93" s="744">
        <v>365.73469999999998</v>
      </c>
      <c r="K93" s="744">
        <v>312.01679999999999</v>
      </c>
      <c r="L93" s="744">
        <v>327.76979999999998</v>
      </c>
      <c r="M93" s="744">
        <v>283.70179999999999</v>
      </c>
      <c r="N93" s="744">
        <v>241.9436</v>
      </c>
      <c r="O93" s="744">
        <v>0</v>
      </c>
      <c r="P93" s="721"/>
      <c r="Q93" s="721"/>
      <c r="R93" s="743"/>
      <c r="S93" s="743"/>
      <c r="T93" s="743"/>
      <c r="U93" s="743"/>
      <c r="V93" s="743"/>
      <c r="W93" s="743"/>
    </row>
    <row r="94" spans="1:23" s="718" customFormat="1" x14ac:dyDescent="0.2">
      <c r="B94" s="718" t="s">
        <v>104</v>
      </c>
      <c r="C94" s="718">
        <v>31</v>
      </c>
      <c r="D94" s="744">
        <v>0</v>
      </c>
      <c r="E94" s="744">
        <v>0</v>
      </c>
      <c r="F94" s="744">
        <v>0.36427500000000002</v>
      </c>
      <c r="G94" s="744">
        <v>0.622251</v>
      </c>
      <c r="H94" s="744">
        <v>0.84462899999999996</v>
      </c>
      <c r="I94" s="744">
        <v>0.98157099999999997</v>
      </c>
      <c r="J94" s="744">
        <v>1.0246230000000001</v>
      </c>
      <c r="K94" s="744">
        <v>0.96336599999999994</v>
      </c>
      <c r="L94" s="744">
        <v>0.87563599999999997</v>
      </c>
      <c r="M94" s="744">
        <v>0.62440799999999996</v>
      </c>
      <c r="N94" s="744">
        <v>0.46065400000000001</v>
      </c>
      <c r="O94" s="744">
        <v>0.267515</v>
      </c>
      <c r="P94" s="721"/>
      <c r="Q94" s="721"/>
      <c r="R94" s="743"/>
      <c r="S94" s="743"/>
      <c r="T94" s="743"/>
      <c r="U94" s="743"/>
      <c r="V94" s="743"/>
      <c r="W94" s="743"/>
    </row>
    <row r="95" spans="1:23" s="725" customFormat="1" x14ac:dyDescent="0.2">
      <c r="A95" s="718"/>
      <c r="B95" s="718" t="s">
        <v>105</v>
      </c>
      <c r="C95" s="718">
        <v>41</v>
      </c>
      <c r="D95" s="744">
        <v>0</v>
      </c>
      <c r="E95" s="744">
        <v>0</v>
      </c>
      <c r="F95" s="744">
        <v>0</v>
      </c>
      <c r="G95" s="744">
        <v>4.8871190000000002</v>
      </c>
      <c r="H95" s="744">
        <v>4.1200489999999999</v>
      </c>
      <c r="I95" s="744">
        <v>4.2082819999999996</v>
      </c>
      <c r="J95" s="744">
        <v>4.7613620000000001</v>
      </c>
      <c r="K95" s="744">
        <v>3.7076060000000002</v>
      </c>
      <c r="L95" s="744">
        <v>5.6337640000000002</v>
      </c>
      <c r="M95" s="744">
        <v>3.607056</v>
      </c>
      <c r="N95" s="744">
        <v>2.9865780000000002</v>
      </c>
      <c r="O95" s="744">
        <v>0</v>
      </c>
      <c r="P95" s="721"/>
      <c r="Q95" s="729"/>
      <c r="R95" s="746"/>
      <c r="S95" s="746"/>
      <c r="T95" s="747"/>
      <c r="U95" s="747"/>
      <c r="V95" s="747"/>
      <c r="W95" s="747"/>
    </row>
    <row r="96" spans="1:23" ht="15" x14ac:dyDescent="0.25">
      <c r="A96" s="725"/>
      <c r="B96" s="740"/>
      <c r="C96" s="726" t="s">
        <v>346</v>
      </c>
      <c r="D96" s="748">
        <v>0</v>
      </c>
      <c r="E96" s="748">
        <v>0</v>
      </c>
      <c r="F96" s="748">
        <v>191.56610000000001</v>
      </c>
      <c r="G96" s="748">
        <v>304.52820000000003</v>
      </c>
      <c r="H96" s="748">
        <v>327.96660000000003</v>
      </c>
      <c r="I96" s="748">
        <v>325.36750000000001</v>
      </c>
      <c r="J96" s="748">
        <v>366.29660000000001</v>
      </c>
      <c r="K96" s="748">
        <v>343.17970000000003</v>
      </c>
      <c r="L96" s="748">
        <v>353.94880000000001</v>
      </c>
      <c r="M96" s="748">
        <v>310.79880000000003</v>
      </c>
      <c r="N96" s="748">
        <v>284.05250000000001</v>
      </c>
      <c r="O96" s="748">
        <v>242.88679999999999</v>
      </c>
      <c r="P96" s="729"/>
      <c r="Q96" s="732"/>
    </row>
    <row r="97" spans="1:17" x14ac:dyDescent="0.2">
      <c r="C97" s="724"/>
      <c r="D97" s="732"/>
      <c r="E97" s="732"/>
      <c r="F97" s="732"/>
      <c r="G97" s="732"/>
      <c r="H97" s="732"/>
      <c r="I97" s="732"/>
      <c r="J97" s="732"/>
      <c r="K97" s="732"/>
      <c r="L97" s="732"/>
      <c r="M97" s="732"/>
      <c r="N97" s="732"/>
      <c r="O97" s="732"/>
      <c r="P97" s="732"/>
      <c r="Q97" s="732"/>
    </row>
    <row r="98" spans="1:17" x14ac:dyDescent="0.2">
      <c r="B98" s="715" t="s">
        <v>216</v>
      </c>
      <c r="C98" s="724"/>
      <c r="D98" s="732"/>
      <c r="E98" s="732"/>
      <c r="F98" s="732"/>
      <c r="G98" s="732"/>
      <c r="H98" s="732"/>
      <c r="I98" s="732"/>
      <c r="J98" s="732"/>
      <c r="K98" s="732"/>
      <c r="L98" s="732"/>
      <c r="M98" s="732"/>
      <c r="N98" s="732"/>
      <c r="O98" s="732"/>
      <c r="P98" s="732"/>
      <c r="Q98" s="732"/>
    </row>
    <row r="99" spans="1:17" x14ac:dyDescent="0.2">
      <c r="B99" s="709" t="s">
        <v>72</v>
      </c>
      <c r="C99" s="724">
        <v>23</v>
      </c>
      <c r="D99" s="732">
        <f t="shared" ref="D99:O101" si="16">IF(D65=0,0,D65+D85*(-D$82))</f>
        <v>17.687805659530856</v>
      </c>
      <c r="E99" s="732">
        <f t="shared" si="16"/>
        <v>16.743609705659246</v>
      </c>
      <c r="F99" s="732">
        <f t="shared" si="16"/>
        <v>28.306947066233374</v>
      </c>
      <c r="G99" s="732">
        <f t="shared" si="16"/>
        <v>60.476787866997412</v>
      </c>
      <c r="H99" s="732">
        <f t="shared" si="16"/>
        <v>95.270836699511619</v>
      </c>
      <c r="I99" s="732">
        <f t="shared" si="16"/>
        <v>115.61131520189504</v>
      </c>
      <c r="J99" s="732">
        <f t="shared" si="16"/>
        <v>124.27741837890858</v>
      </c>
      <c r="K99" s="732">
        <f t="shared" si="16"/>
        <v>97.741196282744539</v>
      </c>
      <c r="L99" s="732">
        <f t="shared" si="16"/>
        <v>98.289004001143269</v>
      </c>
      <c r="M99" s="732">
        <f t="shared" si="16"/>
        <v>65.1673154421524</v>
      </c>
      <c r="N99" s="732">
        <f t="shared" si="16"/>
        <v>40.798286645975054</v>
      </c>
      <c r="O99" s="732">
        <f t="shared" si="16"/>
        <v>24.826853683729396</v>
      </c>
      <c r="P99" s="732">
        <f>SUM(D99:O99)</f>
        <v>785.19737663448063</v>
      </c>
      <c r="Q99" s="732"/>
    </row>
    <row r="100" spans="1:17" x14ac:dyDescent="0.2">
      <c r="B100" s="718" t="s">
        <v>101</v>
      </c>
      <c r="C100" s="724">
        <v>31</v>
      </c>
      <c r="D100" s="732">
        <f t="shared" si="16"/>
        <v>141.2947522922185</v>
      </c>
      <c r="E100" s="732">
        <f t="shared" si="16"/>
        <v>138.13265685002597</v>
      </c>
      <c r="F100" s="732">
        <f t="shared" si="16"/>
        <v>167.78571084449061</v>
      </c>
      <c r="G100" s="732">
        <f t="shared" si="16"/>
        <v>295.08487982020216</v>
      </c>
      <c r="H100" s="732">
        <f t="shared" si="16"/>
        <v>438.81205138887253</v>
      </c>
      <c r="I100" s="732">
        <f t="shared" si="16"/>
        <v>542.2082071714492</v>
      </c>
      <c r="J100" s="732">
        <f t="shared" si="16"/>
        <v>572.210014674587</v>
      </c>
      <c r="K100" s="732">
        <f t="shared" si="16"/>
        <v>468.06880491889763</v>
      </c>
      <c r="L100" s="732">
        <f t="shared" si="16"/>
        <v>470.31662044267182</v>
      </c>
      <c r="M100" s="732">
        <f t="shared" si="16"/>
        <v>331.9815739167986</v>
      </c>
      <c r="N100" s="732">
        <f t="shared" si="16"/>
        <v>224.65102646344241</v>
      </c>
      <c r="O100" s="732">
        <f t="shared" si="16"/>
        <v>163.57530343546549</v>
      </c>
      <c r="P100" s="732">
        <f t="shared" ref="P100:P127" si="17">SUM(D100:O100)</f>
        <v>3954.1216022191215</v>
      </c>
      <c r="Q100" s="732"/>
    </row>
    <row r="101" spans="1:17" x14ac:dyDescent="0.2">
      <c r="B101" s="718" t="s">
        <v>102</v>
      </c>
      <c r="C101" s="718">
        <v>41</v>
      </c>
      <c r="D101" s="732">
        <f t="shared" si="16"/>
        <v>1905.1533260359654</v>
      </c>
      <c r="E101" s="732">
        <f t="shared" si="16"/>
        <v>1810.7253857030637</v>
      </c>
      <c r="F101" s="732">
        <f t="shared" si="16"/>
        <v>2237.9194044626552</v>
      </c>
      <c r="G101" s="732">
        <f t="shared" si="16"/>
        <v>3459.3592731188301</v>
      </c>
      <c r="H101" s="732">
        <f t="shared" si="16"/>
        <v>4487.7013974387201</v>
      </c>
      <c r="I101" s="732">
        <f t="shared" si="16"/>
        <v>5313.90178328199</v>
      </c>
      <c r="J101" s="732">
        <f t="shared" si="16"/>
        <v>5525.0690119683049</v>
      </c>
      <c r="K101" s="732">
        <f t="shared" si="16"/>
        <v>4738.5632311928885</v>
      </c>
      <c r="L101" s="732">
        <f t="shared" si="16"/>
        <v>4857.7276790855321</v>
      </c>
      <c r="M101" s="732">
        <f t="shared" si="16"/>
        <v>3815.5146178307473</v>
      </c>
      <c r="N101" s="732">
        <f t="shared" si="16"/>
        <v>2946.0371828903735</v>
      </c>
      <c r="O101" s="732">
        <f t="shared" si="16"/>
        <v>1311.176370875</v>
      </c>
      <c r="P101" s="732">
        <f t="shared" si="17"/>
        <v>42408.848663884077</v>
      </c>
      <c r="Q101" s="732"/>
    </row>
    <row r="102" spans="1:17" x14ac:dyDescent="0.2">
      <c r="B102" s="709" t="s">
        <v>259</v>
      </c>
      <c r="C102" s="724" t="s">
        <v>236</v>
      </c>
      <c r="D102" s="732">
        <f t="shared" ref="D102:O108" si="18">IF(D69=0,0,D69+D88*(-D$82))</f>
        <v>11698.312361111111</v>
      </c>
      <c r="E102" s="732">
        <f t="shared" si="18"/>
        <v>12591.843835616439</v>
      </c>
      <c r="F102" s="732">
        <f t="shared" si="18"/>
        <v>11819.167027027026</v>
      </c>
      <c r="G102" s="732">
        <f t="shared" si="18"/>
        <v>14032.186077276519</v>
      </c>
      <c r="H102" s="732">
        <f t="shared" si="18"/>
        <v>15315.51460039741</v>
      </c>
      <c r="I102" s="732">
        <f t="shared" si="18"/>
        <v>16460.746015200002</v>
      </c>
      <c r="J102" s="732">
        <f t="shared" si="18"/>
        <v>16901.518257781965</v>
      </c>
      <c r="K102" s="732">
        <f t="shared" si="18"/>
        <v>15126.123272846695</v>
      </c>
      <c r="L102" s="732">
        <f t="shared" si="18"/>
        <v>15835.661736175251</v>
      </c>
      <c r="M102" s="732">
        <f t="shared" si="18"/>
        <v>14154.297047166663</v>
      </c>
      <c r="N102" s="732">
        <f t="shared" si="18"/>
        <v>12704.12863338426</v>
      </c>
      <c r="O102" s="732">
        <f t="shared" si="18"/>
        <v>9566.5474117647063</v>
      </c>
      <c r="P102" s="732">
        <f t="shared" si="17"/>
        <v>166206.04627574806</v>
      </c>
      <c r="Q102" s="732"/>
    </row>
    <row r="103" spans="1:17" x14ac:dyDescent="0.2">
      <c r="B103" s="709" t="s">
        <v>260</v>
      </c>
      <c r="C103" s="724" t="s">
        <v>231</v>
      </c>
      <c r="D103" s="732">
        <f t="shared" si="18"/>
        <v>47604.094848484849</v>
      </c>
      <c r="E103" s="732">
        <f t="shared" si="18"/>
        <v>50075.781212121212</v>
      </c>
      <c r="F103" s="732">
        <f t="shared" si="18"/>
        <v>47377.325454545455</v>
      </c>
      <c r="G103" s="732">
        <f t="shared" si="18"/>
        <v>55185.312744123468</v>
      </c>
      <c r="H103" s="732">
        <f t="shared" si="18"/>
        <v>59820.165096757693</v>
      </c>
      <c r="I103" s="732">
        <f t="shared" si="18"/>
        <v>65069.365019676778</v>
      </c>
      <c r="J103" s="732">
        <f t="shared" si="18"/>
        <v>66632.439073444446</v>
      </c>
      <c r="K103" s="732">
        <f t="shared" si="18"/>
        <v>59819.922127474754</v>
      </c>
      <c r="L103" s="732">
        <f t="shared" si="18"/>
        <v>63837.163829143952</v>
      </c>
      <c r="M103" s="732">
        <f t="shared" si="18"/>
        <v>56074.145218005047</v>
      </c>
      <c r="N103" s="732">
        <f t="shared" si="18"/>
        <v>56873.151338565665</v>
      </c>
      <c r="O103" s="732">
        <f t="shared" si="18"/>
        <v>53080.513761431816</v>
      </c>
      <c r="P103" s="732">
        <f t="shared" si="17"/>
        <v>681449.37972377508</v>
      </c>
      <c r="Q103" s="732"/>
    </row>
    <row r="104" spans="1:17" x14ac:dyDescent="0.2">
      <c r="B104" s="709" t="s">
        <v>263</v>
      </c>
      <c r="C104" s="724" t="s">
        <v>232</v>
      </c>
      <c r="D104" s="732">
        <f t="shared" si="18"/>
        <v>361377.07</v>
      </c>
      <c r="E104" s="732">
        <f t="shared" si="18"/>
        <v>358753.91666666669</v>
      </c>
      <c r="F104" s="732">
        <f t="shared" si="18"/>
        <v>368109.05666666664</v>
      </c>
      <c r="G104" s="732">
        <f t="shared" si="18"/>
        <v>497142.59066086676</v>
      </c>
      <c r="H104" s="732">
        <f t="shared" si="18"/>
        <v>611787.06683816551</v>
      </c>
      <c r="I104" s="732">
        <f t="shared" si="18"/>
        <v>688760.54338555573</v>
      </c>
      <c r="J104" s="732">
        <f t="shared" si="18"/>
        <v>697608.76608166681</v>
      </c>
      <c r="K104" s="732">
        <f t="shared" si="18"/>
        <v>630566.5699972224</v>
      </c>
      <c r="L104" s="732">
        <f t="shared" si="18"/>
        <v>620525.57887444471</v>
      </c>
      <c r="M104" s="732">
        <f t="shared" si="18"/>
        <v>544189.90825277765</v>
      </c>
      <c r="N104" s="732">
        <f t="shared" si="18"/>
        <v>470641.70858277782</v>
      </c>
      <c r="O104" s="732">
        <f t="shared" si="18"/>
        <v>398086.61885333335</v>
      </c>
      <c r="P104" s="732">
        <f t="shared" si="17"/>
        <v>6247549.3948601438</v>
      </c>
      <c r="Q104" s="732"/>
    </row>
    <row r="105" spans="1:17" x14ac:dyDescent="0.2">
      <c r="B105" s="709" t="s">
        <v>103</v>
      </c>
      <c r="C105" s="709">
        <v>85</v>
      </c>
      <c r="D105" s="732">
        <f t="shared" si="18"/>
        <v>28722.91128</v>
      </c>
      <c r="E105" s="732">
        <f t="shared" si="18"/>
        <v>26575.580199999997</v>
      </c>
      <c r="F105" s="732">
        <f t="shared" si="18"/>
        <v>33002.231333333337</v>
      </c>
      <c r="G105" s="732">
        <f t="shared" si="18"/>
        <v>49895.945655106014</v>
      </c>
      <c r="H105" s="732">
        <f t="shared" si="18"/>
        <v>62986.669482926329</v>
      </c>
      <c r="I105" s="732">
        <f t="shared" si="18"/>
        <v>72960.721593777795</v>
      </c>
      <c r="J105" s="732">
        <f t="shared" si="18"/>
        <v>73589.995053222228</v>
      </c>
      <c r="K105" s="732">
        <f t="shared" si="18"/>
        <v>60306.420860000013</v>
      </c>
      <c r="L105" s="732">
        <f t="shared" si="18"/>
        <v>65862.523310805584</v>
      </c>
      <c r="M105" s="732">
        <f t="shared" si="18"/>
        <v>51236.331698499969</v>
      </c>
      <c r="N105" s="732">
        <f t="shared" si="18"/>
        <v>41940.073082888899</v>
      </c>
      <c r="O105" s="732">
        <f t="shared" si="18"/>
        <v>29572.531000000003</v>
      </c>
      <c r="P105" s="732">
        <f t="shared" si="17"/>
        <v>596651.93455056008</v>
      </c>
      <c r="Q105" s="732"/>
    </row>
    <row r="106" spans="1:17" x14ac:dyDescent="0.2">
      <c r="B106" s="709" t="s">
        <v>108</v>
      </c>
      <c r="C106" s="709">
        <v>86</v>
      </c>
      <c r="D106" s="732">
        <f t="shared" si="18"/>
        <v>936.08321076233176</v>
      </c>
      <c r="E106" s="732">
        <f t="shared" si="18"/>
        <v>865.70760986547077</v>
      </c>
      <c r="F106" s="732">
        <f t="shared" si="18"/>
        <v>1568.3355297440169</v>
      </c>
      <c r="G106" s="732">
        <f t="shared" si="18"/>
        <v>3371.2537461657707</v>
      </c>
      <c r="H106" s="732">
        <f t="shared" si="18"/>
        <v>4743.9668677876607</v>
      </c>
      <c r="I106" s="732">
        <f t="shared" si="18"/>
        <v>5579.8752531642649</v>
      </c>
      <c r="J106" s="732">
        <f t="shared" si="18"/>
        <v>5941.6790714815324</v>
      </c>
      <c r="K106" s="732">
        <f t="shared" si="18"/>
        <v>4588.2985848442204</v>
      </c>
      <c r="L106" s="732">
        <f t="shared" si="18"/>
        <v>5014.8503850270308</v>
      </c>
      <c r="M106" s="732">
        <f t="shared" si="18"/>
        <v>3953.5866436487959</v>
      </c>
      <c r="N106" s="732">
        <f t="shared" si="18"/>
        <v>2836.5578223240714</v>
      </c>
      <c r="O106" s="732">
        <f t="shared" si="18"/>
        <v>1546.1313676168552</v>
      </c>
      <c r="P106" s="732">
        <f t="shared" si="17"/>
        <v>40946.326092432028</v>
      </c>
      <c r="Q106" s="732"/>
    </row>
    <row r="107" spans="1:17" x14ac:dyDescent="0.2">
      <c r="B107" s="718" t="s">
        <v>265</v>
      </c>
      <c r="C107" s="718">
        <v>87</v>
      </c>
      <c r="D107" s="732">
        <f t="shared" si="18"/>
        <v>241032.62680000003</v>
      </c>
      <c r="E107" s="732">
        <f t="shared" si="18"/>
        <v>238246.59599999999</v>
      </c>
      <c r="F107" s="732">
        <f t="shared" si="18"/>
        <v>259490.80499999999</v>
      </c>
      <c r="G107" s="732">
        <f t="shared" si="18"/>
        <v>390831.23655886669</v>
      </c>
      <c r="H107" s="732">
        <f t="shared" si="18"/>
        <v>474531.82715750101</v>
      </c>
      <c r="I107" s="732">
        <f t="shared" si="18"/>
        <v>551872.60543666664</v>
      </c>
      <c r="J107" s="732">
        <f t="shared" si="18"/>
        <v>532178.64240944455</v>
      </c>
      <c r="K107" s="732">
        <f t="shared" si="18"/>
        <v>483861.88503333338</v>
      </c>
      <c r="L107" s="732">
        <f t="shared" si="18"/>
        <v>487020.43979833351</v>
      </c>
      <c r="M107" s="732">
        <f t="shared" si="18"/>
        <v>422074.88530111092</v>
      </c>
      <c r="N107" s="732">
        <f t="shared" si="18"/>
        <v>327192.10758555558</v>
      </c>
      <c r="O107" s="732">
        <f t="shared" si="18"/>
        <v>286110.21899999998</v>
      </c>
      <c r="P107" s="732">
        <f t="shared" si="17"/>
        <v>4694443.876080812</v>
      </c>
      <c r="Q107" s="732"/>
    </row>
    <row r="108" spans="1:17" x14ac:dyDescent="0.2">
      <c r="B108" s="709" t="s">
        <v>535</v>
      </c>
      <c r="C108" s="719" t="s">
        <v>387</v>
      </c>
      <c r="D108" s="732">
        <f t="shared" si="18"/>
        <v>76.98</v>
      </c>
      <c r="E108" s="732">
        <f t="shared" si="18"/>
        <v>27.25</v>
      </c>
      <c r="F108" s="732">
        <f t="shared" si="18"/>
        <v>231.45618290249993</v>
      </c>
      <c r="G108" s="732">
        <f t="shared" si="18"/>
        <v>1980.6509168667003</v>
      </c>
      <c r="H108" s="732">
        <f t="shared" si="18"/>
        <v>3340.4127663649833</v>
      </c>
      <c r="I108" s="732">
        <f t="shared" si="18"/>
        <v>4377.8945014111114</v>
      </c>
      <c r="J108" s="732">
        <f t="shared" si="18"/>
        <v>2627.7025658500002</v>
      </c>
      <c r="K108" s="732">
        <f t="shared" si="18"/>
        <v>3852.4195264166669</v>
      </c>
      <c r="L108" s="732">
        <f t="shared" si="18"/>
        <v>2824.0958210777785</v>
      </c>
      <c r="M108" s="732">
        <f t="shared" si="18"/>
        <v>2000.072557733333</v>
      </c>
      <c r="N108" s="732">
        <f t="shared" si="18"/>
        <v>653.12450639444455</v>
      </c>
      <c r="O108" s="732">
        <f t="shared" si="18"/>
        <v>37.518627625000008</v>
      </c>
      <c r="P108" s="732">
        <f t="shared" si="17"/>
        <v>22029.577972642517</v>
      </c>
      <c r="Q108" s="732"/>
    </row>
    <row r="109" spans="1:17" x14ac:dyDescent="0.2">
      <c r="B109" s="709" t="s">
        <v>104</v>
      </c>
      <c r="C109" s="709">
        <v>31</v>
      </c>
      <c r="D109" s="732">
        <f t="shared" ref="D109:O109" si="19">IF(D76=0,0,D76+D94*(-D$82))</f>
        <v>176.39866339285715</v>
      </c>
      <c r="E109" s="732">
        <f t="shared" si="19"/>
        <v>186.12542319749215</v>
      </c>
      <c r="F109" s="732">
        <f t="shared" si="19"/>
        <v>237.4837922424191</v>
      </c>
      <c r="G109" s="732">
        <f t="shared" si="19"/>
        <v>448.5774242492505</v>
      </c>
      <c r="H109" s="732">
        <f t="shared" si="19"/>
        <v>698.3686793890688</v>
      </c>
      <c r="I109" s="732">
        <f t="shared" si="19"/>
        <v>876.45511182963321</v>
      </c>
      <c r="J109" s="732">
        <f t="shared" si="19"/>
        <v>970.85007919519592</v>
      </c>
      <c r="K109" s="732">
        <f t="shared" si="19"/>
        <v>784.04363807147115</v>
      </c>
      <c r="L109" s="732">
        <f t="shared" si="19"/>
        <v>749.94071184154393</v>
      </c>
      <c r="M109" s="732">
        <f t="shared" si="19"/>
        <v>493.32822009413474</v>
      </c>
      <c r="N109" s="732">
        <f t="shared" si="19"/>
        <v>306.8983721393152</v>
      </c>
      <c r="O109" s="732">
        <f t="shared" si="19"/>
        <v>202.36224462723715</v>
      </c>
      <c r="P109" s="732">
        <f t="shared" si="17"/>
        <v>6130.8323602696191</v>
      </c>
      <c r="Q109" s="732"/>
    </row>
    <row r="110" spans="1:17" s="739" customFormat="1" x14ac:dyDescent="0.2">
      <c r="A110" s="709"/>
      <c r="B110" s="718" t="s">
        <v>105</v>
      </c>
      <c r="C110" s="718">
        <v>41</v>
      </c>
      <c r="D110" s="732">
        <f t="shared" ref="D110:O110" si="20">IF(D68=0,0,D68+D95*(-D$82))</f>
        <v>9059.3246329113917</v>
      </c>
      <c r="E110" s="732">
        <f t="shared" si="20"/>
        <v>9273.3659487179484</v>
      </c>
      <c r="F110" s="732">
        <f t="shared" si="20"/>
        <v>9134.0235316455692</v>
      </c>
      <c r="G110" s="732">
        <f t="shared" si="20"/>
        <v>11459.050037622987</v>
      </c>
      <c r="H110" s="732">
        <f t="shared" si="20"/>
        <v>11842.592157327304</v>
      </c>
      <c r="I110" s="732">
        <f t="shared" si="20"/>
        <v>12734.098123243275</v>
      </c>
      <c r="J110" s="732">
        <f t="shared" si="20"/>
        <v>13414.850791148099</v>
      </c>
      <c r="K110" s="732">
        <f t="shared" si="20"/>
        <v>12137.401966949392</v>
      </c>
      <c r="L110" s="732">
        <f t="shared" si="20"/>
        <v>12610.25984424186</v>
      </c>
      <c r="M110" s="732">
        <f t="shared" si="20"/>
        <v>11227.898932854794</v>
      </c>
      <c r="N110" s="732">
        <f t="shared" si="20"/>
        <v>9961.5872973486312</v>
      </c>
      <c r="O110" s="732">
        <f t="shared" si="20"/>
        <v>2898.4607500000002</v>
      </c>
      <c r="P110" s="732">
        <f t="shared" si="17"/>
        <v>125752.91401401124</v>
      </c>
      <c r="Q110" s="738"/>
    </row>
    <row r="111" spans="1:17" ht="15" x14ac:dyDescent="0.25">
      <c r="A111" s="739"/>
      <c r="B111" s="725" t="s">
        <v>270</v>
      </c>
      <c r="C111" s="740" t="s">
        <v>346</v>
      </c>
      <c r="D111" s="738">
        <f t="shared" ref="D111:O111" si="21">IF(D77=0,0,D77+D96*(-D$82))</f>
        <v>192133.49100000001</v>
      </c>
      <c r="E111" s="738">
        <f t="shared" si="21"/>
        <v>186918.77499999999</v>
      </c>
      <c r="F111" s="738">
        <f t="shared" si="21"/>
        <v>200938.26104795441</v>
      </c>
      <c r="G111" s="738">
        <f t="shared" si="21"/>
        <v>300482.59729260678</v>
      </c>
      <c r="H111" s="738">
        <f t="shared" si="21"/>
        <v>380992.47517207661</v>
      </c>
      <c r="I111" s="738">
        <f t="shared" si="21"/>
        <v>432946.01986111118</v>
      </c>
      <c r="J111" s="738">
        <f t="shared" si="21"/>
        <v>437859.83768111112</v>
      </c>
      <c r="K111" s="738">
        <f t="shared" si="21"/>
        <v>392409.98895694443</v>
      </c>
      <c r="L111" s="738">
        <f t="shared" si="21"/>
        <v>381755.04852888914</v>
      </c>
      <c r="M111" s="738">
        <f t="shared" si="21"/>
        <v>325304.41033999977</v>
      </c>
      <c r="N111" s="738">
        <f t="shared" si="21"/>
        <v>267020.31353472226</v>
      </c>
      <c r="O111" s="738">
        <f t="shared" si="21"/>
        <v>222839.26518999998</v>
      </c>
      <c r="P111" s="732">
        <f t="shared" si="17"/>
        <v>3721600.483605416</v>
      </c>
      <c r="Q111" s="732"/>
    </row>
    <row r="112" spans="1:17" x14ac:dyDescent="0.2">
      <c r="C112" s="724"/>
      <c r="D112" s="732"/>
      <c r="E112" s="732"/>
      <c r="F112" s="732"/>
      <c r="G112" s="732"/>
      <c r="H112" s="732"/>
      <c r="I112" s="732"/>
      <c r="J112" s="732"/>
      <c r="K112" s="732"/>
      <c r="L112" s="732"/>
      <c r="M112" s="732"/>
      <c r="N112" s="732"/>
      <c r="O112" s="732"/>
      <c r="P112" s="732">
        <f t="shared" si="17"/>
        <v>0</v>
      </c>
      <c r="Q112" s="732"/>
    </row>
    <row r="113" spans="1:17" x14ac:dyDescent="0.2">
      <c r="B113" s="715" t="s">
        <v>217</v>
      </c>
      <c r="C113" s="724"/>
      <c r="D113" s="732"/>
      <c r="E113" s="732"/>
      <c r="F113" s="732"/>
      <c r="G113" s="732"/>
      <c r="H113" s="732"/>
      <c r="I113" s="732"/>
      <c r="J113" s="732"/>
      <c r="K113" s="732"/>
      <c r="L113" s="732"/>
      <c r="M113" s="732"/>
      <c r="N113" s="732"/>
      <c r="O113" s="732"/>
      <c r="P113" s="732">
        <f t="shared" si="17"/>
        <v>0</v>
      </c>
      <c r="Q113" s="732"/>
    </row>
    <row r="114" spans="1:17" x14ac:dyDescent="0.2">
      <c r="B114" s="709" t="s">
        <v>72</v>
      </c>
      <c r="C114" s="724">
        <v>23</v>
      </c>
      <c r="D114" s="732">
        <f t="shared" ref="D114:O114" si="22">D99*D37</f>
        <v>13443846.633000001</v>
      </c>
      <c r="E114" s="732">
        <f t="shared" si="22"/>
        <v>12736009.979</v>
      </c>
      <c r="F114" s="732">
        <f t="shared" si="22"/>
        <v>21565789.157145228</v>
      </c>
      <c r="G114" s="732">
        <f t="shared" si="22"/>
        <v>46177777.097300276</v>
      </c>
      <c r="H114" s="732">
        <f t="shared" si="22"/>
        <v>72937542.431248799</v>
      </c>
      <c r="I114" s="732">
        <f t="shared" si="22"/>
        <v>88678156.378515959</v>
      </c>
      <c r="J114" s="732">
        <f t="shared" si="22"/>
        <v>95449655.57948181</v>
      </c>
      <c r="K114" s="732">
        <f t="shared" si="22"/>
        <v>75180768.839154005</v>
      </c>
      <c r="L114" s="732">
        <f t="shared" si="22"/>
        <v>75673097.336496204</v>
      </c>
      <c r="M114" s="732">
        <f t="shared" si="22"/>
        <v>50197992.081197344</v>
      </c>
      <c r="N114" s="732">
        <f t="shared" si="22"/>
        <v>31453031.106848009</v>
      </c>
      <c r="O114" s="732">
        <f t="shared" si="22"/>
        <v>19147859.864698399</v>
      </c>
      <c r="P114" s="732">
        <f t="shared" si="17"/>
        <v>602641526.48408616</v>
      </c>
      <c r="Q114" s="732"/>
    </row>
    <row r="115" spans="1:17" x14ac:dyDescent="0.2">
      <c r="B115" s="718" t="s">
        <v>101</v>
      </c>
      <c r="C115" s="724">
        <v>31</v>
      </c>
      <c r="D115" s="732">
        <f t="shared" ref="D115:O116" si="23">D100*D40</f>
        <v>7628079.7920000004</v>
      </c>
      <c r="E115" s="732">
        <f t="shared" si="23"/>
        <v>7453085.6330000013</v>
      </c>
      <c r="F115" s="732">
        <f t="shared" si="23"/>
        <v>9048012.2430000007</v>
      </c>
      <c r="G115" s="732">
        <f t="shared" si="23"/>
        <v>15936944.189329479</v>
      </c>
      <c r="H115" s="732">
        <f t="shared" si="23"/>
        <v>23775714.568351891</v>
      </c>
      <c r="I115" s="732">
        <f t="shared" si="23"/>
        <v>29457087.479210492</v>
      </c>
      <c r="J115" s="732">
        <f t="shared" si="23"/>
        <v>31133946.89844428</v>
      </c>
      <c r="K115" s="732">
        <f t="shared" si="23"/>
        <v>25469027.882051978</v>
      </c>
      <c r="L115" s="732">
        <f t="shared" si="23"/>
        <v>25625671.381439418</v>
      </c>
      <c r="M115" s="732">
        <f t="shared" si="23"/>
        <v>18078056.607639268</v>
      </c>
      <c r="N115" s="732">
        <f t="shared" si="23"/>
        <v>12230451.182722731</v>
      </c>
      <c r="O115" s="732">
        <f t="shared" si="23"/>
        <v>8894243.5490000006</v>
      </c>
      <c r="P115" s="732">
        <f t="shared" si="17"/>
        <v>214730321.4061895</v>
      </c>
      <c r="Q115" s="732"/>
    </row>
    <row r="116" spans="1:17" x14ac:dyDescent="0.2">
      <c r="B116" s="718" t="s">
        <v>102</v>
      </c>
      <c r="C116" s="718">
        <v>41</v>
      </c>
      <c r="D116" s="732">
        <f t="shared" si="23"/>
        <v>2436691.1039999998</v>
      </c>
      <c r="E116" s="732">
        <f t="shared" si="23"/>
        <v>2305053.4160000002</v>
      </c>
      <c r="F116" s="732">
        <f t="shared" si="23"/>
        <v>2864536.8377121985</v>
      </c>
      <c r="G116" s="732">
        <f t="shared" si="23"/>
        <v>4445276.6659576967</v>
      </c>
      <c r="H116" s="732">
        <f t="shared" si="23"/>
        <v>5762208.5943113165</v>
      </c>
      <c r="I116" s="732">
        <f t="shared" si="23"/>
        <v>6812422.0861675115</v>
      </c>
      <c r="J116" s="732">
        <f t="shared" si="23"/>
        <v>7121813.9564271448</v>
      </c>
      <c r="K116" s="732">
        <f t="shared" si="23"/>
        <v>6084315.1888516685</v>
      </c>
      <c r="L116" s="732">
        <f t="shared" si="23"/>
        <v>6251895.5229830798</v>
      </c>
      <c r="M116" s="732">
        <f t="shared" si="23"/>
        <v>4922013.8570016641</v>
      </c>
      <c r="N116" s="732">
        <f t="shared" si="23"/>
        <v>3794495.8915628009</v>
      </c>
      <c r="O116" s="732">
        <f t="shared" si="23"/>
        <v>1678305.7547200001</v>
      </c>
      <c r="P116" s="732">
        <f t="shared" si="17"/>
        <v>54479028.87569508</v>
      </c>
      <c r="Q116" s="732"/>
    </row>
    <row r="117" spans="1:17" x14ac:dyDescent="0.2">
      <c r="B117" s="709" t="s">
        <v>259</v>
      </c>
      <c r="C117" s="724" t="s">
        <v>236</v>
      </c>
      <c r="D117" s="732">
        <f t="shared" ref="D117:O119" si="24">D102*D54</f>
        <v>842278.49</v>
      </c>
      <c r="E117" s="732">
        <f t="shared" si="24"/>
        <v>919204.6</v>
      </c>
      <c r="F117" s="732">
        <f t="shared" si="24"/>
        <v>874618.35999999987</v>
      </c>
      <c r="G117" s="732">
        <f t="shared" si="24"/>
        <v>1038381.7697184625</v>
      </c>
      <c r="H117" s="732">
        <f t="shared" si="24"/>
        <v>1148663.5950298058</v>
      </c>
      <c r="I117" s="732">
        <f t="shared" si="24"/>
        <v>1234555.9511400003</v>
      </c>
      <c r="J117" s="732">
        <f t="shared" si="24"/>
        <v>1301416.9058492114</v>
      </c>
      <c r="K117" s="732">
        <f t="shared" si="24"/>
        <v>1194963.7385548889</v>
      </c>
      <c r="L117" s="732">
        <f t="shared" si="24"/>
        <v>1251017.2771578447</v>
      </c>
      <c r="M117" s="732">
        <f t="shared" si="24"/>
        <v>1132343.763773333</v>
      </c>
      <c r="N117" s="732">
        <f t="shared" si="24"/>
        <v>1029034.419304125</v>
      </c>
      <c r="O117" s="732">
        <f t="shared" si="24"/>
        <v>813156.53</v>
      </c>
      <c r="P117" s="732">
        <f t="shared" si="17"/>
        <v>12779635.400527673</v>
      </c>
      <c r="Q117" s="732"/>
    </row>
    <row r="118" spans="1:17" x14ac:dyDescent="0.2">
      <c r="B118" s="709" t="s">
        <v>260</v>
      </c>
      <c r="C118" s="724" t="s">
        <v>231</v>
      </c>
      <c r="D118" s="732">
        <f t="shared" si="24"/>
        <v>1570935.13</v>
      </c>
      <c r="E118" s="732">
        <f t="shared" si="24"/>
        <v>1652500.78</v>
      </c>
      <c r="F118" s="732">
        <f t="shared" si="24"/>
        <v>1563451.74</v>
      </c>
      <c r="G118" s="732">
        <f t="shared" si="24"/>
        <v>1821115.3205560744</v>
      </c>
      <c r="H118" s="732">
        <f t="shared" si="24"/>
        <v>1974065.4481930039</v>
      </c>
      <c r="I118" s="732">
        <f t="shared" si="24"/>
        <v>2147289.0456493339</v>
      </c>
      <c r="J118" s="732">
        <f t="shared" si="24"/>
        <v>2198870.4894236666</v>
      </c>
      <c r="K118" s="732">
        <f t="shared" si="24"/>
        <v>1974057.4302066669</v>
      </c>
      <c r="L118" s="732">
        <f t="shared" si="24"/>
        <v>2106626.4063617503</v>
      </c>
      <c r="M118" s="732">
        <f t="shared" si="24"/>
        <v>1850446.7921941665</v>
      </c>
      <c r="N118" s="732">
        <f t="shared" si="24"/>
        <v>1876813.9941726669</v>
      </c>
      <c r="O118" s="732">
        <f t="shared" si="24"/>
        <v>1751656.95412725</v>
      </c>
      <c r="P118" s="732">
        <f t="shared" si="17"/>
        <v>22487829.530884579</v>
      </c>
      <c r="Q118" s="732"/>
    </row>
    <row r="119" spans="1:17" x14ac:dyDescent="0.2">
      <c r="B119" s="709" t="s">
        <v>263</v>
      </c>
      <c r="C119" s="724" t="s">
        <v>232</v>
      </c>
      <c r="D119" s="732">
        <f t="shared" si="24"/>
        <v>1084131.21</v>
      </c>
      <c r="E119" s="732">
        <f t="shared" si="24"/>
        <v>1076261.75</v>
      </c>
      <c r="F119" s="732">
        <f t="shared" si="24"/>
        <v>1104327.17</v>
      </c>
      <c r="G119" s="732">
        <f t="shared" si="24"/>
        <v>1491427.7719826002</v>
      </c>
      <c r="H119" s="732">
        <f t="shared" si="24"/>
        <v>1835361.2005144965</v>
      </c>
      <c r="I119" s="732">
        <f t="shared" si="24"/>
        <v>2066281.6301566672</v>
      </c>
      <c r="J119" s="732">
        <f t="shared" si="24"/>
        <v>2092826.2982450004</v>
      </c>
      <c r="K119" s="732">
        <f t="shared" si="24"/>
        <v>1891699.7099916672</v>
      </c>
      <c r="L119" s="732">
        <f t="shared" si="24"/>
        <v>1861576.7366233342</v>
      </c>
      <c r="M119" s="732">
        <f t="shared" si="24"/>
        <v>1632569.7247583331</v>
      </c>
      <c r="N119" s="732">
        <f t="shared" si="24"/>
        <v>1411925.1257483335</v>
      </c>
      <c r="O119" s="732">
        <f t="shared" si="24"/>
        <v>1194259.85656</v>
      </c>
      <c r="P119" s="732">
        <f t="shared" si="17"/>
        <v>18742648.18458043</v>
      </c>
      <c r="Q119" s="732"/>
    </row>
    <row r="120" spans="1:17" x14ac:dyDescent="0.2">
      <c r="B120" s="709" t="s">
        <v>103</v>
      </c>
      <c r="C120" s="709">
        <v>85</v>
      </c>
      <c r="D120" s="732">
        <f t="shared" ref="D120:O122" si="25">D105*D44</f>
        <v>718072.78200000001</v>
      </c>
      <c r="E120" s="732">
        <f t="shared" si="25"/>
        <v>664389.50499999989</v>
      </c>
      <c r="F120" s="732">
        <f t="shared" si="25"/>
        <v>792053.55200000014</v>
      </c>
      <c r="G120" s="732">
        <f t="shared" si="25"/>
        <v>1247398.6413776504</v>
      </c>
      <c r="H120" s="732">
        <f t="shared" si="25"/>
        <v>1574666.7370731581</v>
      </c>
      <c r="I120" s="732">
        <f t="shared" si="25"/>
        <v>1824018.039844445</v>
      </c>
      <c r="J120" s="732">
        <f t="shared" si="25"/>
        <v>1839749.8763305556</v>
      </c>
      <c r="K120" s="732">
        <f t="shared" si="25"/>
        <v>1507660.5215000003</v>
      </c>
      <c r="L120" s="732">
        <f t="shared" si="25"/>
        <v>1646563.0827701397</v>
      </c>
      <c r="M120" s="732">
        <f t="shared" si="25"/>
        <v>1280908.2924624993</v>
      </c>
      <c r="N120" s="732">
        <f t="shared" si="25"/>
        <v>1048501.8270722225</v>
      </c>
      <c r="O120" s="732">
        <f t="shared" si="25"/>
        <v>709740.74400000006</v>
      </c>
      <c r="P120" s="732">
        <f t="shared" si="17"/>
        <v>14853723.601430671</v>
      </c>
      <c r="Q120" s="732"/>
    </row>
    <row r="121" spans="1:17" x14ac:dyDescent="0.2">
      <c r="B121" s="709" t="s">
        <v>108</v>
      </c>
      <c r="C121" s="709">
        <v>86</v>
      </c>
      <c r="D121" s="732">
        <f t="shared" si="25"/>
        <v>208746.55599999998</v>
      </c>
      <c r="E121" s="732">
        <f t="shared" si="25"/>
        <v>193052.79699999999</v>
      </c>
      <c r="F121" s="732">
        <f t="shared" si="25"/>
        <v>349738.82313291577</v>
      </c>
      <c r="G121" s="732">
        <f t="shared" si="25"/>
        <v>748418.3316488011</v>
      </c>
      <c r="H121" s="732">
        <f t="shared" si="25"/>
        <v>1053160.6446488607</v>
      </c>
      <c r="I121" s="732">
        <f t="shared" si="25"/>
        <v>1238732.3062024668</v>
      </c>
      <c r="J121" s="732">
        <f t="shared" si="25"/>
        <v>1319052.7538689002</v>
      </c>
      <c r="K121" s="732">
        <f t="shared" si="25"/>
        <v>1018602.2858354169</v>
      </c>
      <c r="L121" s="732">
        <f t="shared" si="25"/>
        <v>1113296.7854760007</v>
      </c>
      <c r="M121" s="732">
        <f t="shared" si="25"/>
        <v>877696.23489003268</v>
      </c>
      <c r="N121" s="732">
        <f t="shared" si="25"/>
        <v>626879.27873361972</v>
      </c>
      <c r="O121" s="732">
        <f t="shared" si="25"/>
        <v>341695.03224332497</v>
      </c>
      <c r="P121" s="732">
        <f t="shared" si="17"/>
        <v>9089071.8296803404</v>
      </c>
      <c r="Q121" s="732"/>
    </row>
    <row r="122" spans="1:17" x14ac:dyDescent="0.2">
      <c r="B122" s="718" t="s">
        <v>265</v>
      </c>
      <c r="C122" s="718">
        <v>87</v>
      </c>
      <c r="D122" s="732">
        <f t="shared" si="25"/>
        <v>1205163.1340000001</v>
      </c>
      <c r="E122" s="732">
        <f t="shared" si="25"/>
        <v>1191232.98</v>
      </c>
      <c r="F122" s="732">
        <f t="shared" si="25"/>
        <v>1297454.0249999999</v>
      </c>
      <c r="G122" s="732">
        <f t="shared" si="25"/>
        <v>1954156.1827943334</v>
      </c>
      <c r="H122" s="732">
        <f t="shared" si="25"/>
        <v>2372659.1357875052</v>
      </c>
      <c r="I122" s="732">
        <f t="shared" si="25"/>
        <v>2759363.0271833334</v>
      </c>
      <c r="J122" s="732">
        <f t="shared" si="25"/>
        <v>2660893.212047223</v>
      </c>
      <c r="K122" s="732">
        <f t="shared" si="25"/>
        <v>2419309.425166667</v>
      </c>
      <c r="L122" s="732">
        <f t="shared" si="25"/>
        <v>2435102.1989916675</v>
      </c>
      <c r="M122" s="732">
        <f t="shared" si="25"/>
        <v>2110374.4265055545</v>
      </c>
      <c r="N122" s="732">
        <f t="shared" si="25"/>
        <v>1635960.537927778</v>
      </c>
      <c r="O122" s="732">
        <f t="shared" si="25"/>
        <v>1430551.095</v>
      </c>
      <c r="P122" s="732">
        <f t="shared" si="17"/>
        <v>23472219.380404059</v>
      </c>
      <c r="Q122" s="732"/>
    </row>
    <row r="123" spans="1:17" x14ac:dyDescent="0.2">
      <c r="B123" s="709" t="s">
        <v>535</v>
      </c>
      <c r="C123" s="719" t="s">
        <v>387</v>
      </c>
      <c r="D123" s="732">
        <f t="shared" ref="D123:O123" si="26">D108*D42</f>
        <v>76.98</v>
      </c>
      <c r="E123" s="732">
        <f t="shared" si="26"/>
        <v>27.25</v>
      </c>
      <c r="F123" s="732">
        <f t="shared" si="26"/>
        <v>231.45618290249993</v>
      </c>
      <c r="G123" s="732">
        <f t="shared" si="26"/>
        <v>1980.6509168667003</v>
      </c>
      <c r="H123" s="732">
        <f t="shared" si="26"/>
        <v>3340.4127663649833</v>
      </c>
      <c r="I123" s="732">
        <f t="shared" si="26"/>
        <v>4377.8945014111114</v>
      </c>
      <c r="J123" s="732">
        <f t="shared" si="26"/>
        <v>2627.7025658500002</v>
      </c>
      <c r="K123" s="732">
        <f t="shared" si="26"/>
        <v>3852.4195264166669</v>
      </c>
      <c r="L123" s="732">
        <f t="shared" si="26"/>
        <v>2824.0958210777785</v>
      </c>
      <c r="M123" s="732">
        <f t="shared" si="26"/>
        <v>2000.072557733333</v>
      </c>
      <c r="N123" s="732">
        <f t="shared" si="26"/>
        <v>653.12450639444455</v>
      </c>
      <c r="O123" s="732">
        <f t="shared" si="26"/>
        <v>37.518627625000008</v>
      </c>
      <c r="P123" s="732">
        <f t="shared" si="17"/>
        <v>22029.577972642517</v>
      </c>
      <c r="Q123" s="732"/>
    </row>
    <row r="124" spans="1:17" x14ac:dyDescent="0.2">
      <c r="B124" s="709" t="s">
        <v>104</v>
      </c>
      <c r="C124" s="709">
        <v>31</v>
      </c>
      <c r="D124" s="732">
        <f t="shared" ref="D124:O125" si="27">D109*D47</f>
        <v>395133.00599999999</v>
      </c>
      <c r="E124" s="732">
        <f t="shared" si="27"/>
        <v>415618.07</v>
      </c>
      <c r="F124" s="732">
        <f t="shared" si="27"/>
        <v>528876.40532386734</v>
      </c>
      <c r="G124" s="732">
        <f t="shared" si="27"/>
        <v>1002570.5431970749</v>
      </c>
      <c r="H124" s="732">
        <f t="shared" si="27"/>
        <v>1565742.5791902922</v>
      </c>
      <c r="I124" s="732">
        <f t="shared" si="27"/>
        <v>1968518.1811693562</v>
      </c>
      <c r="J124" s="732">
        <f t="shared" si="27"/>
        <v>2182470.9780308004</v>
      </c>
      <c r="K124" s="732">
        <f t="shared" si="27"/>
        <v>1762530.0983846672</v>
      </c>
      <c r="L124" s="732">
        <f t="shared" si="27"/>
        <v>1688866.483067157</v>
      </c>
      <c r="M124" s="732">
        <f t="shared" si="27"/>
        <v>1107521.8541113324</v>
      </c>
      <c r="N124" s="732">
        <f t="shared" si="27"/>
        <v>688066.15033634473</v>
      </c>
      <c r="O124" s="732">
        <f t="shared" si="27"/>
        <v>452279.61674187501</v>
      </c>
      <c r="P124" s="732">
        <f t="shared" si="17"/>
        <v>13758193.965552768</v>
      </c>
      <c r="Q124" s="732"/>
    </row>
    <row r="125" spans="1:17" s="739" customFormat="1" x14ac:dyDescent="0.2">
      <c r="A125" s="709"/>
      <c r="B125" s="718" t="s">
        <v>105</v>
      </c>
      <c r="C125" s="718">
        <v>41</v>
      </c>
      <c r="D125" s="732">
        <f t="shared" si="27"/>
        <v>715686.64599999995</v>
      </c>
      <c r="E125" s="732">
        <f t="shared" si="27"/>
        <v>723322.54399999999</v>
      </c>
      <c r="F125" s="732">
        <f t="shared" si="27"/>
        <v>721587.85899999994</v>
      </c>
      <c r="G125" s="732">
        <f t="shared" si="27"/>
        <v>893805.90293459292</v>
      </c>
      <c r="H125" s="732">
        <f t="shared" si="27"/>
        <v>900037.00395687518</v>
      </c>
      <c r="I125" s="732">
        <f t="shared" si="27"/>
        <v>967791.45736648887</v>
      </c>
      <c r="J125" s="732">
        <f t="shared" si="27"/>
        <v>979284.10775381129</v>
      </c>
      <c r="K125" s="732">
        <f t="shared" si="27"/>
        <v>886030.34358730563</v>
      </c>
      <c r="L125" s="732">
        <f t="shared" si="27"/>
        <v>920548.96862965578</v>
      </c>
      <c r="M125" s="732">
        <f t="shared" si="27"/>
        <v>819636.62209840002</v>
      </c>
      <c r="N125" s="732">
        <f t="shared" si="27"/>
        <v>727195.87270645006</v>
      </c>
      <c r="O125" s="732">
        <f t="shared" si="27"/>
        <v>208689.174</v>
      </c>
      <c r="P125" s="732">
        <f t="shared" si="17"/>
        <v>9463616.5020335801</v>
      </c>
      <c r="Q125" s="738"/>
    </row>
    <row r="126" spans="1:17" ht="15" x14ac:dyDescent="0.25">
      <c r="A126" s="739"/>
      <c r="B126" s="725" t="s">
        <v>270</v>
      </c>
      <c r="C126" s="740" t="s">
        <v>346</v>
      </c>
      <c r="D126" s="738">
        <f t="shared" ref="D126:O126" si="28">D111*D61</f>
        <v>1921334.9100000001</v>
      </c>
      <c r="E126" s="738">
        <f t="shared" si="28"/>
        <v>1869187.75</v>
      </c>
      <c r="F126" s="738">
        <f t="shared" si="28"/>
        <v>2009382.6104795441</v>
      </c>
      <c r="G126" s="738">
        <f t="shared" si="28"/>
        <v>3004825.9729260677</v>
      </c>
      <c r="H126" s="738">
        <f t="shared" si="28"/>
        <v>3809924.7517207661</v>
      </c>
      <c r="I126" s="738">
        <f t="shared" si="28"/>
        <v>4329460.1986111123</v>
      </c>
      <c r="J126" s="738">
        <f t="shared" si="28"/>
        <v>4378598.3768111113</v>
      </c>
      <c r="K126" s="738">
        <f t="shared" si="28"/>
        <v>3924099.8895694446</v>
      </c>
      <c r="L126" s="738">
        <f t="shared" si="28"/>
        <v>3817550.4852888915</v>
      </c>
      <c r="M126" s="738">
        <f t="shared" si="28"/>
        <v>3253044.1033999976</v>
      </c>
      <c r="N126" s="738">
        <f t="shared" si="28"/>
        <v>2670203.1353472224</v>
      </c>
      <c r="O126" s="738">
        <f t="shared" si="28"/>
        <v>2228392.6518999999</v>
      </c>
      <c r="P126" s="749">
        <f t="shared" si="17"/>
        <v>37216004.836054161</v>
      </c>
      <c r="Q126" s="738"/>
    </row>
    <row r="127" spans="1:17" x14ac:dyDescent="0.2">
      <c r="B127" s="709" t="s">
        <v>128</v>
      </c>
      <c r="C127" s="724"/>
      <c r="D127" s="750">
        <f t="shared" ref="D127:O127" si="29">SUM(D114:D126)</f>
        <v>32170176.373000003</v>
      </c>
      <c r="E127" s="750">
        <f t="shared" si="29"/>
        <v>31198947.054000005</v>
      </c>
      <c r="F127" s="750">
        <f t="shared" si="29"/>
        <v>42720060.238976665</v>
      </c>
      <c r="G127" s="750">
        <f t="shared" si="29"/>
        <v>79764079.040639967</v>
      </c>
      <c r="H127" s="750">
        <f t="shared" si="29"/>
        <v>118713087.10279313</v>
      </c>
      <c r="I127" s="750">
        <f t="shared" si="29"/>
        <v>143488053.67571861</v>
      </c>
      <c r="J127" s="750">
        <f t="shared" si="29"/>
        <v>152661207.13527939</v>
      </c>
      <c r="K127" s="750">
        <f t="shared" si="29"/>
        <v>123316917.7723808</v>
      </c>
      <c r="L127" s="750">
        <f t="shared" si="29"/>
        <v>124394636.76110621</v>
      </c>
      <c r="M127" s="750">
        <f t="shared" si="29"/>
        <v>87264604.432589635</v>
      </c>
      <c r="N127" s="750">
        <f t="shared" si="29"/>
        <v>59193211.646988705</v>
      </c>
      <c r="O127" s="750">
        <f t="shared" si="29"/>
        <v>38850868.341618478</v>
      </c>
      <c r="P127" s="732">
        <f t="shared" si="17"/>
        <v>1033735849.5750916</v>
      </c>
      <c r="Q127" s="732"/>
    </row>
    <row r="128" spans="1:17" s="718" customFormat="1" x14ac:dyDescent="0.2">
      <c r="A128" s="709"/>
      <c r="B128" s="709"/>
      <c r="C128" s="724"/>
      <c r="D128" s="732"/>
      <c r="E128" s="732"/>
      <c r="F128" s="732"/>
      <c r="G128" s="732"/>
      <c r="H128" s="732"/>
      <c r="I128" s="732"/>
      <c r="J128" s="732"/>
      <c r="K128" s="732"/>
      <c r="L128" s="732"/>
      <c r="M128" s="732"/>
      <c r="N128" s="732"/>
      <c r="O128" s="732"/>
      <c r="P128" s="732"/>
      <c r="Q128" s="721"/>
    </row>
    <row r="129" spans="1:17" s="718" customFormat="1" x14ac:dyDescent="0.2">
      <c r="B129" s="751" t="s">
        <v>218</v>
      </c>
      <c r="D129" s="721"/>
      <c r="E129" s="721"/>
      <c r="F129" s="721"/>
      <c r="G129" s="721"/>
      <c r="H129" s="721"/>
      <c r="I129" s="721"/>
      <c r="J129" s="721"/>
      <c r="K129" s="721"/>
      <c r="L129" s="721"/>
      <c r="M129" s="721"/>
      <c r="N129" s="721"/>
      <c r="O129" s="721"/>
      <c r="P129" s="721"/>
      <c r="Q129" s="721"/>
    </row>
    <row r="130" spans="1:17" s="718" customFormat="1" x14ac:dyDescent="0.2">
      <c r="B130" s="709" t="s">
        <v>72</v>
      </c>
      <c r="C130" s="719">
        <v>23</v>
      </c>
      <c r="D130" s="721">
        <f t="shared" ref="D130:O130" si="30">D114-D9</f>
        <v>0</v>
      </c>
      <c r="E130" s="721">
        <f t="shared" si="30"/>
        <v>0</v>
      </c>
      <c r="F130" s="721">
        <f t="shared" si="30"/>
        <v>1612737.2201452293</v>
      </c>
      <c r="G130" s="721">
        <f t="shared" si="30"/>
        <v>-250988.15269972384</v>
      </c>
      <c r="H130" s="721">
        <f t="shared" si="30"/>
        <v>1978705.2702488005</v>
      </c>
      <c r="I130" s="721">
        <f t="shared" si="30"/>
        <v>-3545106.2484840453</v>
      </c>
      <c r="J130" s="721">
        <f t="shared" si="30"/>
        <v>10349646.235481814</v>
      </c>
      <c r="K130" s="721">
        <f t="shared" si="30"/>
        <v>-5801929.3138459921</v>
      </c>
      <c r="L130" s="721">
        <f t="shared" si="30"/>
        <v>302564.95149619877</v>
      </c>
      <c r="M130" s="721">
        <f t="shared" si="30"/>
        <v>2336261.0261973441</v>
      </c>
      <c r="N130" s="721">
        <f t="shared" si="30"/>
        <v>7375270.5608480088</v>
      </c>
      <c r="O130" s="721">
        <f t="shared" si="30"/>
        <v>1432745.9976984002</v>
      </c>
      <c r="P130" s="721">
        <f>SUM(D130:O130)</f>
        <v>15789907.547086034</v>
      </c>
      <c r="Q130" s="721"/>
    </row>
    <row r="131" spans="1:17" s="718" customFormat="1" x14ac:dyDescent="0.2">
      <c r="B131" s="718" t="s">
        <v>101</v>
      </c>
      <c r="C131" s="724">
        <v>31</v>
      </c>
      <c r="D131" s="721">
        <f t="shared" ref="D131:O132" si="31">D115-D11</f>
        <v>0</v>
      </c>
      <c r="E131" s="721">
        <f t="shared" si="31"/>
        <v>0</v>
      </c>
      <c r="F131" s="721">
        <f t="shared" si="31"/>
        <v>0</v>
      </c>
      <c r="G131" s="721">
        <f t="shared" si="31"/>
        <v>-49132.243670521304</v>
      </c>
      <c r="H131" s="721">
        <f t="shared" si="31"/>
        <v>469996.41835189238</v>
      </c>
      <c r="I131" s="721">
        <f t="shared" si="31"/>
        <v>-926322.31178950891</v>
      </c>
      <c r="J131" s="721">
        <f t="shared" si="31"/>
        <v>2725526.7334442809</v>
      </c>
      <c r="K131" s="721">
        <f t="shared" si="31"/>
        <v>-1461243.7829480208</v>
      </c>
      <c r="L131" s="721">
        <f t="shared" si="31"/>
        <v>75908.50943941623</v>
      </c>
      <c r="M131" s="721">
        <f t="shared" si="31"/>
        <v>524494.81463926658</v>
      </c>
      <c r="N131" s="721">
        <f t="shared" si="31"/>
        <v>1385955.62272273</v>
      </c>
      <c r="O131" s="721">
        <f t="shared" si="31"/>
        <v>0</v>
      </c>
      <c r="P131" s="721">
        <f t="shared" ref="P131:P143" si="32">SUM(D131:O131)</f>
        <v>2745183.7601895351</v>
      </c>
      <c r="Q131" s="721"/>
    </row>
    <row r="132" spans="1:17" s="718" customFormat="1" x14ac:dyDescent="0.2">
      <c r="B132" s="718" t="s">
        <v>102</v>
      </c>
      <c r="C132" s="718">
        <v>41</v>
      </c>
      <c r="D132" s="721">
        <f t="shared" si="31"/>
        <v>0</v>
      </c>
      <c r="E132" s="721">
        <f t="shared" si="31"/>
        <v>0</v>
      </c>
      <c r="F132" s="721">
        <f t="shared" si="31"/>
        <v>83451.935712198727</v>
      </c>
      <c r="G132" s="721">
        <f t="shared" si="31"/>
        <v>-13619.737042303197</v>
      </c>
      <c r="H132" s="721">
        <f t="shared" si="31"/>
        <v>100335.63231131621</v>
      </c>
      <c r="I132" s="721">
        <f t="shared" si="31"/>
        <v>-181593.14883248787</v>
      </c>
      <c r="J132" s="721">
        <f t="shared" si="31"/>
        <v>538828.02042714506</v>
      </c>
      <c r="K132" s="721">
        <f t="shared" si="31"/>
        <v>-292406.89414833207</v>
      </c>
      <c r="L132" s="721">
        <f t="shared" si="31"/>
        <v>17234.839983079582</v>
      </c>
      <c r="M132" s="721">
        <f t="shared" si="31"/>
        <v>133095.68600166403</v>
      </c>
      <c r="N132" s="721">
        <f t="shared" si="31"/>
        <v>493546.36856280081</v>
      </c>
      <c r="O132" s="721">
        <f t="shared" si="31"/>
        <v>114406.85872000013</v>
      </c>
      <c r="P132" s="721">
        <f t="shared" si="32"/>
        <v>993279.56169508141</v>
      </c>
      <c r="Q132" s="721"/>
    </row>
    <row r="133" spans="1:17" s="718" customFormat="1" x14ac:dyDescent="0.2">
      <c r="B133" s="709" t="s">
        <v>259</v>
      </c>
      <c r="C133" s="724" t="s">
        <v>236</v>
      </c>
      <c r="D133" s="721">
        <f t="shared" ref="D133:O135" si="33">D117-D23</f>
        <v>0</v>
      </c>
      <c r="E133" s="721">
        <f t="shared" si="33"/>
        <v>0</v>
      </c>
      <c r="F133" s="721">
        <f t="shared" si="33"/>
        <v>0</v>
      </c>
      <c r="G133" s="721">
        <f t="shared" si="33"/>
        <v>-1154.9102815375663</v>
      </c>
      <c r="H133" s="721">
        <f t="shared" si="33"/>
        <v>7534.3560298057273</v>
      </c>
      <c r="I133" s="721">
        <f t="shared" si="33"/>
        <v>-14812.688859999878</v>
      </c>
      <c r="J133" s="721">
        <f t="shared" si="33"/>
        <v>45444.515849211253</v>
      </c>
      <c r="K133" s="721">
        <f t="shared" si="33"/>
        <v>-24527.271445111139</v>
      </c>
      <c r="L133" s="721">
        <f t="shared" si="33"/>
        <v>1641.4171578448731</v>
      </c>
      <c r="M133" s="721">
        <f t="shared" si="33"/>
        <v>11023.833773333114</v>
      </c>
      <c r="N133" s="721">
        <f t="shared" si="33"/>
        <v>31592.199304125039</v>
      </c>
      <c r="O133" s="721">
        <f t="shared" si="33"/>
        <v>0</v>
      </c>
      <c r="P133" s="721">
        <f t="shared" si="32"/>
        <v>56741.451527671423</v>
      </c>
      <c r="Q133" s="721"/>
    </row>
    <row r="134" spans="1:17" s="718" customFormat="1" x14ac:dyDescent="0.2">
      <c r="B134" s="709" t="s">
        <v>260</v>
      </c>
      <c r="C134" s="724" t="s">
        <v>231</v>
      </c>
      <c r="D134" s="721">
        <f t="shared" si="33"/>
        <v>0</v>
      </c>
      <c r="E134" s="721">
        <f t="shared" si="33"/>
        <v>0</v>
      </c>
      <c r="F134" s="721">
        <f t="shared" si="33"/>
        <v>0</v>
      </c>
      <c r="G134" s="721">
        <f t="shared" si="33"/>
        <v>-2038.4594439256471</v>
      </c>
      <c r="H134" s="721">
        <f t="shared" si="33"/>
        <v>13372.328193003777</v>
      </c>
      <c r="I134" s="721">
        <f t="shared" si="33"/>
        <v>-27321.234350666404</v>
      </c>
      <c r="J134" s="721">
        <f t="shared" si="33"/>
        <v>80658.56942366669</v>
      </c>
      <c r="K134" s="721">
        <f t="shared" si="33"/>
        <v>-31232.019793333253</v>
      </c>
      <c r="L134" s="721">
        <f t="shared" si="33"/>
        <v>2425.8263617502525</v>
      </c>
      <c r="M134" s="721">
        <f t="shared" si="33"/>
        <v>18404.69219416636</v>
      </c>
      <c r="N134" s="721">
        <f t="shared" si="33"/>
        <v>75780.874172666809</v>
      </c>
      <c r="O134" s="721">
        <f t="shared" si="33"/>
        <v>19482.604127250146</v>
      </c>
      <c r="P134" s="721">
        <f t="shared" si="32"/>
        <v>149533.18088457873</v>
      </c>
      <c r="Q134" s="721"/>
    </row>
    <row r="135" spans="1:17" s="718" customFormat="1" x14ac:dyDescent="0.2">
      <c r="B135" s="709" t="s">
        <v>263</v>
      </c>
      <c r="C135" s="724" t="s">
        <v>232</v>
      </c>
      <c r="D135" s="721">
        <f t="shared" si="33"/>
        <v>0</v>
      </c>
      <c r="E135" s="721">
        <f t="shared" si="33"/>
        <v>0</v>
      </c>
      <c r="F135" s="721">
        <f t="shared" si="33"/>
        <v>0</v>
      </c>
      <c r="G135" s="721">
        <f t="shared" si="33"/>
        <v>-2789.2480173998047</v>
      </c>
      <c r="H135" s="721">
        <f t="shared" si="33"/>
        <v>23969.140514496481</v>
      </c>
      <c r="I135" s="721">
        <f t="shared" si="33"/>
        <v>-48393.009843332926</v>
      </c>
      <c r="J135" s="721">
        <f t="shared" si="33"/>
        <v>141366.42824500031</v>
      </c>
      <c r="K135" s="721">
        <f t="shared" si="33"/>
        <v>-69394.240008332999</v>
      </c>
      <c r="L135" s="721">
        <f t="shared" si="33"/>
        <v>4134.0866233343259</v>
      </c>
      <c r="M135" s="721">
        <f t="shared" si="33"/>
        <v>32708.84475833294</v>
      </c>
      <c r="N135" s="721">
        <f t="shared" si="33"/>
        <v>133235.27574833366</v>
      </c>
      <c r="O135" s="721">
        <f t="shared" si="33"/>
        <v>26218.906560000032</v>
      </c>
      <c r="P135" s="721">
        <f t="shared" si="32"/>
        <v>241056.18458043202</v>
      </c>
      <c r="Q135" s="721"/>
    </row>
    <row r="136" spans="1:17" s="718" customFormat="1" x14ac:dyDescent="0.2">
      <c r="B136" s="718" t="s">
        <v>103</v>
      </c>
      <c r="C136" s="718">
        <v>85</v>
      </c>
      <c r="D136" s="721">
        <f t="shared" ref="D136:O138" si="34">D120-D14</f>
        <v>0</v>
      </c>
      <c r="E136" s="721">
        <f t="shared" si="34"/>
        <v>0</v>
      </c>
      <c r="F136" s="721">
        <f t="shared" si="34"/>
        <v>0</v>
      </c>
      <c r="G136" s="721">
        <f t="shared" si="34"/>
        <v>-3357.6916223496664</v>
      </c>
      <c r="H136" s="721">
        <f t="shared" si="34"/>
        <v>23354.762073158054</v>
      </c>
      <c r="I136" s="721">
        <f t="shared" si="34"/>
        <v>-42424.168155555148</v>
      </c>
      <c r="J136" s="721">
        <f t="shared" si="34"/>
        <v>129233.93733055564</v>
      </c>
      <c r="K136" s="721">
        <f t="shared" si="34"/>
        <v>-72076.016499999911</v>
      </c>
      <c r="L136" s="721">
        <f t="shared" si="34"/>
        <v>4303.9467701397371</v>
      </c>
      <c r="M136" s="721">
        <f t="shared" si="34"/>
        <v>37253.156462499406</v>
      </c>
      <c r="N136" s="721">
        <f t="shared" si="34"/>
        <v>128266.94107222243</v>
      </c>
      <c r="O136" s="721">
        <f t="shared" si="34"/>
        <v>0</v>
      </c>
      <c r="P136" s="721">
        <f t="shared" si="32"/>
        <v>204554.86743067054</v>
      </c>
      <c r="Q136" s="721"/>
    </row>
    <row r="137" spans="1:17" s="718" customFormat="1" x14ac:dyDescent="0.2">
      <c r="B137" s="718" t="s">
        <v>108</v>
      </c>
      <c r="C137" s="718">
        <v>86</v>
      </c>
      <c r="D137" s="721">
        <f t="shared" si="34"/>
        <v>0</v>
      </c>
      <c r="E137" s="721">
        <f t="shared" si="34"/>
        <v>0</v>
      </c>
      <c r="F137" s="721">
        <f t="shared" si="34"/>
        <v>29451.096132915758</v>
      </c>
      <c r="G137" s="721">
        <f t="shared" si="34"/>
        <v>-3921.6523511989508</v>
      </c>
      <c r="H137" s="721">
        <f t="shared" si="34"/>
        <v>26133.256648860639</v>
      </c>
      <c r="I137" s="721">
        <f t="shared" si="34"/>
        <v>-43793.732797533041</v>
      </c>
      <c r="J137" s="721">
        <f t="shared" si="34"/>
        <v>132309.34486890025</v>
      </c>
      <c r="K137" s="721">
        <f t="shared" si="34"/>
        <v>-78143.672164583229</v>
      </c>
      <c r="L137" s="721">
        <f t="shared" si="34"/>
        <v>4525.6234760007355</v>
      </c>
      <c r="M137" s="721">
        <f t="shared" si="34"/>
        <v>38802.506890032557</v>
      </c>
      <c r="N137" s="721">
        <f t="shared" si="34"/>
        <v>149640.25573361968</v>
      </c>
      <c r="O137" s="721">
        <f t="shared" si="34"/>
        <v>33843.728243324964</v>
      </c>
      <c r="P137" s="721">
        <f t="shared" si="32"/>
        <v>288846.75468033936</v>
      </c>
      <c r="Q137" s="721"/>
    </row>
    <row r="138" spans="1:17" s="718" customFormat="1" x14ac:dyDescent="0.2">
      <c r="B138" s="718" t="s">
        <v>265</v>
      </c>
      <c r="C138" s="718">
        <v>87</v>
      </c>
      <c r="D138" s="721">
        <f t="shared" si="34"/>
        <v>0</v>
      </c>
      <c r="E138" s="721">
        <f t="shared" si="34"/>
        <v>0</v>
      </c>
      <c r="F138" s="721">
        <f t="shared" si="34"/>
        <v>0</v>
      </c>
      <c r="G138" s="721">
        <f t="shared" si="34"/>
        <v>-4170.7142056664452</v>
      </c>
      <c r="H138" s="721">
        <f t="shared" si="34"/>
        <v>30786.784787505399</v>
      </c>
      <c r="I138" s="721">
        <f t="shared" si="34"/>
        <v>-58114.454816666432</v>
      </c>
      <c r="J138" s="721">
        <f t="shared" si="34"/>
        <v>172819.80504722288</v>
      </c>
      <c r="K138" s="721">
        <f t="shared" si="34"/>
        <v>-86736.336833333131</v>
      </c>
      <c r="L138" s="721">
        <f t="shared" si="34"/>
        <v>5157.8219916676171</v>
      </c>
      <c r="M138" s="721">
        <f t="shared" si="34"/>
        <v>44123.510505554499</v>
      </c>
      <c r="N138" s="721">
        <f t="shared" si="34"/>
        <v>150250.33592777792</v>
      </c>
      <c r="O138" s="721">
        <f t="shared" si="34"/>
        <v>0</v>
      </c>
      <c r="P138" s="721">
        <f t="shared" si="32"/>
        <v>254116.75240406231</v>
      </c>
      <c r="Q138" s="721"/>
    </row>
    <row r="139" spans="1:17" s="718" customFormat="1" x14ac:dyDescent="0.2">
      <c r="B139" s="709" t="s">
        <v>535</v>
      </c>
      <c r="C139" s="719" t="s">
        <v>387</v>
      </c>
      <c r="D139" s="721">
        <f t="shared" ref="D139:O139" si="35">D123-D13</f>
        <v>0</v>
      </c>
      <c r="E139" s="721">
        <f t="shared" si="35"/>
        <v>0</v>
      </c>
      <c r="F139" s="721">
        <f t="shared" si="35"/>
        <v>12.586182902499928</v>
      </c>
      <c r="G139" s="721">
        <f t="shared" si="35"/>
        <v>-1.9790831332998096</v>
      </c>
      <c r="H139" s="721">
        <f t="shared" si="35"/>
        <v>16.652766364983108</v>
      </c>
      <c r="I139" s="721">
        <f t="shared" si="35"/>
        <v>-32.315498588888659</v>
      </c>
      <c r="J139" s="721">
        <f t="shared" si="35"/>
        <v>96.832565850000265</v>
      </c>
      <c r="K139" s="721">
        <f t="shared" si="35"/>
        <v>-53.560473583333078</v>
      </c>
      <c r="L139" s="721">
        <f t="shared" si="35"/>
        <v>2.7558210777783643</v>
      </c>
      <c r="M139" s="721">
        <f t="shared" si="35"/>
        <v>19.422557733332951</v>
      </c>
      <c r="N139" s="721">
        <f t="shared" si="35"/>
        <v>57.214506394444584</v>
      </c>
      <c r="O139" s="721">
        <f t="shared" si="35"/>
        <v>10.078627625000006</v>
      </c>
      <c r="P139" s="721">
        <f t="shared" si="32"/>
        <v>127.68797264251766</v>
      </c>
      <c r="Q139" s="721"/>
    </row>
    <row r="140" spans="1:17" s="718" customFormat="1" x14ac:dyDescent="0.2">
      <c r="B140" s="718" t="s">
        <v>104</v>
      </c>
      <c r="C140" s="718">
        <v>31</v>
      </c>
      <c r="D140" s="721">
        <f t="shared" ref="D140:O141" si="36">D124-D17</f>
        <v>0</v>
      </c>
      <c r="E140" s="721">
        <f t="shared" si="36"/>
        <v>0</v>
      </c>
      <c r="F140" s="721">
        <f t="shared" si="36"/>
        <v>28029.429323867313</v>
      </c>
      <c r="G140" s="721">
        <f t="shared" si="36"/>
        <v>-4423.2508029250894</v>
      </c>
      <c r="H140" s="721">
        <f t="shared" si="36"/>
        <v>37335.502190292114</v>
      </c>
      <c r="I140" s="721">
        <f t="shared" si="36"/>
        <v>-72580.609830643982</v>
      </c>
      <c r="J140" s="721">
        <f t="shared" si="36"/>
        <v>217679.60803080024</v>
      </c>
      <c r="K140" s="721">
        <f t="shared" si="36"/>
        <v>-120403.94461533288</v>
      </c>
      <c r="L140" s="721">
        <f t="shared" si="36"/>
        <v>6206.1090671569109</v>
      </c>
      <c r="M140" s="721">
        <f t="shared" si="36"/>
        <v>43603.642111332389</v>
      </c>
      <c r="N140" s="721">
        <f t="shared" si="36"/>
        <v>128274.92333634477</v>
      </c>
      <c r="O140" s="721">
        <f t="shared" si="36"/>
        <v>22525.732741874992</v>
      </c>
      <c r="P140" s="721">
        <f t="shared" si="32"/>
        <v>286247.14155276679</v>
      </c>
      <c r="Q140" s="721"/>
    </row>
    <row r="141" spans="1:17" s="725" customFormat="1" x14ac:dyDescent="0.2">
      <c r="A141" s="718"/>
      <c r="B141" s="718" t="s">
        <v>105</v>
      </c>
      <c r="C141" s="718">
        <v>41</v>
      </c>
      <c r="D141" s="721">
        <f t="shared" si="36"/>
        <v>0</v>
      </c>
      <c r="E141" s="721">
        <f t="shared" si="36"/>
        <v>0</v>
      </c>
      <c r="F141" s="721">
        <f t="shared" si="36"/>
        <v>0</v>
      </c>
      <c r="G141" s="721">
        <f t="shared" si="36"/>
        <v>-1212.4000654071569</v>
      </c>
      <c r="H141" s="721">
        <f t="shared" si="36"/>
        <v>6173.569956875057</v>
      </c>
      <c r="I141" s="721">
        <f t="shared" si="36"/>
        <v>-10529.495633511106</v>
      </c>
      <c r="J141" s="721">
        <f t="shared" si="36"/>
        <v>32848.186753811315</v>
      </c>
      <c r="K141" s="721">
        <f t="shared" si="36"/>
        <v>-15047.679412694415</v>
      </c>
      <c r="L141" s="721">
        <f t="shared" si="36"/>
        <v>1294.3416296557989</v>
      </c>
      <c r="M141" s="721">
        <f t="shared" si="36"/>
        <v>8190.5620983999688</v>
      </c>
      <c r="N141" s="721">
        <f t="shared" si="36"/>
        <v>27078.713706450071</v>
      </c>
      <c r="O141" s="721">
        <f t="shared" si="36"/>
        <v>0</v>
      </c>
      <c r="P141" s="721">
        <f t="shared" si="32"/>
        <v>48795.799033579533</v>
      </c>
      <c r="Q141" s="729"/>
    </row>
    <row r="142" spans="1:17" s="718" customFormat="1" ht="15" x14ac:dyDescent="0.25">
      <c r="A142" s="725"/>
      <c r="B142" s="725" t="s">
        <v>270</v>
      </c>
      <c r="C142" s="740" t="s">
        <v>346</v>
      </c>
      <c r="D142" s="729">
        <f t="shared" ref="D142:O142" si="37">D126-D30</f>
        <v>0</v>
      </c>
      <c r="E142" s="729">
        <f t="shared" si="37"/>
        <v>0</v>
      </c>
      <c r="F142" s="729">
        <f t="shared" si="37"/>
        <v>66188.620479544159</v>
      </c>
      <c r="G142" s="729">
        <f t="shared" si="37"/>
        <v>-9685.5870739324018</v>
      </c>
      <c r="H142" s="729">
        <f t="shared" si="37"/>
        <v>64662.131720765959</v>
      </c>
      <c r="I142" s="729">
        <f t="shared" si="37"/>
        <v>-107118.21138888784</v>
      </c>
      <c r="J142" s="729">
        <f t="shared" si="37"/>
        <v>346170.63681111159</v>
      </c>
      <c r="K142" s="729">
        <f t="shared" si="37"/>
        <v>-190798.38043055497</v>
      </c>
      <c r="L142" s="729">
        <f t="shared" si="37"/>
        <v>11139.555288891308</v>
      </c>
      <c r="M142" s="729">
        <f t="shared" si="37"/>
        <v>96675.693399997894</v>
      </c>
      <c r="N142" s="729">
        <f t="shared" si="37"/>
        <v>352801.09534722241</v>
      </c>
      <c r="O142" s="729">
        <f t="shared" si="37"/>
        <v>91507.601900000125</v>
      </c>
      <c r="P142" s="728">
        <f t="shared" si="32"/>
        <v>721543.15605415823</v>
      </c>
      <c r="Q142" s="729"/>
    </row>
    <row r="143" spans="1:17" s="718" customFormat="1" x14ac:dyDescent="0.2">
      <c r="B143" s="718" t="s">
        <v>129</v>
      </c>
      <c r="C143" s="719"/>
      <c r="D143" s="730">
        <f t="shared" ref="D143:O143" si="38">SUM(D130:D142)</f>
        <v>0</v>
      </c>
      <c r="E143" s="730">
        <f t="shared" si="38"/>
        <v>0</v>
      </c>
      <c r="F143" s="730">
        <f t="shared" si="38"/>
        <v>1819870.8879766576</v>
      </c>
      <c r="G143" s="730">
        <f t="shared" si="38"/>
        <v>-346496.02636002435</v>
      </c>
      <c r="H143" s="730">
        <f t="shared" si="38"/>
        <v>2782375.8057931373</v>
      </c>
      <c r="I143" s="730">
        <f t="shared" si="38"/>
        <v>-5078141.6302814269</v>
      </c>
      <c r="J143" s="730">
        <f t="shared" si="38"/>
        <v>14912628.854279367</v>
      </c>
      <c r="K143" s="730">
        <f t="shared" si="38"/>
        <v>-8243993.1126192044</v>
      </c>
      <c r="L143" s="730">
        <f t="shared" si="38"/>
        <v>436539.78510621394</v>
      </c>
      <c r="M143" s="730">
        <f t="shared" si="38"/>
        <v>3324657.3915896569</v>
      </c>
      <c r="N143" s="730">
        <f t="shared" si="38"/>
        <v>10431750.380988697</v>
      </c>
      <c r="O143" s="730">
        <f t="shared" si="38"/>
        <v>1740741.5086184754</v>
      </c>
      <c r="P143" s="721">
        <f t="shared" si="32"/>
        <v>21779933.845091544</v>
      </c>
      <c r="Q143" s="752"/>
    </row>
    <row r="144" spans="1:17" s="718" customFormat="1" x14ac:dyDescent="0.2">
      <c r="B144" s="718" t="s">
        <v>123</v>
      </c>
      <c r="C144" s="719"/>
      <c r="D144" s="742">
        <f t="shared" ref="D144:O144" si="39">IFERROR(D143/D31,0)</f>
        <v>0</v>
      </c>
      <c r="E144" s="742">
        <f t="shared" si="39"/>
        <v>0</v>
      </c>
      <c r="F144" s="742">
        <f t="shared" si="39"/>
        <v>3.3958520352696871E-2</v>
      </c>
      <c r="G144" s="742">
        <f t="shared" si="39"/>
        <v>-3.7072958643154966E-3</v>
      </c>
      <c r="H144" s="742">
        <f t="shared" si="39"/>
        <v>2.1838351508207694E-2</v>
      </c>
      <c r="I144" s="742">
        <f t="shared" si="39"/>
        <v>-3.1415094925637481E-2</v>
      </c>
      <c r="J144" s="742">
        <f t="shared" si="39"/>
        <v>9.9857179787548295E-2</v>
      </c>
      <c r="K144" s="742">
        <f t="shared" si="39"/>
        <v>-5.7504365870454439E-2</v>
      </c>
      <c r="L144" s="742">
        <f t="shared" si="39"/>
        <v>3.1777382049537383E-3</v>
      </c>
      <c r="M144" s="742">
        <f t="shared" si="39"/>
        <v>3.4763531893776171E-2</v>
      </c>
      <c r="N144" s="742">
        <f t="shared" si="39"/>
        <v>0.17215570633871652</v>
      </c>
      <c r="O144" s="742">
        <f t="shared" si="39"/>
        <v>3.5946046897907244E-2</v>
      </c>
      <c r="P144" s="742">
        <f t="shared" ref="P144" si="40">SUM(D144:L144)</f>
        <v>6.6205033192999169E-2</v>
      </c>
      <c r="Q144" s="752"/>
    </row>
    <row r="145" spans="2:18" s="718" customFormat="1" x14ac:dyDescent="0.2">
      <c r="C145" s="719"/>
      <c r="D145" s="752"/>
      <c r="E145" s="752"/>
      <c r="F145" s="752"/>
      <c r="G145" s="752"/>
      <c r="H145" s="752"/>
      <c r="I145" s="752"/>
      <c r="J145" s="752"/>
      <c r="K145" s="752"/>
      <c r="L145" s="752"/>
      <c r="M145" s="752"/>
      <c r="N145" s="752"/>
      <c r="O145" s="752"/>
      <c r="P145" s="752"/>
      <c r="Q145" s="752"/>
    </row>
    <row r="146" spans="2:18" s="718" customFormat="1" x14ac:dyDescent="0.2">
      <c r="B146" s="751" t="s">
        <v>219</v>
      </c>
      <c r="C146" s="719"/>
      <c r="D146" s="752"/>
      <c r="E146" s="752"/>
      <c r="F146" s="752"/>
      <c r="G146" s="752"/>
      <c r="H146" s="752"/>
      <c r="I146" s="752"/>
      <c r="J146" s="752"/>
      <c r="K146" s="752"/>
      <c r="L146" s="752"/>
      <c r="M146" s="752"/>
      <c r="N146" s="752"/>
      <c r="O146" s="752"/>
      <c r="P146" s="752"/>
      <c r="Q146" s="721"/>
    </row>
    <row r="147" spans="2:18" s="718" customFormat="1" x14ac:dyDescent="0.2">
      <c r="B147" s="718" t="s">
        <v>124</v>
      </c>
      <c r="C147" s="719"/>
      <c r="D147" s="741">
        <f>SystemWeatherAdj!$AV$15</f>
        <v>0</v>
      </c>
      <c r="E147" s="741">
        <f>SystemWeatherAdj!$AV$16</f>
        <v>0</v>
      </c>
      <c r="F147" s="741">
        <f>SystemWeatherAdj!$AV$17</f>
        <v>1811812.5051385127</v>
      </c>
      <c r="G147" s="741">
        <f>SystemWeatherAdj!$AV$18</f>
        <v>-347119.28372423351</v>
      </c>
      <c r="H147" s="741">
        <f>SystemWeatherAdj!$AV$19</f>
        <v>3646431.0186053962</v>
      </c>
      <c r="I147" s="741">
        <f>SystemWeatherAdj!$AV$20</f>
        <v>-4961286.0856280923</v>
      </c>
      <c r="J147" s="741">
        <f>SystemWeatherAdj!$AV$21</f>
        <v>16245071.132224679</v>
      </c>
      <c r="K147" s="741">
        <f>SystemWeatherAdj!$AV$22</f>
        <v>-10094133.903440788</v>
      </c>
      <c r="L147" s="741">
        <f>SystemWeatherAdj!$AV$23</f>
        <v>630373.3332798481</v>
      </c>
      <c r="M147" s="741">
        <f>SystemWeatherAdj!$AV$24</f>
        <v>3139156.0031094402</v>
      </c>
      <c r="N147" s="741">
        <f>SystemWeatherAdj!$AV$25</f>
        <v>8688222.5962853134</v>
      </c>
      <c r="O147" s="741">
        <f>SystemWeatherAdj!$AV$26</f>
        <v>1709352.0919530019</v>
      </c>
      <c r="P147" s="721">
        <f>SUM(D147:O147)</f>
        <v>20467879.407803077</v>
      </c>
      <c r="Q147" s="721"/>
    </row>
    <row r="148" spans="2:18" s="718" customFormat="1" x14ac:dyDescent="0.2">
      <c r="B148" s="718" t="s">
        <v>125</v>
      </c>
      <c r="C148" s="719"/>
      <c r="D148" s="741">
        <f>SystemWeatherAdj!$AW$15</f>
        <v>0</v>
      </c>
      <c r="E148" s="741">
        <f>SystemWeatherAdj!$AW$16</f>
        <v>0</v>
      </c>
      <c r="F148" s="741">
        <f>SystemWeatherAdj!$AW$17</f>
        <v>0</v>
      </c>
      <c r="G148" s="741">
        <f>SystemWeatherAdj!$AW$18</f>
        <v>-4020.0455273543485</v>
      </c>
      <c r="H148" s="741">
        <f>SystemWeatherAdj!$AW$19</f>
        <v>10896.43266033195</v>
      </c>
      <c r="I148" s="741">
        <f>SystemWeatherAdj!$AW$20</f>
        <v>0</v>
      </c>
      <c r="J148" s="741">
        <f>SystemWeatherAdj!$AW$21</f>
        <v>236312.47551807761</v>
      </c>
      <c r="K148" s="741">
        <f>SystemWeatherAdj!$AW$22</f>
        <v>-142539.83520227671</v>
      </c>
      <c r="L148" s="741">
        <f>SystemWeatherAdj!$AW$23</f>
        <v>5630.268187135458</v>
      </c>
      <c r="M148" s="741">
        <f>SystemWeatherAdj!$AW$24</f>
        <v>22930.327251821756</v>
      </c>
      <c r="N148" s="741">
        <f>SystemWeatherAdj!$AW$25</f>
        <v>0</v>
      </c>
      <c r="O148" s="741">
        <f>SystemWeatherAdj!$AW$26</f>
        <v>0</v>
      </c>
      <c r="P148" s="721">
        <f t="shared" ref="P148:P149" si="41">SUM(D148:O148)</f>
        <v>129209.62288773572</v>
      </c>
      <c r="Q148" s="721"/>
    </row>
    <row r="149" spans="2:18" s="718" customFormat="1" x14ac:dyDescent="0.2">
      <c r="B149" s="718" t="s">
        <v>126</v>
      </c>
      <c r="C149" s="719"/>
      <c r="D149" s="741">
        <f>SystemWeatherAdj!$AX$15</f>
        <v>0</v>
      </c>
      <c r="E149" s="741">
        <f>SystemWeatherAdj!$AX$16</f>
        <v>0</v>
      </c>
      <c r="F149" s="741">
        <f>SystemWeatherAdj!$AX$17</f>
        <v>125813.081255503</v>
      </c>
      <c r="G149" s="741">
        <f>SystemWeatherAdj!$AX$18</f>
        <v>-12360.879142869264</v>
      </c>
      <c r="H149" s="741">
        <f>SystemWeatherAdj!$AX$19</f>
        <v>150204.909042079</v>
      </c>
      <c r="I149" s="741">
        <f>SystemWeatherAdj!$AX$20</f>
        <v>-154389.95157866925</v>
      </c>
      <c r="J149" s="741">
        <f>SystemWeatherAdj!$AX$21</f>
        <v>728746.42588699982</v>
      </c>
      <c r="K149" s="741">
        <f>SystemWeatherAdj!$AX$22</f>
        <v>-409771.28147083148</v>
      </c>
      <c r="L149" s="741">
        <f>SystemWeatherAdj!$AX$23</f>
        <v>12863.452807337046</v>
      </c>
      <c r="M149" s="741">
        <f>SystemWeatherAdj!$AX$24</f>
        <v>180403.77861916646</v>
      </c>
      <c r="N149" s="741">
        <f>SystemWeatherAdj!$AX$25</f>
        <v>488124.25953488797</v>
      </c>
      <c r="O149" s="741">
        <f>SystemWeatherAdj!$AX$26</f>
        <v>130561.97256299853</v>
      </c>
      <c r="P149" s="721">
        <f t="shared" si="41"/>
        <v>1240195.7675166018</v>
      </c>
      <c r="Q149" s="729"/>
    </row>
    <row r="150" spans="2:18" s="718" customFormat="1" x14ac:dyDescent="0.2">
      <c r="B150" s="718" t="s">
        <v>129</v>
      </c>
      <c r="C150" s="719"/>
      <c r="D150" s="730">
        <f t="shared" ref="D150:H150" si="42">SUM(D147:D149)</f>
        <v>0</v>
      </c>
      <c r="E150" s="730">
        <f t="shared" si="42"/>
        <v>0</v>
      </c>
      <c r="F150" s="730">
        <f t="shared" si="42"/>
        <v>1937625.5863940157</v>
      </c>
      <c r="G150" s="730">
        <f t="shared" si="42"/>
        <v>-363500.20839445712</v>
      </c>
      <c r="H150" s="730">
        <f t="shared" si="42"/>
        <v>3807532.3603078071</v>
      </c>
      <c r="I150" s="730">
        <f>SUM(I147:I149)</f>
        <v>-5115676.0372067615</v>
      </c>
      <c r="J150" s="730">
        <f t="shared" ref="J150:O150" si="43">SUM(J147:J149)</f>
        <v>17210130.033629756</v>
      </c>
      <c r="K150" s="730">
        <f t="shared" si="43"/>
        <v>-10646445.020113897</v>
      </c>
      <c r="L150" s="730">
        <f t="shared" si="43"/>
        <v>648867.0542743206</v>
      </c>
      <c r="M150" s="730">
        <f t="shared" si="43"/>
        <v>3342490.1089804284</v>
      </c>
      <c r="N150" s="730">
        <f t="shared" si="43"/>
        <v>9176346.8558202013</v>
      </c>
      <c r="O150" s="730">
        <f t="shared" si="43"/>
        <v>1839914.0645160004</v>
      </c>
      <c r="P150" s="730">
        <f>SUM(D150:O150)</f>
        <v>21837284.798207417</v>
      </c>
      <c r="Q150" s="752"/>
    </row>
    <row r="151" spans="2:18" s="718" customFormat="1" x14ac:dyDescent="0.2">
      <c r="C151" s="719"/>
      <c r="D151" s="752"/>
      <c r="E151" s="752"/>
      <c r="F151" s="752"/>
      <c r="G151" s="752"/>
      <c r="H151" s="752"/>
      <c r="I151" s="752"/>
      <c r="J151" s="752"/>
      <c r="K151" s="752"/>
      <c r="L151" s="752"/>
      <c r="M151" s="752"/>
      <c r="N151" s="752"/>
      <c r="O151" s="752"/>
      <c r="P151" s="752"/>
      <c r="Q151" s="752"/>
    </row>
    <row r="152" spans="2:18" s="718" customFormat="1" x14ac:dyDescent="0.2">
      <c r="B152" s="751" t="s">
        <v>220</v>
      </c>
      <c r="C152" s="719"/>
      <c r="D152" s="752"/>
      <c r="E152" s="752"/>
      <c r="F152" s="752"/>
      <c r="G152" s="752"/>
      <c r="H152" s="752"/>
      <c r="I152" s="752"/>
      <c r="J152" s="752"/>
      <c r="K152" s="752"/>
      <c r="L152" s="752"/>
      <c r="M152" s="752"/>
      <c r="N152" s="752"/>
      <c r="O152" s="752"/>
      <c r="P152" s="752"/>
      <c r="Q152" s="721"/>
      <c r="R152" s="722"/>
    </row>
    <row r="153" spans="2:18" s="718" customFormat="1" x14ac:dyDescent="0.2">
      <c r="B153" s="709" t="s">
        <v>72</v>
      </c>
      <c r="C153" s="719">
        <v>23</v>
      </c>
      <c r="D153" s="721">
        <f t="shared" ref="D153:O155" si="44">ROUND(IF(SUM(D$130:D$132,D$140:D$141)&lt;&gt;0,D$147*D130/SUM(D$130:D$132,D$140:D$141),0),0)</f>
        <v>0</v>
      </c>
      <c r="E153" s="721">
        <f t="shared" si="44"/>
        <v>0</v>
      </c>
      <c r="F153" s="721">
        <f t="shared" si="44"/>
        <v>1694668</v>
      </c>
      <c r="G153" s="721">
        <f t="shared" si="44"/>
        <v>-272791</v>
      </c>
      <c r="H153" s="721">
        <f t="shared" si="44"/>
        <v>2783060</v>
      </c>
      <c r="I153" s="721">
        <f t="shared" si="44"/>
        <v>-3713640</v>
      </c>
      <c r="J153" s="721">
        <f t="shared" si="44"/>
        <v>12126683</v>
      </c>
      <c r="K153" s="721">
        <f t="shared" si="44"/>
        <v>-7614772</v>
      </c>
      <c r="L153" s="721">
        <f t="shared" si="44"/>
        <v>473028</v>
      </c>
      <c r="M153" s="721">
        <f t="shared" si="44"/>
        <v>2407991</v>
      </c>
      <c r="N153" s="721">
        <f t="shared" si="44"/>
        <v>6809472</v>
      </c>
      <c r="O153" s="721">
        <f t="shared" si="44"/>
        <v>1560235</v>
      </c>
      <c r="P153" s="721">
        <f>SUM(D153:O153)</f>
        <v>16253934</v>
      </c>
      <c r="Q153" s="721"/>
    </row>
    <row r="154" spans="2:18" s="718" customFormat="1" x14ac:dyDescent="0.2">
      <c r="B154" s="718" t="s">
        <v>101</v>
      </c>
      <c r="C154" s="724">
        <v>31</v>
      </c>
      <c r="D154" s="721">
        <f t="shared" si="44"/>
        <v>0</v>
      </c>
      <c r="E154" s="721">
        <f t="shared" si="44"/>
        <v>0</v>
      </c>
      <c r="F154" s="721">
        <f t="shared" si="44"/>
        <v>0</v>
      </c>
      <c r="G154" s="721">
        <f t="shared" si="44"/>
        <v>-53400</v>
      </c>
      <c r="H154" s="721">
        <f t="shared" si="44"/>
        <v>661053</v>
      </c>
      <c r="I154" s="721">
        <f t="shared" si="44"/>
        <v>-970359</v>
      </c>
      <c r="J154" s="721">
        <f t="shared" si="44"/>
        <v>3193500</v>
      </c>
      <c r="K154" s="721">
        <f t="shared" si="44"/>
        <v>-1917817</v>
      </c>
      <c r="L154" s="721">
        <f t="shared" si="44"/>
        <v>118675</v>
      </c>
      <c r="M154" s="721">
        <f t="shared" si="44"/>
        <v>540598</v>
      </c>
      <c r="N154" s="721">
        <f t="shared" si="44"/>
        <v>1279631</v>
      </c>
      <c r="O154" s="721">
        <f t="shared" si="44"/>
        <v>0</v>
      </c>
      <c r="P154" s="721">
        <f t="shared" ref="P154:P166" si="45">SUM(D154:O154)</f>
        <v>2851881</v>
      </c>
      <c r="Q154" s="721"/>
    </row>
    <row r="155" spans="2:18" s="718" customFormat="1" x14ac:dyDescent="0.2">
      <c r="B155" s="718" t="s">
        <v>102</v>
      </c>
      <c r="C155" s="718">
        <v>41</v>
      </c>
      <c r="D155" s="721">
        <f t="shared" si="44"/>
        <v>0</v>
      </c>
      <c r="E155" s="721">
        <f t="shared" si="44"/>
        <v>0</v>
      </c>
      <c r="F155" s="721">
        <f t="shared" si="44"/>
        <v>87691</v>
      </c>
      <c r="G155" s="721">
        <f t="shared" si="44"/>
        <v>-14803</v>
      </c>
      <c r="H155" s="721">
        <f t="shared" si="44"/>
        <v>141123</v>
      </c>
      <c r="I155" s="721">
        <f t="shared" si="44"/>
        <v>-190226</v>
      </c>
      <c r="J155" s="721">
        <f t="shared" si="44"/>
        <v>631345</v>
      </c>
      <c r="K155" s="721">
        <f t="shared" si="44"/>
        <v>-383771</v>
      </c>
      <c r="L155" s="721">
        <f t="shared" si="44"/>
        <v>26945</v>
      </c>
      <c r="M155" s="721">
        <f t="shared" si="44"/>
        <v>137182</v>
      </c>
      <c r="N155" s="721">
        <f t="shared" si="44"/>
        <v>455684</v>
      </c>
      <c r="O155" s="721">
        <f t="shared" si="44"/>
        <v>124587</v>
      </c>
      <c r="P155" s="721">
        <f t="shared" si="45"/>
        <v>1015757</v>
      </c>
      <c r="Q155" s="721"/>
    </row>
    <row r="156" spans="2:18" s="718" customFormat="1" x14ac:dyDescent="0.2">
      <c r="B156" s="709" t="s">
        <v>259</v>
      </c>
      <c r="C156" s="724" t="s">
        <v>236</v>
      </c>
      <c r="D156" s="721">
        <f t="shared" ref="D156:O158" si="46">ROUND(IF(SUM(D$133:D$135,D$142,D$139)&lt;&gt;0,D$149*D133/SUM(D$133:D$135,D$142,D$139),0),0)</f>
        <v>0</v>
      </c>
      <c r="E156" s="721">
        <f t="shared" si="46"/>
        <v>0</v>
      </c>
      <c r="F156" s="721">
        <f t="shared" si="46"/>
        <v>0</v>
      </c>
      <c r="G156" s="721">
        <f t="shared" si="46"/>
        <v>-911</v>
      </c>
      <c r="H156" s="721">
        <f t="shared" si="46"/>
        <v>10330</v>
      </c>
      <c r="I156" s="721">
        <f t="shared" si="46"/>
        <v>-11569</v>
      </c>
      <c r="J156" s="721">
        <f t="shared" si="46"/>
        <v>53960</v>
      </c>
      <c r="K156" s="721">
        <f t="shared" si="46"/>
        <v>-31805</v>
      </c>
      <c r="L156" s="721">
        <f t="shared" si="46"/>
        <v>1092</v>
      </c>
      <c r="M156" s="721">
        <f t="shared" si="46"/>
        <v>12521</v>
      </c>
      <c r="N156" s="721">
        <f t="shared" si="46"/>
        <v>25984</v>
      </c>
      <c r="O156" s="721">
        <f t="shared" si="46"/>
        <v>0</v>
      </c>
      <c r="P156" s="721">
        <f t="shared" si="45"/>
        <v>59602</v>
      </c>
      <c r="Q156" s="721"/>
    </row>
    <row r="157" spans="2:18" s="718" customFormat="1" x14ac:dyDescent="0.2">
      <c r="B157" s="709" t="s">
        <v>260</v>
      </c>
      <c r="C157" s="724" t="s">
        <v>231</v>
      </c>
      <c r="D157" s="721">
        <f t="shared" si="46"/>
        <v>0</v>
      </c>
      <c r="E157" s="721">
        <f t="shared" si="46"/>
        <v>0</v>
      </c>
      <c r="F157" s="721">
        <f t="shared" si="46"/>
        <v>0</v>
      </c>
      <c r="G157" s="721">
        <f t="shared" si="46"/>
        <v>-1608</v>
      </c>
      <c r="H157" s="721">
        <f t="shared" si="46"/>
        <v>18334</v>
      </c>
      <c r="I157" s="721">
        <f t="shared" si="46"/>
        <v>-21338</v>
      </c>
      <c r="J157" s="721">
        <f t="shared" si="46"/>
        <v>95773</v>
      </c>
      <c r="K157" s="721">
        <f t="shared" si="46"/>
        <v>-40499</v>
      </c>
      <c r="L157" s="721">
        <f t="shared" si="46"/>
        <v>1613</v>
      </c>
      <c r="M157" s="721">
        <f t="shared" si="46"/>
        <v>20904</v>
      </c>
      <c r="N157" s="721">
        <f t="shared" si="46"/>
        <v>62330</v>
      </c>
      <c r="O157" s="721">
        <f t="shared" si="46"/>
        <v>18537</v>
      </c>
      <c r="P157" s="721">
        <f t="shared" si="45"/>
        <v>154046</v>
      </c>
      <c r="Q157" s="721"/>
    </row>
    <row r="158" spans="2:18" s="718" customFormat="1" x14ac:dyDescent="0.2">
      <c r="B158" s="709" t="s">
        <v>263</v>
      </c>
      <c r="C158" s="724" t="s">
        <v>232</v>
      </c>
      <c r="D158" s="721">
        <f t="shared" si="46"/>
        <v>0</v>
      </c>
      <c r="E158" s="721">
        <f t="shared" si="46"/>
        <v>0</v>
      </c>
      <c r="F158" s="721">
        <f t="shared" si="46"/>
        <v>0</v>
      </c>
      <c r="G158" s="721">
        <f t="shared" si="46"/>
        <v>-2200</v>
      </c>
      <c r="H158" s="721">
        <f t="shared" si="46"/>
        <v>32863</v>
      </c>
      <c r="I158" s="721">
        <f t="shared" si="46"/>
        <v>-37796</v>
      </c>
      <c r="J158" s="721">
        <f t="shared" si="46"/>
        <v>167857</v>
      </c>
      <c r="K158" s="721">
        <f t="shared" si="46"/>
        <v>-89985</v>
      </c>
      <c r="L158" s="721">
        <f t="shared" si="46"/>
        <v>2749</v>
      </c>
      <c r="M158" s="721">
        <f t="shared" si="46"/>
        <v>37151</v>
      </c>
      <c r="N158" s="721">
        <f t="shared" si="46"/>
        <v>109586</v>
      </c>
      <c r="O158" s="721">
        <f t="shared" si="46"/>
        <v>24947</v>
      </c>
      <c r="P158" s="721">
        <f t="shared" si="45"/>
        <v>245172</v>
      </c>
      <c r="Q158" s="721"/>
    </row>
    <row r="159" spans="2:18" s="718" customFormat="1" x14ac:dyDescent="0.2">
      <c r="B159" s="718" t="s">
        <v>103</v>
      </c>
      <c r="C159" s="718">
        <v>85</v>
      </c>
      <c r="D159" s="721">
        <f t="shared" ref="D159:L159" si="47">ROUND(IF(SUM(D$136:D$138)&lt;&gt;0,D$148*D136/SUM(D$136:D$138),0),0)</f>
        <v>0</v>
      </c>
      <c r="E159" s="721">
        <f t="shared" si="47"/>
        <v>0</v>
      </c>
      <c r="F159" s="721">
        <f t="shared" si="47"/>
        <v>0</v>
      </c>
      <c r="G159" s="721">
        <f t="shared" si="47"/>
        <v>-1179</v>
      </c>
      <c r="H159" s="721">
        <f t="shared" si="47"/>
        <v>3170</v>
      </c>
      <c r="I159" s="721">
        <f t="shared" si="47"/>
        <v>0</v>
      </c>
      <c r="J159" s="721">
        <f t="shared" si="47"/>
        <v>70309</v>
      </c>
      <c r="K159" s="721">
        <f t="shared" si="47"/>
        <v>-43357</v>
      </c>
      <c r="L159" s="721">
        <f t="shared" si="47"/>
        <v>1732</v>
      </c>
      <c r="M159" s="721">
        <f t="shared" ref="M159:O161" si="48">ROUND(IF(SUM(M$136:M$138)&lt;&gt;0,M$148*M136/SUM(M$136:M$138),0),0)</f>
        <v>7108</v>
      </c>
      <c r="N159" s="721">
        <f t="shared" si="48"/>
        <v>0</v>
      </c>
      <c r="O159" s="721">
        <f t="shared" si="48"/>
        <v>0</v>
      </c>
      <c r="P159" s="721">
        <f t="shared" si="45"/>
        <v>37783</v>
      </c>
      <c r="Q159" s="721"/>
    </row>
    <row r="160" spans="2:18" s="718" customFormat="1" x14ac:dyDescent="0.2">
      <c r="B160" s="718" t="s">
        <v>108</v>
      </c>
      <c r="C160" s="718">
        <v>86</v>
      </c>
      <c r="D160" s="721">
        <f t="shared" ref="D160:L161" si="49">ROUND(IF(SUM(D$136:D$138)&lt;&gt;0,D$148*D137/SUM(D$136:D$138),0),0)</f>
        <v>0</v>
      </c>
      <c r="E160" s="721">
        <f t="shared" si="49"/>
        <v>0</v>
      </c>
      <c r="F160" s="721">
        <f t="shared" si="49"/>
        <v>0</v>
      </c>
      <c r="G160" s="721">
        <f t="shared" si="49"/>
        <v>-1377</v>
      </c>
      <c r="H160" s="721">
        <f t="shared" si="49"/>
        <v>3547</v>
      </c>
      <c r="I160" s="721">
        <f t="shared" si="49"/>
        <v>0</v>
      </c>
      <c r="J160" s="721">
        <f t="shared" si="49"/>
        <v>71982</v>
      </c>
      <c r="K160" s="721">
        <f t="shared" si="49"/>
        <v>-47007</v>
      </c>
      <c r="L160" s="721">
        <f t="shared" si="49"/>
        <v>1822</v>
      </c>
      <c r="M160" s="721">
        <f t="shared" si="48"/>
        <v>7404</v>
      </c>
      <c r="N160" s="721">
        <f t="shared" si="48"/>
        <v>0</v>
      </c>
      <c r="O160" s="721">
        <f t="shared" si="48"/>
        <v>0</v>
      </c>
      <c r="P160" s="721">
        <f t="shared" si="45"/>
        <v>36371</v>
      </c>
      <c r="Q160" s="721"/>
    </row>
    <row r="161" spans="1:17" s="718" customFormat="1" x14ac:dyDescent="0.2">
      <c r="B161" s="718" t="s">
        <v>265</v>
      </c>
      <c r="C161" s="718">
        <v>87</v>
      </c>
      <c r="D161" s="721">
        <f t="shared" si="49"/>
        <v>0</v>
      </c>
      <c r="E161" s="721">
        <f t="shared" si="49"/>
        <v>0</v>
      </c>
      <c r="F161" s="721">
        <f t="shared" si="49"/>
        <v>0</v>
      </c>
      <c r="G161" s="721">
        <f t="shared" si="49"/>
        <v>-1464</v>
      </c>
      <c r="H161" s="721">
        <f t="shared" si="49"/>
        <v>4179</v>
      </c>
      <c r="I161" s="721">
        <f t="shared" si="49"/>
        <v>0</v>
      </c>
      <c r="J161" s="721">
        <f t="shared" si="49"/>
        <v>94022</v>
      </c>
      <c r="K161" s="721">
        <f t="shared" si="49"/>
        <v>-52176</v>
      </c>
      <c r="L161" s="721">
        <f t="shared" si="49"/>
        <v>2076</v>
      </c>
      <c r="M161" s="721">
        <f t="shared" si="48"/>
        <v>8419</v>
      </c>
      <c r="N161" s="721">
        <f t="shared" si="48"/>
        <v>0</v>
      </c>
      <c r="O161" s="721">
        <f t="shared" si="48"/>
        <v>0</v>
      </c>
      <c r="P161" s="721">
        <f t="shared" si="45"/>
        <v>55056</v>
      </c>
      <c r="Q161" s="721"/>
    </row>
    <row r="162" spans="1:17" s="718" customFormat="1" x14ac:dyDescent="0.2">
      <c r="B162" s="709" t="s">
        <v>535</v>
      </c>
      <c r="C162" s="719" t="s">
        <v>387</v>
      </c>
      <c r="D162" s="721">
        <f t="shared" ref="D162:O162" si="50">ROUND(IF(SUM(D$133:D$135,D$142,D$139)&lt;&gt;0,D$149*D139/SUM(D$133:D$135,D$142,D$139),0),0)</f>
        <v>0</v>
      </c>
      <c r="E162" s="721">
        <f t="shared" si="50"/>
        <v>0</v>
      </c>
      <c r="F162" s="721">
        <f t="shared" si="50"/>
        <v>24</v>
      </c>
      <c r="G162" s="721">
        <f t="shared" si="50"/>
        <v>-2</v>
      </c>
      <c r="H162" s="721">
        <f t="shared" si="50"/>
        <v>23</v>
      </c>
      <c r="I162" s="721">
        <f t="shared" si="50"/>
        <v>-25</v>
      </c>
      <c r="J162" s="721">
        <f t="shared" si="50"/>
        <v>115</v>
      </c>
      <c r="K162" s="721">
        <f t="shared" si="50"/>
        <v>-69</v>
      </c>
      <c r="L162" s="721">
        <f t="shared" si="50"/>
        <v>2</v>
      </c>
      <c r="M162" s="721">
        <f t="shared" si="50"/>
        <v>22</v>
      </c>
      <c r="N162" s="721">
        <f t="shared" si="50"/>
        <v>47</v>
      </c>
      <c r="O162" s="721">
        <f t="shared" si="50"/>
        <v>10</v>
      </c>
      <c r="P162" s="721">
        <f t="shared" si="45"/>
        <v>147</v>
      </c>
      <c r="Q162" s="721"/>
    </row>
    <row r="163" spans="1:17" s="718" customFormat="1" x14ac:dyDescent="0.2">
      <c r="B163" s="718" t="s">
        <v>104</v>
      </c>
      <c r="C163" s="718">
        <v>31</v>
      </c>
      <c r="D163" s="721">
        <f t="shared" ref="D163:O164" si="51">ROUND(IF(SUM(D$130:D$132,D$140:D$141)&lt;&gt;0,D$147*D140/SUM(D$130:D$132,D$140:D$141),0),0)</f>
        <v>0</v>
      </c>
      <c r="E163" s="721">
        <f t="shared" si="51"/>
        <v>0</v>
      </c>
      <c r="F163" s="721">
        <f t="shared" si="51"/>
        <v>29453</v>
      </c>
      <c r="G163" s="721">
        <f t="shared" si="51"/>
        <v>-4807</v>
      </c>
      <c r="H163" s="721">
        <f t="shared" si="51"/>
        <v>52513</v>
      </c>
      <c r="I163" s="721">
        <f t="shared" si="51"/>
        <v>-76031</v>
      </c>
      <c r="J163" s="721">
        <f t="shared" si="51"/>
        <v>255055</v>
      </c>
      <c r="K163" s="721">
        <f t="shared" si="51"/>
        <v>-158025</v>
      </c>
      <c r="L163" s="721">
        <f t="shared" si="51"/>
        <v>9703</v>
      </c>
      <c r="M163" s="721">
        <f t="shared" si="51"/>
        <v>44942</v>
      </c>
      <c r="N163" s="721">
        <f t="shared" si="51"/>
        <v>118434</v>
      </c>
      <c r="O163" s="721">
        <f t="shared" si="51"/>
        <v>24530</v>
      </c>
      <c r="P163" s="721">
        <f t="shared" si="45"/>
        <v>295767</v>
      </c>
      <c r="Q163" s="721"/>
    </row>
    <row r="164" spans="1:17" s="725" customFormat="1" x14ac:dyDescent="0.2">
      <c r="A164" s="718"/>
      <c r="B164" s="718" t="s">
        <v>105</v>
      </c>
      <c r="C164" s="718">
        <v>41</v>
      </c>
      <c r="D164" s="721">
        <f t="shared" si="51"/>
        <v>0</v>
      </c>
      <c r="E164" s="721">
        <f t="shared" si="51"/>
        <v>0</v>
      </c>
      <c r="F164" s="721">
        <f t="shared" si="51"/>
        <v>0</v>
      </c>
      <c r="G164" s="721">
        <f t="shared" si="51"/>
        <v>-1318</v>
      </c>
      <c r="H164" s="721">
        <f t="shared" si="51"/>
        <v>8683</v>
      </c>
      <c r="I164" s="721">
        <f t="shared" si="51"/>
        <v>-11030</v>
      </c>
      <c r="J164" s="721">
        <f t="shared" si="51"/>
        <v>38488</v>
      </c>
      <c r="K164" s="721">
        <f t="shared" si="51"/>
        <v>-19749</v>
      </c>
      <c r="L164" s="721">
        <f t="shared" si="51"/>
        <v>2024</v>
      </c>
      <c r="M164" s="721">
        <f t="shared" si="51"/>
        <v>8442</v>
      </c>
      <c r="N164" s="721">
        <f t="shared" si="51"/>
        <v>25001</v>
      </c>
      <c r="O164" s="721">
        <f t="shared" si="51"/>
        <v>0</v>
      </c>
      <c r="P164" s="721">
        <f t="shared" si="45"/>
        <v>50541</v>
      </c>
      <c r="Q164" s="729"/>
    </row>
    <row r="165" spans="1:17" s="718" customFormat="1" ht="15" x14ac:dyDescent="0.25">
      <c r="A165" s="725"/>
      <c r="B165" s="725" t="s">
        <v>270</v>
      </c>
      <c r="C165" s="740" t="s">
        <v>346</v>
      </c>
      <c r="D165" s="721">
        <f t="shared" ref="D165:O165" si="52">ROUND(IF(SUM(D$133:D$135,D$142,D$139)&lt;&gt;0,D$149*D142/SUM(D$133:D$135,D$142,D$139),0),0)</f>
        <v>0</v>
      </c>
      <c r="E165" s="721">
        <f t="shared" si="52"/>
        <v>0</v>
      </c>
      <c r="F165" s="721">
        <f t="shared" si="52"/>
        <v>125789</v>
      </c>
      <c r="G165" s="721">
        <f t="shared" si="52"/>
        <v>-7640</v>
      </c>
      <c r="H165" s="721">
        <f t="shared" si="52"/>
        <v>88655</v>
      </c>
      <c r="I165" s="721">
        <f t="shared" si="52"/>
        <v>-83661</v>
      </c>
      <c r="J165" s="721">
        <f t="shared" si="52"/>
        <v>411040</v>
      </c>
      <c r="K165" s="721">
        <f t="shared" si="52"/>
        <v>-247412</v>
      </c>
      <c r="L165" s="721">
        <f t="shared" si="52"/>
        <v>7408</v>
      </c>
      <c r="M165" s="721">
        <f t="shared" si="52"/>
        <v>109805</v>
      </c>
      <c r="N165" s="721">
        <f t="shared" si="52"/>
        <v>290178</v>
      </c>
      <c r="O165" s="721">
        <f t="shared" si="52"/>
        <v>87068</v>
      </c>
      <c r="P165" s="729">
        <f t="shared" si="45"/>
        <v>781230</v>
      </c>
      <c r="Q165" s="729"/>
    </row>
    <row r="166" spans="1:17" s="718" customFormat="1" x14ac:dyDescent="0.2">
      <c r="B166" s="718" t="s">
        <v>129</v>
      </c>
      <c r="C166" s="719"/>
      <c r="D166" s="730">
        <f t="shared" ref="D166:I166" si="53">SUM(D153:D165)</f>
        <v>0</v>
      </c>
      <c r="E166" s="730">
        <f t="shared" si="53"/>
        <v>0</v>
      </c>
      <c r="F166" s="730">
        <f t="shared" si="53"/>
        <v>1937625</v>
      </c>
      <c r="G166" s="730">
        <f t="shared" si="53"/>
        <v>-363500</v>
      </c>
      <c r="H166" s="730">
        <f t="shared" si="53"/>
        <v>3807533</v>
      </c>
      <c r="I166" s="730">
        <f t="shared" si="53"/>
        <v>-5115675</v>
      </c>
      <c r="J166" s="730">
        <f>SUM(J153:J165)</f>
        <v>17210129</v>
      </c>
      <c r="K166" s="730">
        <f t="shared" ref="K166:O166" si="54">SUM(K153:K165)</f>
        <v>-10646444</v>
      </c>
      <c r="L166" s="730">
        <f t="shared" si="54"/>
        <v>648869</v>
      </c>
      <c r="M166" s="730">
        <f t="shared" si="54"/>
        <v>3342489</v>
      </c>
      <c r="N166" s="730">
        <f t="shared" si="54"/>
        <v>9176347</v>
      </c>
      <c r="O166" s="730">
        <f t="shared" si="54"/>
        <v>1839914</v>
      </c>
      <c r="P166" s="730">
        <f t="shared" si="45"/>
        <v>21837287</v>
      </c>
      <c r="Q166" s="742"/>
    </row>
    <row r="167" spans="1:17" s="718" customFormat="1" x14ac:dyDescent="0.2">
      <c r="B167" s="718" t="s">
        <v>123</v>
      </c>
      <c r="C167" s="719"/>
      <c r="D167" s="742">
        <f t="shared" ref="D167:O167" si="55">IFERROR(D166/D31,0)</f>
        <v>0</v>
      </c>
      <c r="E167" s="742">
        <f t="shared" si="55"/>
        <v>0</v>
      </c>
      <c r="F167" s="742">
        <f t="shared" si="55"/>
        <v>3.6155794585818024E-2</v>
      </c>
      <c r="G167" s="742">
        <f t="shared" si="55"/>
        <v>-3.8892279973175401E-3</v>
      </c>
      <c r="H167" s="742">
        <f t="shared" si="55"/>
        <v>2.9884620136494448E-2</v>
      </c>
      <c r="I167" s="742">
        <f t="shared" si="55"/>
        <v>-3.1647288995522584E-2</v>
      </c>
      <c r="J167" s="742">
        <f t="shared" si="55"/>
        <v>0.11524158232012445</v>
      </c>
      <c r="K167" s="742">
        <f t="shared" si="55"/>
        <v>-7.426219340942615E-2</v>
      </c>
      <c r="L167" s="742">
        <f t="shared" si="55"/>
        <v>4.723362867850499E-3</v>
      </c>
      <c r="M167" s="742">
        <f t="shared" si="55"/>
        <v>3.4949984094612987E-2</v>
      </c>
      <c r="N167" s="742">
        <f>IFERROR(N166/N31,0)</f>
        <v>0.15143772058361277</v>
      </c>
      <c r="O167" s="742">
        <f t="shared" si="55"/>
        <v>3.799394373298174E-2</v>
      </c>
      <c r="P167" s="742">
        <f t="shared" ref="P167" si="56">SUM(D167:L167)</f>
        <v>7.6206649508021154E-2</v>
      </c>
      <c r="Q167" s="729"/>
    </row>
    <row r="168" spans="1:17" s="718" customFormat="1" x14ac:dyDescent="0.2">
      <c r="C168" s="719"/>
      <c r="D168" s="729"/>
      <c r="E168" s="729"/>
      <c r="F168" s="729"/>
      <c r="G168" s="729"/>
      <c r="H168" s="729"/>
      <c r="I168" s="729"/>
      <c r="J168" s="729"/>
      <c r="K168" s="729"/>
      <c r="L168" s="729"/>
      <c r="M168" s="729"/>
      <c r="N168" s="729"/>
      <c r="O168" s="729"/>
      <c r="P168" s="729"/>
      <c r="Q168" s="729"/>
    </row>
    <row r="169" spans="1:17" s="718" customFormat="1" x14ac:dyDescent="0.2">
      <c r="B169" s="751" t="s">
        <v>221</v>
      </c>
      <c r="C169" s="719"/>
      <c r="D169" s="729"/>
      <c r="E169" s="729"/>
      <c r="F169" s="729"/>
      <c r="G169" s="729"/>
      <c r="H169" s="729"/>
      <c r="I169" s="729"/>
      <c r="J169" s="729"/>
      <c r="K169" s="729"/>
      <c r="L169" s="729"/>
      <c r="M169" s="729"/>
      <c r="N169" s="729"/>
      <c r="O169" s="729"/>
      <c r="P169" s="729"/>
      <c r="Q169" s="721"/>
    </row>
    <row r="170" spans="1:17" s="718" customFormat="1" x14ac:dyDescent="0.2">
      <c r="B170" s="718" t="s">
        <v>72</v>
      </c>
      <c r="C170" s="719">
        <v>23</v>
      </c>
      <c r="D170" s="721">
        <f t="shared" ref="D170:O170" si="57">D9+D153</f>
        <v>13443846.632999999</v>
      </c>
      <c r="E170" s="721">
        <f t="shared" si="57"/>
        <v>12736009.979</v>
      </c>
      <c r="F170" s="721">
        <f t="shared" si="57"/>
        <v>21647719.936999999</v>
      </c>
      <c r="G170" s="721">
        <f t="shared" si="57"/>
        <v>46155974.25</v>
      </c>
      <c r="H170" s="721">
        <f t="shared" si="57"/>
        <v>73741897.160999998</v>
      </c>
      <c r="I170" s="721">
        <f t="shared" si="57"/>
        <v>88509622.627000004</v>
      </c>
      <c r="J170" s="721">
        <f t="shared" si="57"/>
        <v>97226692.343999997</v>
      </c>
      <c r="K170" s="721">
        <f t="shared" si="57"/>
        <v>73367926.152999997</v>
      </c>
      <c r="L170" s="721">
        <f t="shared" si="57"/>
        <v>75843560.385000005</v>
      </c>
      <c r="M170" s="721">
        <f t="shared" si="57"/>
        <v>50269722.055</v>
      </c>
      <c r="N170" s="721">
        <f t="shared" si="57"/>
        <v>30887232.546</v>
      </c>
      <c r="O170" s="721">
        <f t="shared" si="57"/>
        <v>19275348.866999999</v>
      </c>
      <c r="P170" s="721">
        <f>SUM(D170:O170)</f>
        <v>603105552.93699992</v>
      </c>
      <c r="Q170" s="721"/>
    </row>
    <row r="171" spans="1:17" s="718" customFormat="1" x14ac:dyDescent="0.2">
      <c r="B171" s="718" t="s">
        <v>101</v>
      </c>
      <c r="C171" s="724">
        <v>31</v>
      </c>
      <c r="D171" s="721">
        <f t="shared" ref="D171:O172" si="58">D11+D154</f>
        <v>7628079.7920000004</v>
      </c>
      <c r="E171" s="721">
        <f t="shared" si="58"/>
        <v>7453085.6330000004</v>
      </c>
      <c r="F171" s="721">
        <f t="shared" si="58"/>
        <v>9048012.2430000007</v>
      </c>
      <c r="G171" s="721">
        <f t="shared" si="58"/>
        <v>15932676.433</v>
      </c>
      <c r="H171" s="721">
        <f t="shared" si="58"/>
        <v>23966771.149999999</v>
      </c>
      <c r="I171" s="721">
        <f t="shared" si="58"/>
        <v>29413050.791000001</v>
      </c>
      <c r="J171" s="721">
        <f t="shared" si="58"/>
        <v>31601920.164999999</v>
      </c>
      <c r="K171" s="721">
        <f t="shared" si="58"/>
        <v>25012454.664999999</v>
      </c>
      <c r="L171" s="721">
        <f t="shared" si="58"/>
        <v>25668437.872000001</v>
      </c>
      <c r="M171" s="721">
        <f t="shared" si="58"/>
        <v>18094159.793000001</v>
      </c>
      <c r="N171" s="721">
        <f t="shared" si="58"/>
        <v>12124126.560000001</v>
      </c>
      <c r="O171" s="721">
        <f t="shared" si="58"/>
        <v>8894243.5490000006</v>
      </c>
      <c r="P171" s="721">
        <f t="shared" ref="P171:P183" si="59">SUM(D171:O171)</f>
        <v>214837018.646</v>
      </c>
      <c r="Q171" s="721"/>
    </row>
    <row r="172" spans="1:17" s="718" customFormat="1" x14ac:dyDescent="0.2">
      <c r="B172" s="718" t="s">
        <v>102</v>
      </c>
      <c r="C172" s="718">
        <v>41</v>
      </c>
      <c r="D172" s="721">
        <f t="shared" si="58"/>
        <v>2436691.1039999998</v>
      </c>
      <c r="E172" s="721">
        <f t="shared" si="58"/>
        <v>2305053.4160000002</v>
      </c>
      <c r="F172" s="721">
        <f t="shared" si="58"/>
        <v>2868775.9019999998</v>
      </c>
      <c r="G172" s="721">
        <f t="shared" si="58"/>
        <v>4444093.4029999999</v>
      </c>
      <c r="H172" s="721">
        <f t="shared" si="58"/>
        <v>5802995.9620000003</v>
      </c>
      <c r="I172" s="721">
        <f t="shared" si="58"/>
        <v>6803789.2349999994</v>
      </c>
      <c r="J172" s="721">
        <f t="shared" si="58"/>
        <v>7214330.9359999998</v>
      </c>
      <c r="K172" s="721">
        <f t="shared" si="58"/>
        <v>5992951.0830000006</v>
      </c>
      <c r="L172" s="721">
        <f t="shared" si="58"/>
        <v>6261605.6830000002</v>
      </c>
      <c r="M172" s="721">
        <f t="shared" si="58"/>
        <v>4926100.1710000001</v>
      </c>
      <c r="N172" s="721">
        <f t="shared" si="58"/>
        <v>3756633.523</v>
      </c>
      <c r="O172" s="721">
        <f t="shared" si="58"/>
        <v>1688485.8959999999</v>
      </c>
      <c r="P172" s="721">
        <f t="shared" si="59"/>
        <v>54501506.313999996</v>
      </c>
      <c r="Q172" s="721"/>
    </row>
    <row r="173" spans="1:17" s="718" customFormat="1" x14ac:dyDescent="0.2">
      <c r="B173" s="709" t="s">
        <v>259</v>
      </c>
      <c r="C173" s="724" t="s">
        <v>236</v>
      </c>
      <c r="D173" s="721">
        <f t="shared" ref="D173:O175" si="60">D23+D156</f>
        <v>842278.49</v>
      </c>
      <c r="E173" s="721">
        <f t="shared" si="60"/>
        <v>919204.60000000009</v>
      </c>
      <c r="F173" s="721">
        <f t="shared" si="60"/>
        <v>874618.36</v>
      </c>
      <c r="G173" s="721">
        <f t="shared" si="60"/>
        <v>1038625.68</v>
      </c>
      <c r="H173" s="721">
        <f t="shared" si="60"/>
        <v>1151459.2390000001</v>
      </c>
      <c r="I173" s="721">
        <f t="shared" si="60"/>
        <v>1237799.6400000001</v>
      </c>
      <c r="J173" s="721">
        <f t="shared" si="60"/>
        <v>1309932.3900000001</v>
      </c>
      <c r="K173" s="721">
        <f t="shared" si="60"/>
        <v>1187686.01</v>
      </c>
      <c r="L173" s="721">
        <f t="shared" si="60"/>
        <v>1250467.8599999999</v>
      </c>
      <c r="M173" s="721">
        <f t="shared" si="60"/>
        <v>1133840.93</v>
      </c>
      <c r="N173" s="721">
        <f t="shared" si="60"/>
        <v>1023426.22</v>
      </c>
      <c r="O173" s="721">
        <f t="shared" si="60"/>
        <v>813156.53</v>
      </c>
      <c r="P173" s="721">
        <f t="shared" si="59"/>
        <v>12782495.949000001</v>
      </c>
      <c r="Q173" s="721"/>
    </row>
    <row r="174" spans="1:17" s="718" customFormat="1" x14ac:dyDescent="0.2">
      <c r="B174" s="709" t="s">
        <v>260</v>
      </c>
      <c r="C174" s="724" t="s">
        <v>231</v>
      </c>
      <c r="D174" s="721">
        <f t="shared" si="60"/>
        <v>1570935.13</v>
      </c>
      <c r="E174" s="721">
        <f t="shared" si="60"/>
        <v>1652500.78</v>
      </c>
      <c r="F174" s="721">
        <f t="shared" si="60"/>
        <v>1563451.74</v>
      </c>
      <c r="G174" s="721">
        <f t="shared" si="60"/>
        <v>1821545.78</v>
      </c>
      <c r="H174" s="721">
        <f t="shared" si="60"/>
        <v>1979027.12</v>
      </c>
      <c r="I174" s="721">
        <f t="shared" si="60"/>
        <v>2153272.2800000003</v>
      </c>
      <c r="J174" s="721">
        <f t="shared" si="60"/>
        <v>2213984.92</v>
      </c>
      <c r="K174" s="721">
        <f t="shared" si="60"/>
        <v>1964790.4500000002</v>
      </c>
      <c r="L174" s="721">
        <f t="shared" si="60"/>
        <v>2105813.58</v>
      </c>
      <c r="M174" s="721">
        <f t="shared" si="60"/>
        <v>1852946.1</v>
      </c>
      <c r="N174" s="721">
        <f t="shared" si="60"/>
        <v>1863363.12</v>
      </c>
      <c r="O174" s="721">
        <f t="shared" si="60"/>
        <v>1750711.3499999999</v>
      </c>
      <c r="P174" s="721">
        <f t="shared" si="59"/>
        <v>22492342.350000005</v>
      </c>
      <c r="Q174" s="721"/>
    </row>
    <row r="175" spans="1:17" s="718" customFormat="1" x14ac:dyDescent="0.2">
      <c r="B175" s="709" t="s">
        <v>263</v>
      </c>
      <c r="C175" s="724" t="s">
        <v>232</v>
      </c>
      <c r="D175" s="721">
        <f t="shared" si="60"/>
        <v>1084131.21</v>
      </c>
      <c r="E175" s="721">
        <f t="shared" si="60"/>
        <v>1076261.75</v>
      </c>
      <c r="F175" s="721">
        <f t="shared" si="60"/>
        <v>1104327.17</v>
      </c>
      <c r="G175" s="721">
        <f t="shared" si="60"/>
        <v>1492017.02</v>
      </c>
      <c r="H175" s="721">
        <f t="shared" si="60"/>
        <v>1844255.06</v>
      </c>
      <c r="I175" s="721">
        <f t="shared" si="60"/>
        <v>2076878.6400000001</v>
      </c>
      <c r="J175" s="721">
        <f t="shared" si="60"/>
        <v>2119316.87</v>
      </c>
      <c r="K175" s="721">
        <f t="shared" si="60"/>
        <v>1871108.9500000002</v>
      </c>
      <c r="L175" s="721">
        <f t="shared" si="60"/>
        <v>1860191.65</v>
      </c>
      <c r="M175" s="721">
        <f t="shared" si="60"/>
        <v>1637011.8800000001</v>
      </c>
      <c r="N175" s="721">
        <f t="shared" si="60"/>
        <v>1388275.8499999999</v>
      </c>
      <c r="O175" s="721">
        <f t="shared" si="60"/>
        <v>1192987.95</v>
      </c>
      <c r="P175" s="721">
        <f t="shared" si="59"/>
        <v>18746764.000000004</v>
      </c>
      <c r="Q175" s="721"/>
    </row>
    <row r="176" spans="1:17" s="718" customFormat="1" x14ac:dyDescent="0.2">
      <c r="B176" s="718" t="s">
        <v>103</v>
      </c>
      <c r="C176" s="718">
        <v>85</v>
      </c>
      <c r="D176" s="721">
        <f t="shared" ref="D176:O178" si="61">D14+D159</f>
        <v>718072.78200000001</v>
      </c>
      <c r="E176" s="721">
        <f t="shared" si="61"/>
        <v>664389.50499999989</v>
      </c>
      <c r="F176" s="721">
        <f t="shared" si="61"/>
        <v>792053.55200000003</v>
      </c>
      <c r="G176" s="721">
        <f t="shared" si="61"/>
        <v>1249577.3330000001</v>
      </c>
      <c r="H176" s="721">
        <f t="shared" si="61"/>
        <v>1554481.9750000001</v>
      </c>
      <c r="I176" s="721">
        <f t="shared" si="61"/>
        <v>1866442.2080000001</v>
      </c>
      <c r="J176" s="721">
        <f t="shared" si="61"/>
        <v>1780824.939</v>
      </c>
      <c r="K176" s="721">
        <f t="shared" si="61"/>
        <v>1536379.5380000002</v>
      </c>
      <c r="L176" s="721">
        <f t="shared" si="61"/>
        <v>1643991.1359999999</v>
      </c>
      <c r="M176" s="721">
        <f t="shared" si="61"/>
        <v>1250763.1359999999</v>
      </c>
      <c r="N176" s="721">
        <f t="shared" si="61"/>
        <v>920234.88600000006</v>
      </c>
      <c r="O176" s="721">
        <f t="shared" si="61"/>
        <v>709740.74400000006</v>
      </c>
      <c r="P176" s="721">
        <f t="shared" si="59"/>
        <v>14686951.734000001</v>
      </c>
      <c r="Q176" s="721"/>
    </row>
    <row r="177" spans="1:17" s="718" customFormat="1" x14ac:dyDescent="0.2">
      <c r="B177" s="718" t="s">
        <v>108</v>
      </c>
      <c r="C177" s="718">
        <v>86</v>
      </c>
      <c r="D177" s="721">
        <f t="shared" si="61"/>
        <v>208746.55599999998</v>
      </c>
      <c r="E177" s="721">
        <f t="shared" si="61"/>
        <v>193052.79699999999</v>
      </c>
      <c r="F177" s="721">
        <f t="shared" si="61"/>
        <v>320287.72700000001</v>
      </c>
      <c r="G177" s="721">
        <f t="shared" si="61"/>
        <v>750962.98400000005</v>
      </c>
      <c r="H177" s="721">
        <f t="shared" si="61"/>
        <v>1030574.388</v>
      </c>
      <c r="I177" s="721">
        <f t="shared" si="61"/>
        <v>1282526.0389999999</v>
      </c>
      <c r="J177" s="721">
        <f t="shared" si="61"/>
        <v>1258725.409</v>
      </c>
      <c r="K177" s="721">
        <f t="shared" si="61"/>
        <v>1049738.9580000001</v>
      </c>
      <c r="L177" s="721">
        <f t="shared" si="61"/>
        <v>1110593.162</v>
      </c>
      <c r="M177" s="721">
        <f t="shared" si="61"/>
        <v>846297.72800000012</v>
      </c>
      <c r="N177" s="721">
        <f t="shared" si="61"/>
        <v>477239.02300000004</v>
      </c>
      <c r="O177" s="721">
        <f t="shared" si="61"/>
        <v>307851.304</v>
      </c>
      <c r="P177" s="721">
        <f t="shared" si="59"/>
        <v>8836596.0750000011</v>
      </c>
      <c r="Q177" s="721"/>
    </row>
    <row r="178" spans="1:17" s="718" customFormat="1" x14ac:dyDescent="0.2">
      <c r="B178" s="718" t="s">
        <v>265</v>
      </c>
      <c r="C178" s="718">
        <v>87</v>
      </c>
      <c r="D178" s="721">
        <f t="shared" si="61"/>
        <v>1205163.1340000001</v>
      </c>
      <c r="E178" s="721">
        <f t="shared" si="61"/>
        <v>1191232.98</v>
      </c>
      <c r="F178" s="721">
        <f t="shared" si="61"/>
        <v>1297454.0249999999</v>
      </c>
      <c r="G178" s="721">
        <f t="shared" si="61"/>
        <v>1956862.8969999999</v>
      </c>
      <c r="H178" s="721">
        <f t="shared" si="61"/>
        <v>2346051.3509999998</v>
      </c>
      <c r="I178" s="721">
        <f t="shared" si="61"/>
        <v>2817477.4819999998</v>
      </c>
      <c r="J178" s="721">
        <f t="shared" si="61"/>
        <v>2582095.4070000001</v>
      </c>
      <c r="K178" s="721">
        <f t="shared" si="61"/>
        <v>2453869.7620000001</v>
      </c>
      <c r="L178" s="721">
        <f t="shared" si="61"/>
        <v>2432020.3769999999</v>
      </c>
      <c r="M178" s="721">
        <f t="shared" si="61"/>
        <v>2074669.916</v>
      </c>
      <c r="N178" s="721">
        <f t="shared" si="61"/>
        <v>1485710.202</v>
      </c>
      <c r="O178" s="721">
        <f t="shared" si="61"/>
        <v>1430551.095</v>
      </c>
      <c r="P178" s="721">
        <f t="shared" si="59"/>
        <v>23273158.627999999</v>
      </c>
      <c r="Q178" s="721"/>
    </row>
    <row r="179" spans="1:17" s="718" customFormat="1" x14ac:dyDescent="0.2">
      <c r="B179" s="709" t="s">
        <v>535</v>
      </c>
      <c r="C179" s="719" t="s">
        <v>387</v>
      </c>
      <c r="D179" s="721">
        <f t="shared" ref="D179:O179" si="62">D13+D162</f>
        <v>76.98</v>
      </c>
      <c r="E179" s="721">
        <f t="shared" si="62"/>
        <v>27.25</v>
      </c>
      <c r="F179" s="721">
        <f t="shared" si="62"/>
        <v>242.87</v>
      </c>
      <c r="G179" s="721">
        <f t="shared" si="62"/>
        <v>1980.63</v>
      </c>
      <c r="H179" s="721">
        <f t="shared" si="62"/>
        <v>3346.76</v>
      </c>
      <c r="I179" s="721">
        <f t="shared" si="62"/>
        <v>4385.21</v>
      </c>
      <c r="J179" s="721">
        <f t="shared" si="62"/>
        <v>2645.87</v>
      </c>
      <c r="K179" s="721">
        <f t="shared" si="62"/>
        <v>3836.98</v>
      </c>
      <c r="L179" s="721">
        <f t="shared" si="62"/>
        <v>2823.34</v>
      </c>
      <c r="M179" s="721">
        <f t="shared" si="62"/>
        <v>2002.65</v>
      </c>
      <c r="N179" s="721">
        <f t="shared" si="62"/>
        <v>642.91</v>
      </c>
      <c r="O179" s="721">
        <f t="shared" si="62"/>
        <v>37.44</v>
      </c>
      <c r="P179" s="721">
        <f t="shared" si="59"/>
        <v>22048.89</v>
      </c>
      <c r="Q179" s="721"/>
    </row>
    <row r="180" spans="1:17" s="718" customFormat="1" x14ac:dyDescent="0.2">
      <c r="B180" s="718" t="s">
        <v>104</v>
      </c>
      <c r="C180" s="718">
        <v>31</v>
      </c>
      <c r="D180" s="721">
        <f t="shared" ref="D180:O181" si="63">D17+D163</f>
        <v>395133.00599999999</v>
      </c>
      <c r="E180" s="721">
        <f t="shared" si="63"/>
        <v>415618.07</v>
      </c>
      <c r="F180" s="721">
        <f t="shared" si="63"/>
        <v>530299.97600000002</v>
      </c>
      <c r="G180" s="721">
        <f t="shared" si="63"/>
        <v>1002186.794</v>
      </c>
      <c r="H180" s="721">
        <f t="shared" si="63"/>
        <v>1580920.077</v>
      </c>
      <c r="I180" s="721">
        <f t="shared" si="63"/>
        <v>1965067.7910000002</v>
      </c>
      <c r="J180" s="721">
        <f t="shared" si="63"/>
        <v>2219846.37</v>
      </c>
      <c r="K180" s="721">
        <f t="shared" si="63"/>
        <v>1724909.0430000001</v>
      </c>
      <c r="L180" s="721">
        <f t="shared" si="63"/>
        <v>1692363.3740000001</v>
      </c>
      <c r="M180" s="721">
        <f t="shared" si="63"/>
        <v>1108860.2120000001</v>
      </c>
      <c r="N180" s="721">
        <f t="shared" si="63"/>
        <v>678225.22699999996</v>
      </c>
      <c r="O180" s="721">
        <f t="shared" si="63"/>
        <v>454283.88400000002</v>
      </c>
      <c r="P180" s="721">
        <f t="shared" si="59"/>
        <v>13767713.823999999</v>
      </c>
      <c r="Q180" s="721"/>
    </row>
    <row r="181" spans="1:17" s="725" customFormat="1" x14ac:dyDescent="0.2">
      <c r="A181" s="718"/>
      <c r="B181" s="718" t="s">
        <v>105</v>
      </c>
      <c r="C181" s="718">
        <v>41</v>
      </c>
      <c r="D181" s="721">
        <f t="shared" si="63"/>
        <v>715686.64599999995</v>
      </c>
      <c r="E181" s="721">
        <f t="shared" si="63"/>
        <v>723322.54399999999</v>
      </c>
      <c r="F181" s="721">
        <f t="shared" si="63"/>
        <v>721587.85899999994</v>
      </c>
      <c r="G181" s="721">
        <f t="shared" si="63"/>
        <v>893700.30300000007</v>
      </c>
      <c r="H181" s="721">
        <f t="shared" si="63"/>
        <v>902546.43400000012</v>
      </c>
      <c r="I181" s="721">
        <f t="shared" si="63"/>
        <v>967290.95299999998</v>
      </c>
      <c r="J181" s="721">
        <f t="shared" si="63"/>
        <v>984923.92099999997</v>
      </c>
      <c r="K181" s="721">
        <f t="shared" si="63"/>
        <v>881329.02300000004</v>
      </c>
      <c r="L181" s="721">
        <f t="shared" si="63"/>
        <v>921278.62699999998</v>
      </c>
      <c r="M181" s="721">
        <f t="shared" si="63"/>
        <v>819888.06</v>
      </c>
      <c r="N181" s="721">
        <f t="shared" si="63"/>
        <v>725118.15899999999</v>
      </c>
      <c r="O181" s="721">
        <f t="shared" si="63"/>
        <v>208689.174</v>
      </c>
      <c r="P181" s="721">
        <f t="shared" si="59"/>
        <v>9465361.7030000016</v>
      </c>
      <c r="Q181" s="729"/>
    </row>
    <row r="182" spans="1:17" s="718" customFormat="1" ht="15" x14ac:dyDescent="0.25">
      <c r="A182" s="725"/>
      <c r="B182" s="725" t="s">
        <v>270</v>
      </c>
      <c r="C182" s="740" t="s">
        <v>346</v>
      </c>
      <c r="D182" s="729">
        <f t="shared" ref="D182:O182" si="64">D30+D165</f>
        <v>1921334.9100000001</v>
      </c>
      <c r="E182" s="729">
        <f t="shared" si="64"/>
        <v>1869187.75</v>
      </c>
      <c r="F182" s="729">
        <f t="shared" si="64"/>
        <v>2068982.99</v>
      </c>
      <c r="G182" s="729">
        <f t="shared" si="64"/>
        <v>3006871.56</v>
      </c>
      <c r="H182" s="729">
        <f t="shared" si="64"/>
        <v>3833917.62</v>
      </c>
      <c r="I182" s="729">
        <f t="shared" si="64"/>
        <v>4352917.41</v>
      </c>
      <c r="J182" s="729">
        <f t="shared" si="64"/>
        <v>4443467.74</v>
      </c>
      <c r="K182" s="729">
        <f t="shared" si="64"/>
        <v>3867486.2699999996</v>
      </c>
      <c r="L182" s="729">
        <f t="shared" si="64"/>
        <v>3813818.93</v>
      </c>
      <c r="M182" s="729">
        <f t="shared" si="64"/>
        <v>3266173.4099999997</v>
      </c>
      <c r="N182" s="729">
        <f t="shared" si="64"/>
        <v>2607580.04</v>
      </c>
      <c r="O182" s="729">
        <f t="shared" si="64"/>
        <v>2223953.0499999998</v>
      </c>
      <c r="P182" s="729">
        <f t="shared" si="59"/>
        <v>37275691.68</v>
      </c>
      <c r="Q182" s="729"/>
    </row>
    <row r="183" spans="1:17" s="718" customFormat="1" x14ac:dyDescent="0.2">
      <c r="B183" s="718" t="s">
        <v>128</v>
      </c>
      <c r="C183" s="719"/>
      <c r="D183" s="730">
        <f t="shared" ref="D183:O183" si="65">SUM(D170:D182)</f>
        <v>32170176.373000003</v>
      </c>
      <c r="E183" s="730">
        <f t="shared" si="65"/>
        <v>31198947.054000001</v>
      </c>
      <c r="F183" s="730">
        <f t="shared" si="65"/>
        <v>42837814.351000004</v>
      </c>
      <c r="G183" s="730">
        <f t="shared" si="65"/>
        <v>79747075.067000002</v>
      </c>
      <c r="H183" s="730">
        <f t="shared" si="65"/>
        <v>119738244.29700001</v>
      </c>
      <c r="I183" s="730">
        <f t="shared" si="65"/>
        <v>143450520.30600005</v>
      </c>
      <c r="J183" s="730">
        <f t="shared" si="65"/>
        <v>154958707.28100002</v>
      </c>
      <c r="K183" s="730">
        <f t="shared" si="65"/>
        <v>120914466.88500001</v>
      </c>
      <c r="L183" s="730">
        <f t="shared" si="65"/>
        <v>124606965.97600003</v>
      </c>
      <c r="M183" s="730">
        <f t="shared" si="65"/>
        <v>87282436.040999994</v>
      </c>
      <c r="N183" s="730">
        <f t="shared" si="65"/>
        <v>57937808.265999995</v>
      </c>
      <c r="O183" s="730">
        <f t="shared" si="65"/>
        <v>38950040.833000004</v>
      </c>
      <c r="P183" s="730">
        <f t="shared" si="59"/>
        <v>1033793202.7300003</v>
      </c>
      <c r="Q183" s="721"/>
    </row>
    <row r="184" spans="1:17" s="718" customFormat="1" x14ac:dyDescent="0.2">
      <c r="D184" s="721"/>
      <c r="E184" s="721"/>
      <c r="F184" s="721"/>
      <c r="G184" s="721"/>
      <c r="H184" s="721"/>
      <c r="I184" s="721"/>
      <c r="J184" s="721"/>
      <c r="K184" s="721"/>
      <c r="L184" s="721"/>
      <c r="M184" s="721"/>
      <c r="N184" s="721"/>
      <c r="O184" s="721"/>
      <c r="P184" s="721"/>
      <c r="Q184" s="721"/>
    </row>
    <row r="185" spans="1:17" s="718" customFormat="1" x14ac:dyDescent="0.2">
      <c r="B185" s="718" t="s">
        <v>171</v>
      </c>
      <c r="C185" s="718">
        <v>16</v>
      </c>
      <c r="D185" s="721">
        <f t="shared" ref="D185:O185" si="66">D8</f>
        <v>826.07600000000002</v>
      </c>
      <c r="E185" s="721">
        <f t="shared" si="66"/>
        <v>820.92700000000002</v>
      </c>
      <c r="F185" s="721">
        <f t="shared" si="66"/>
        <v>774.51800000000003</v>
      </c>
      <c r="G185" s="721">
        <f t="shared" si="66"/>
        <v>824.08199999999999</v>
      </c>
      <c r="H185" s="721">
        <f t="shared" si="66"/>
        <v>783.54899999999998</v>
      </c>
      <c r="I185" s="721">
        <f t="shared" si="66"/>
        <v>800.10699999999997</v>
      </c>
      <c r="J185" s="721">
        <f t="shared" si="66"/>
        <v>797.62900000000002</v>
      </c>
      <c r="K185" s="721">
        <f t="shared" si="66"/>
        <v>723.62300000000005</v>
      </c>
      <c r="L185" s="721">
        <f t="shared" si="66"/>
        <v>835.85599999999999</v>
      </c>
      <c r="M185" s="721">
        <f t="shared" si="66"/>
        <v>821.65099999999995</v>
      </c>
      <c r="N185" s="721">
        <f t="shared" si="66"/>
        <v>818.67499999999995</v>
      </c>
      <c r="O185" s="721">
        <f t="shared" si="66"/>
        <v>765.35199999999998</v>
      </c>
      <c r="P185" s="721">
        <f t="shared" ref="P185:P195" si="67">SUM(D185:O185)</f>
        <v>9592.0450000000001</v>
      </c>
      <c r="Q185" s="721"/>
    </row>
    <row r="186" spans="1:17" s="718" customFormat="1" x14ac:dyDescent="0.2">
      <c r="B186" s="718" t="str">
        <f t="shared" ref="B186:O186" si="68">B10</f>
        <v>Propane</v>
      </c>
      <c r="C186" s="719">
        <f t="shared" si="68"/>
        <v>53</v>
      </c>
      <c r="D186" s="721">
        <f t="shared" si="68"/>
        <v>9.0079999999999991</v>
      </c>
      <c r="E186" s="721">
        <f t="shared" si="68"/>
        <v>9.2899999999999991</v>
      </c>
      <c r="F186" s="721">
        <f t="shared" si="68"/>
        <v>23.614000000000001</v>
      </c>
      <c r="G186" s="721">
        <f t="shared" si="68"/>
        <v>52.81</v>
      </c>
      <c r="H186" s="721">
        <f t="shared" si="68"/>
        <v>67.945999999999998</v>
      </c>
      <c r="I186" s="721">
        <f t="shared" si="68"/>
        <v>68.12700000000001</v>
      </c>
      <c r="J186" s="721">
        <f t="shared" si="68"/>
        <v>56.914999999999999</v>
      </c>
      <c r="K186" s="721">
        <f t="shared" si="68"/>
        <v>7.5629999999999997</v>
      </c>
      <c r="L186" s="721">
        <f t="shared" si="68"/>
        <v>0</v>
      </c>
      <c r="M186" s="721">
        <f t="shared" si="68"/>
        <v>0</v>
      </c>
      <c r="N186" s="721">
        <f t="shared" si="68"/>
        <v>0</v>
      </c>
      <c r="O186" s="721">
        <f t="shared" si="68"/>
        <v>0</v>
      </c>
      <c r="P186" s="721">
        <f t="shared" si="67"/>
        <v>295.27300000000002</v>
      </c>
      <c r="Q186" s="721"/>
    </row>
    <row r="187" spans="1:17" s="718" customFormat="1" x14ac:dyDescent="0.2">
      <c r="B187" s="709" t="s">
        <v>390</v>
      </c>
      <c r="C187" s="724" t="s">
        <v>387</v>
      </c>
      <c r="D187" s="721">
        <f t="shared" ref="D187:O187" si="69">D22</f>
        <v>833.33</v>
      </c>
      <c r="E187" s="721">
        <f t="shared" si="69"/>
        <v>852.46</v>
      </c>
      <c r="F187" s="721">
        <f t="shared" si="69"/>
        <v>1004.34</v>
      </c>
      <c r="G187" s="721">
        <f t="shared" si="69"/>
        <v>1858.11</v>
      </c>
      <c r="H187" s="721">
        <f t="shared" si="69"/>
        <v>2420.34</v>
      </c>
      <c r="I187" s="721">
        <f t="shared" si="69"/>
        <v>3639.8599999999997</v>
      </c>
      <c r="J187" s="721">
        <f t="shared" si="69"/>
        <v>2356.8000000000002</v>
      </c>
      <c r="K187" s="721">
        <f t="shared" si="69"/>
        <v>2713.47</v>
      </c>
      <c r="L187" s="721">
        <f t="shared" si="69"/>
        <v>2240.84</v>
      </c>
      <c r="M187" s="721">
        <f t="shared" si="69"/>
        <v>1514.91</v>
      </c>
      <c r="N187" s="721">
        <f t="shared" si="69"/>
        <v>975.42</v>
      </c>
      <c r="O187" s="721">
        <f t="shared" si="69"/>
        <v>955</v>
      </c>
      <c r="P187" s="721">
        <f t="shared" si="67"/>
        <v>21364.879999999994</v>
      </c>
      <c r="Q187" s="721"/>
    </row>
    <row r="188" spans="1:17" s="718" customFormat="1" x14ac:dyDescent="0.2">
      <c r="B188" s="718" t="str">
        <f t="shared" ref="B188:O190" si="70">B19</f>
        <v>Interruptible with firm option - ind</v>
      </c>
      <c r="C188" s="719">
        <f t="shared" si="70"/>
        <v>85</v>
      </c>
      <c r="D188" s="721">
        <f t="shared" si="70"/>
        <v>118216.663</v>
      </c>
      <c r="E188" s="721">
        <f t="shared" si="70"/>
        <v>108078.61899999999</v>
      </c>
      <c r="F188" s="721">
        <f t="shared" si="70"/>
        <v>117621.26699999999</v>
      </c>
      <c r="G188" s="721">
        <f t="shared" si="70"/>
        <v>132658.54500000001</v>
      </c>
      <c r="H188" s="721">
        <f t="shared" si="70"/>
        <v>150576.024</v>
      </c>
      <c r="I188" s="721">
        <f t="shared" si="70"/>
        <v>162942.16400000002</v>
      </c>
      <c r="J188" s="721">
        <f t="shared" si="70"/>
        <v>152783.32999999999</v>
      </c>
      <c r="K188" s="721">
        <f t="shared" si="70"/>
        <v>144144.49599999998</v>
      </c>
      <c r="L188" s="721">
        <f t="shared" si="70"/>
        <v>145396.611</v>
      </c>
      <c r="M188" s="721">
        <f t="shared" si="70"/>
        <v>149688.77699999997</v>
      </c>
      <c r="N188" s="721">
        <f t="shared" si="70"/>
        <v>126713.5</v>
      </c>
      <c r="O188" s="721">
        <f t="shared" si="70"/>
        <v>112017.696</v>
      </c>
      <c r="P188" s="721">
        <f t="shared" si="67"/>
        <v>1620837.692</v>
      </c>
      <c r="Q188" s="721"/>
    </row>
    <row r="189" spans="1:17" s="718" customFormat="1" x14ac:dyDescent="0.2">
      <c r="B189" s="718" t="str">
        <f t="shared" si="70"/>
        <v>Limited interrupt w/ firm option - ind</v>
      </c>
      <c r="C189" s="719">
        <f t="shared" si="70"/>
        <v>86</v>
      </c>
      <c r="D189" s="721">
        <f t="shared" si="70"/>
        <v>7050.719000000001</v>
      </c>
      <c r="E189" s="721">
        <f t="shared" si="70"/>
        <v>6990.4639999999999</v>
      </c>
      <c r="F189" s="721">
        <f t="shared" si="70"/>
        <v>59473.29</v>
      </c>
      <c r="G189" s="721">
        <f t="shared" si="70"/>
        <v>65278.603999999999</v>
      </c>
      <c r="H189" s="721">
        <f t="shared" si="70"/>
        <v>18252.848999999998</v>
      </c>
      <c r="I189" s="721">
        <f t="shared" si="70"/>
        <v>18496.313999999998</v>
      </c>
      <c r="J189" s="721">
        <f t="shared" si="70"/>
        <v>17702.267</v>
      </c>
      <c r="K189" s="721">
        <f t="shared" si="70"/>
        <v>18723.310999999998</v>
      </c>
      <c r="L189" s="721">
        <f t="shared" si="70"/>
        <v>17030.457000000002</v>
      </c>
      <c r="M189" s="721">
        <f t="shared" si="70"/>
        <v>21970.927</v>
      </c>
      <c r="N189" s="721">
        <f t="shared" si="70"/>
        <v>11131.916000000001</v>
      </c>
      <c r="O189" s="721">
        <f t="shared" si="70"/>
        <v>8571.3490000000002</v>
      </c>
      <c r="P189" s="721">
        <f t="shared" si="67"/>
        <v>270672.46699999995</v>
      </c>
      <c r="Q189" s="721"/>
    </row>
    <row r="190" spans="1:17" s="718" customFormat="1" x14ac:dyDescent="0.2">
      <c r="B190" s="718" t="str">
        <f t="shared" si="70"/>
        <v>Non-excl interrupt w/ firm option - ind</v>
      </c>
      <c r="C190" s="719">
        <f t="shared" si="70"/>
        <v>87</v>
      </c>
      <c r="D190" s="721">
        <f t="shared" si="70"/>
        <v>0</v>
      </c>
      <c r="E190" s="721">
        <f t="shared" si="70"/>
        <v>0</v>
      </c>
      <c r="F190" s="721">
        <f t="shared" si="70"/>
        <v>0</v>
      </c>
      <c r="G190" s="721">
        <f t="shared" si="70"/>
        <v>0</v>
      </c>
      <c r="H190" s="721">
        <f t="shared" si="70"/>
        <v>0</v>
      </c>
      <c r="I190" s="721">
        <f t="shared" si="70"/>
        <v>0</v>
      </c>
      <c r="J190" s="721">
        <f t="shared" si="70"/>
        <v>0</v>
      </c>
      <c r="K190" s="721">
        <f t="shared" si="70"/>
        <v>0</v>
      </c>
      <c r="L190" s="721">
        <f t="shared" si="70"/>
        <v>0</v>
      </c>
      <c r="M190" s="721">
        <f t="shared" si="70"/>
        <v>0</v>
      </c>
      <c r="N190" s="721">
        <f t="shared" si="70"/>
        <v>0</v>
      </c>
      <c r="O190" s="721">
        <f t="shared" si="70"/>
        <v>0</v>
      </c>
      <c r="P190" s="721">
        <f t="shared" si="67"/>
        <v>0</v>
      </c>
      <c r="Q190" s="721"/>
    </row>
    <row r="191" spans="1:17" s="718" customFormat="1" x14ac:dyDescent="0.2">
      <c r="B191" s="709" t="s">
        <v>261</v>
      </c>
      <c r="C191" s="724" t="s">
        <v>236</v>
      </c>
      <c r="D191" s="721">
        <f t="shared" ref="D191:O194" si="71">D26</f>
        <v>566917.64</v>
      </c>
      <c r="E191" s="721">
        <f t="shared" si="71"/>
        <v>536778.17999999993</v>
      </c>
      <c r="F191" s="721">
        <f t="shared" si="71"/>
        <v>501521.2</v>
      </c>
      <c r="G191" s="721">
        <f t="shared" si="71"/>
        <v>548774.43999999994</v>
      </c>
      <c r="H191" s="721">
        <f t="shared" si="71"/>
        <v>530865.47</v>
      </c>
      <c r="I191" s="721">
        <f t="shared" si="71"/>
        <v>502356.32999999996</v>
      </c>
      <c r="J191" s="721">
        <f t="shared" si="71"/>
        <v>587041.71</v>
      </c>
      <c r="K191" s="721">
        <f t="shared" si="71"/>
        <v>560063.15999999992</v>
      </c>
      <c r="L191" s="721">
        <f t="shared" si="71"/>
        <v>653291.67999999993</v>
      </c>
      <c r="M191" s="721">
        <f t="shared" si="71"/>
        <v>562059.31000000006</v>
      </c>
      <c r="N191" s="721">
        <f t="shared" si="71"/>
        <v>465111.51</v>
      </c>
      <c r="O191" s="721">
        <f t="shared" si="71"/>
        <v>456972.94</v>
      </c>
      <c r="P191" s="721">
        <f t="shared" si="67"/>
        <v>6471753.5699999994</v>
      </c>
      <c r="Q191" s="721"/>
    </row>
    <row r="192" spans="1:17" s="718" customFormat="1" x14ac:dyDescent="0.2">
      <c r="B192" s="709" t="s">
        <v>257</v>
      </c>
      <c r="C192" s="724" t="s">
        <v>231</v>
      </c>
      <c r="D192" s="721">
        <f t="shared" si="71"/>
        <v>4280828.5600000005</v>
      </c>
      <c r="E192" s="721">
        <f t="shared" si="71"/>
        <v>4715349.79</v>
      </c>
      <c r="F192" s="721">
        <f t="shared" si="71"/>
        <v>4631320.07</v>
      </c>
      <c r="G192" s="721">
        <f t="shared" si="71"/>
        <v>5126915.4399999995</v>
      </c>
      <c r="H192" s="721">
        <f t="shared" si="71"/>
        <v>4478198.82</v>
      </c>
      <c r="I192" s="721">
        <f t="shared" si="71"/>
        <v>4595260.34</v>
      </c>
      <c r="J192" s="721">
        <f t="shared" si="71"/>
        <v>4463633.12</v>
      </c>
      <c r="K192" s="721">
        <f t="shared" si="71"/>
        <v>4116771.16</v>
      </c>
      <c r="L192" s="721">
        <f t="shared" si="71"/>
        <v>4871480.7699999996</v>
      </c>
      <c r="M192" s="721">
        <f t="shared" si="71"/>
        <v>4319936.82</v>
      </c>
      <c r="N192" s="721">
        <f t="shared" si="71"/>
        <v>4256767.37</v>
      </c>
      <c r="O192" s="721">
        <f t="shared" si="71"/>
        <v>4233782.51</v>
      </c>
      <c r="P192" s="721">
        <f t="shared" si="67"/>
        <v>54090244.769999988</v>
      </c>
      <c r="Q192" s="721"/>
    </row>
    <row r="193" spans="1:17" s="718" customFormat="1" x14ac:dyDescent="0.2">
      <c r="B193" s="718" t="s">
        <v>321</v>
      </c>
      <c r="C193" s="724" t="s">
        <v>298</v>
      </c>
      <c r="D193" s="721">
        <f t="shared" si="71"/>
        <v>24835.61</v>
      </c>
      <c r="E193" s="721">
        <f t="shared" si="71"/>
        <v>18950.099999999999</v>
      </c>
      <c r="F193" s="721">
        <f t="shared" si="71"/>
        <v>14249</v>
      </c>
      <c r="G193" s="721">
        <f t="shared" si="71"/>
        <v>31358.14</v>
      </c>
      <c r="H193" s="721">
        <f t="shared" si="71"/>
        <v>28587.62</v>
      </c>
      <c r="I193" s="721">
        <f t="shared" si="71"/>
        <v>29791.48</v>
      </c>
      <c r="J193" s="721">
        <f t="shared" si="71"/>
        <v>49343.94</v>
      </c>
      <c r="K193" s="721">
        <f t="shared" si="71"/>
        <v>52603.87</v>
      </c>
      <c r="L193" s="721">
        <f t="shared" si="71"/>
        <v>40825.67</v>
      </c>
      <c r="M193" s="721">
        <f t="shared" si="71"/>
        <v>24785.5</v>
      </c>
      <c r="N193" s="721">
        <f t="shared" si="71"/>
        <v>18363.18</v>
      </c>
      <c r="O193" s="721">
        <f t="shared" si="71"/>
        <v>20942.59</v>
      </c>
      <c r="P193" s="721">
        <f t="shared" si="67"/>
        <v>354636.7</v>
      </c>
      <c r="Q193" s="721"/>
    </row>
    <row r="194" spans="1:17" s="718" customFormat="1" x14ac:dyDescent="0.2">
      <c r="B194" s="709" t="s">
        <v>262</v>
      </c>
      <c r="C194" s="724" t="s">
        <v>232</v>
      </c>
      <c r="D194" s="721">
        <f t="shared" si="71"/>
        <v>7598296.1299999999</v>
      </c>
      <c r="E194" s="721">
        <f t="shared" si="71"/>
        <v>7734935.3200000003</v>
      </c>
      <c r="F194" s="721">
        <f t="shared" si="71"/>
        <v>7364818.1600000001</v>
      </c>
      <c r="G194" s="721">
        <f t="shared" si="71"/>
        <v>7444983.4000000004</v>
      </c>
      <c r="H194" s="721">
        <f t="shared" si="71"/>
        <v>6267312.4800000004</v>
      </c>
      <c r="I194" s="721">
        <f t="shared" si="71"/>
        <v>7766997.3499999996</v>
      </c>
      <c r="J194" s="721">
        <f t="shared" si="71"/>
        <v>6317281.6500000004</v>
      </c>
      <c r="K194" s="721">
        <f t="shared" si="71"/>
        <v>6906246.4400000004</v>
      </c>
      <c r="L194" s="721">
        <f t="shared" si="71"/>
        <v>7685171.5099999998</v>
      </c>
      <c r="M194" s="721">
        <f t="shared" si="71"/>
        <v>6615627.5999999996</v>
      </c>
      <c r="N194" s="721">
        <f t="shared" si="71"/>
        <v>6953514.0099999998</v>
      </c>
      <c r="O194" s="721">
        <f t="shared" si="71"/>
        <v>6482373.2000000002</v>
      </c>
      <c r="P194" s="721">
        <f t="shared" si="67"/>
        <v>85137557.25</v>
      </c>
      <c r="Q194" s="729"/>
    </row>
    <row r="195" spans="1:17" s="718" customFormat="1" x14ac:dyDescent="0.2">
      <c r="B195" s="718" t="s">
        <v>139</v>
      </c>
      <c r="C195" s="719"/>
      <c r="D195" s="730">
        <f t="shared" ref="D195:O195" si="72">SUM(D185:D194)</f>
        <v>12597813.736000001</v>
      </c>
      <c r="E195" s="730">
        <f t="shared" si="72"/>
        <v>13122765.15</v>
      </c>
      <c r="F195" s="730">
        <f t="shared" si="72"/>
        <v>12690805.459000001</v>
      </c>
      <c r="G195" s="730">
        <f t="shared" si="72"/>
        <v>13352703.570999999</v>
      </c>
      <c r="H195" s="730">
        <f t="shared" si="72"/>
        <v>11477065.098000001</v>
      </c>
      <c r="I195" s="730">
        <f t="shared" si="72"/>
        <v>13080352.072000001</v>
      </c>
      <c r="J195" s="730">
        <f t="shared" si="72"/>
        <v>11590997.361000001</v>
      </c>
      <c r="K195" s="730">
        <f t="shared" si="72"/>
        <v>11801997.093</v>
      </c>
      <c r="L195" s="730">
        <f t="shared" si="72"/>
        <v>13416273.393999999</v>
      </c>
      <c r="M195" s="730">
        <f t="shared" si="72"/>
        <v>11696405.495000001</v>
      </c>
      <c r="N195" s="730">
        <f t="shared" si="72"/>
        <v>11833395.581</v>
      </c>
      <c r="O195" s="730">
        <f t="shared" si="72"/>
        <v>11316380.637</v>
      </c>
      <c r="P195" s="730">
        <f t="shared" si="67"/>
        <v>147976954.64699998</v>
      </c>
      <c r="Q195" s="729"/>
    </row>
    <row r="196" spans="1:17" x14ac:dyDescent="0.2">
      <c r="A196" s="718"/>
      <c r="B196" s="718" t="s">
        <v>120</v>
      </c>
      <c r="C196" s="719"/>
      <c r="D196" s="730">
        <f t="shared" ref="D196:O196" si="73">D183+D195</f>
        <v>44767990.109000005</v>
      </c>
      <c r="E196" s="730">
        <f t="shared" si="73"/>
        <v>44321712.204000004</v>
      </c>
      <c r="F196" s="730">
        <f t="shared" si="73"/>
        <v>55528619.810000002</v>
      </c>
      <c r="G196" s="730">
        <f t="shared" si="73"/>
        <v>93099778.637999997</v>
      </c>
      <c r="H196" s="730">
        <f t="shared" si="73"/>
        <v>131215309.39500001</v>
      </c>
      <c r="I196" s="730">
        <f t="shared" si="73"/>
        <v>156530872.37800005</v>
      </c>
      <c r="J196" s="730">
        <f t="shared" si="73"/>
        <v>166549704.64200002</v>
      </c>
      <c r="K196" s="730">
        <f t="shared" si="73"/>
        <v>132716463.978</v>
      </c>
      <c r="L196" s="730">
        <f t="shared" si="73"/>
        <v>138023239.37000003</v>
      </c>
      <c r="M196" s="730">
        <f t="shared" si="73"/>
        <v>98978841.535999998</v>
      </c>
      <c r="N196" s="730">
        <f t="shared" si="73"/>
        <v>69771203.847000003</v>
      </c>
      <c r="O196" s="730">
        <f t="shared" si="73"/>
        <v>50266421.470000006</v>
      </c>
      <c r="P196" s="730">
        <f>SUM(D196:O196)</f>
        <v>1181770157.3770001</v>
      </c>
      <c r="Q196" s="738"/>
    </row>
    <row r="197" spans="1:17" x14ac:dyDescent="0.2">
      <c r="C197" s="724"/>
      <c r="D197" s="738"/>
      <c r="E197" s="738"/>
      <c r="F197" s="738"/>
      <c r="G197" s="738"/>
      <c r="H197" s="738"/>
      <c r="I197" s="738"/>
      <c r="J197" s="738"/>
      <c r="K197" s="738"/>
      <c r="L197" s="738"/>
      <c r="M197" s="738"/>
      <c r="N197" s="738"/>
      <c r="O197" s="738"/>
      <c r="P197" s="738"/>
      <c r="Q197" s="738"/>
    </row>
    <row r="198" spans="1:17" x14ac:dyDescent="0.2">
      <c r="B198" s="751" t="s">
        <v>222</v>
      </c>
      <c r="C198" s="724"/>
      <c r="D198" s="738"/>
      <c r="E198" s="738"/>
      <c r="F198" s="738"/>
      <c r="G198" s="738"/>
      <c r="H198" s="738"/>
      <c r="I198" s="738"/>
      <c r="J198" s="738"/>
      <c r="K198" s="738"/>
      <c r="L198" s="738"/>
      <c r="M198" s="738"/>
      <c r="N198" s="738"/>
      <c r="O198" s="738"/>
      <c r="P198" s="738"/>
      <c r="Q198" s="732"/>
    </row>
    <row r="199" spans="1:17" x14ac:dyDescent="0.2">
      <c r="B199" s="753" t="s">
        <v>155</v>
      </c>
      <c r="C199" s="724"/>
      <c r="D199" s="738">
        <v>0</v>
      </c>
      <c r="E199" s="738">
        <v>0</v>
      </c>
      <c r="F199" s="738">
        <v>0</v>
      </c>
      <c r="G199" s="738">
        <v>0</v>
      </c>
      <c r="H199" s="738">
        <v>0</v>
      </c>
      <c r="I199" s="738">
        <v>0</v>
      </c>
      <c r="J199" s="738">
        <v>0</v>
      </c>
      <c r="K199" s="738">
        <v>0</v>
      </c>
      <c r="L199" s="738">
        <v>0</v>
      </c>
      <c r="M199" s="738">
        <v>0</v>
      </c>
      <c r="N199" s="738">
        <v>0</v>
      </c>
      <c r="O199" s="738">
        <v>0</v>
      </c>
      <c r="P199" s="732">
        <f>SUM(D199:O199)</f>
        <v>0</v>
      </c>
      <c r="Q199" s="732"/>
    </row>
    <row r="200" spans="1:17" x14ac:dyDescent="0.2">
      <c r="B200" s="753" t="s">
        <v>152</v>
      </c>
      <c r="C200" s="724"/>
      <c r="D200" s="738">
        <f t="shared" ref="D200:O200" si="74">D153</f>
        <v>0</v>
      </c>
      <c r="E200" s="738">
        <f t="shared" si="74"/>
        <v>0</v>
      </c>
      <c r="F200" s="738">
        <f t="shared" si="74"/>
        <v>1694668</v>
      </c>
      <c r="G200" s="738">
        <f t="shared" si="74"/>
        <v>-272791</v>
      </c>
      <c r="H200" s="738">
        <f t="shared" si="74"/>
        <v>2783060</v>
      </c>
      <c r="I200" s="738">
        <f t="shared" si="74"/>
        <v>-3713640</v>
      </c>
      <c r="J200" s="738">
        <f t="shared" si="74"/>
        <v>12126683</v>
      </c>
      <c r="K200" s="738">
        <f t="shared" si="74"/>
        <v>-7614772</v>
      </c>
      <c r="L200" s="738">
        <f t="shared" si="74"/>
        <v>473028</v>
      </c>
      <c r="M200" s="738">
        <f t="shared" si="74"/>
        <v>2407991</v>
      </c>
      <c r="N200" s="738">
        <f t="shared" si="74"/>
        <v>6809472</v>
      </c>
      <c r="O200" s="738">
        <f t="shared" si="74"/>
        <v>1560235</v>
      </c>
      <c r="P200" s="732">
        <f t="shared" ref="P200:P213" si="75">SUM(D200:O200)</f>
        <v>16253934</v>
      </c>
      <c r="Q200" s="732"/>
    </row>
    <row r="201" spans="1:17" x14ac:dyDescent="0.2">
      <c r="B201" s="754" t="s">
        <v>154</v>
      </c>
      <c r="C201" s="724"/>
      <c r="D201" s="738">
        <f t="shared" ref="D201:L201" si="76">SUM(D154:D154)+D163</f>
        <v>0</v>
      </c>
      <c r="E201" s="738">
        <f t="shared" si="76"/>
        <v>0</v>
      </c>
      <c r="F201" s="738">
        <f t="shared" si="76"/>
        <v>29453</v>
      </c>
      <c r="G201" s="738">
        <f t="shared" si="76"/>
        <v>-58207</v>
      </c>
      <c r="H201" s="738">
        <f t="shared" si="76"/>
        <v>713566</v>
      </c>
      <c r="I201" s="738">
        <f t="shared" si="76"/>
        <v>-1046390</v>
      </c>
      <c r="J201" s="738">
        <f t="shared" si="76"/>
        <v>3448555</v>
      </c>
      <c r="K201" s="738">
        <f t="shared" si="76"/>
        <v>-2075842</v>
      </c>
      <c r="L201" s="738">
        <f t="shared" si="76"/>
        <v>128378</v>
      </c>
      <c r="M201" s="738">
        <f t="shared" ref="M201:O201" si="77">SUM(M154:M154)+M163</f>
        <v>585540</v>
      </c>
      <c r="N201" s="738">
        <f t="shared" si="77"/>
        <v>1398065</v>
      </c>
      <c r="O201" s="738">
        <f t="shared" si="77"/>
        <v>24530</v>
      </c>
      <c r="P201" s="732">
        <f t="shared" si="75"/>
        <v>3147648</v>
      </c>
      <c r="Q201" s="732"/>
    </row>
    <row r="202" spans="1:17" x14ac:dyDescent="0.2">
      <c r="B202" s="753" t="s">
        <v>153</v>
      </c>
      <c r="C202" s="724"/>
      <c r="D202" s="738">
        <f t="shared" ref="D202:O202" si="78">SUM(D155:D155)+D164</f>
        <v>0</v>
      </c>
      <c r="E202" s="738">
        <f t="shared" si="78"/>
        <v>0</v>
      </c>
      <c r="F202" s="738">
        <f t="shared" si="78"/>
        <v>87691</v>
      </c>
      <c r="G202" s="738">
        <f t="shared" si="78"/>
        <v>-16121</v>
      </c>
      <c r="H202" s="738">
        <f t="shared" si="78"/>
        <v>149806</v>
      </c>
      <c r="I202" s="738">
        <f t="shared" si="78"/>
        <v>-201256</v>
      </c>
      <c r="J202" s="738">
        <f t="shared" si="78"/>
        <v>669833</v>
      </c>
      <c r="K202" s="738">
        <f t="shared" si="78"/>
        <v>-403520</v>
      </c>
      <c r="L202" s="738">
        <f t="shared" si="78"/>
        <v>28969</v>
      </c>
      <c r="M202" s="738">
        <f t="shared" si="78"/>
        <v>145624</v>
      </c>
      <c r="N202" s="738">
        <f t="shared" si="78"/>
        <v>480685</v>
      </c>
      <c r="O202" s="738">
        <f t="shared" si="78"/>
        <v>124587</v>
      </c>
      <c r="P202" s="732">
        <f t="shared" si="75"/>
        <v>1066298</v>
      </c>
      <c r="Q202" s="732"/>
    </row>
    <row r="203" spans="1:17" x14ac:dyDescent="0.2">
      <c r="B203" s="753" t="s">
        <v>159</v>
      </c>
      <c r="C203" s="724"/>
      <c r="D203" s="738">
        <v>0</v>
      </c>
      <c r="E203" s="738">
        <v>0</v>
      </c>
      <c r="F203" s="738">
        <v>0</v>
      </c>
      <c r="G203" s="738">
        <v>0</v>
      </c>
      <c r="H203" s="738">
        <v>0</v>
      </c>
      <c r="I203" s="738">
        <v>0</v>
      </c>
      <c r="J203" s="738">
        <v>0</v>
      </c>
      <c r="K203" s="738">
        <v>0</v>
      </c>
      <c r="L203" s="738">
        <v>0</v>
      </c>
      <c r="M203" s="738">
        <v>0</v>
      </c>
      <c r="N203" s="738">
        <v>0</v>
      </c>
      <c r="O203" s="738">
        <v>0</v>
      </c>
      <c r="P203" s="732">
        <f t="shared" si="75"/>
        <v>0</v>
      </c>
      <c r="Q203" s="732"/>
    </row>
    <row r="204" spans="1:17" x14ac:dyDescent="0.2">
      <c r="B204" s="753" t="s">
        <v>156</v>
      </c>
      <c r="C204" s="724"/>
      <c r="D204" s="738">
        <f t="shared" ref="D204:O207" si="79">D159</f>
        <v>0</v>
      </c>
      <c r="E204" s="738">
        <f t="shared" si="79"/>
        <v>0</v>
      </c>
      <c r="F204" s="738">
        <f t="shared" si="79"/>
        <v>0</v>
      </c>
      <c r="G204" s="738">
        <f t="shared" si="79"/>
        <v>-1179</v>
      </c>
      <c r="H204" s="738">
        <f t="shared" si="79"/>
        <v>3170</v>
      </c>
      <c r="I204" s="738">
        <f t="shared" si="79"/>
        <v>0</v>
      </c>
      <c r="J204" s="738">
        <f t="shared" si="79"/>
        <v>70309</v>
      </c>
      <c r="K204" s="738">
        <f t="shared" si="79"/>
        <v>-43357</v>
      </c>
      <c r="L204" s="738">
        <f t="shared" si="79"/>
        <v>1732</v>
      </c>
      <c r="M204" s="738">
        <f t="shared" si="79"/>
        <v>7108</v>
      </c>
      <c r="N204" s="738">
        <f t="shared" si="79"/>
        <v>0</v>
      </c>
      <c r="O204" s="738">
        <f t="shared" si="79"/>
        <v>0</v>
      </c>
      <c r="P204" s="732">
        <f t="shared" si="75"/>
        <v>37783</v>
      </c>
      <c r="Q204" s="732"/>
    </row>
    <row r="205" spans="1:17" x14ac:dyDescent="0.2">
      <c r="B205" s="753" t="s">
        <v>157</v>
      </c>
      <c r="C205" s="724"/>
      <c r="D205" s="738">
        <f t="shared" si="79"/>
        <v>0</v>
      </c>
      <c r="E205" s="738">
        <f t="shared" si="79"/>
        <v>0</v>
      </c>
      <c r="F205" s="738">
        <f t="shared" si="79"/>
        <v>0</v>
      </c>
      <c r="G205" s="738">
        <f t="shared" si="79"/>
        <v>-1377</v>
      </c>
      <c r="H205" s="738">
        <f t="shared" si="79"/>
        <v>3547</v>
      </c>
      <c r="I205" s="738">
        <f t="shared" si="79"/>
        <v>0</v>
      </c>
      <c r="J205" s="738">
        <f t="shared" si="79"/>
        <v>71982</v>
      </c>
      <c r="K205" s="738">
        <f t="shared" si="79"/>
        <v>-47007</v>
      </c>
      <c r="L205" s="738">
        <f t="shared" si="79"/>
        <v>1822</v>
      </c>
      <c r="M205" s="738">
        <f t="shared" si="79"/>
        <v>7404</v>
      </c>
      <c r="N205" s="738">
        <f t="shared" si="79"/>
        <v>0</v>
      </c>
      <c r="O205" s="738">
        <f t="shared" si="79"/>
        <v>0</v>
      </c>
      <c r="P205" s="732">
        <f t="shared" si="75"/>
        <v>36371</v>
      </c>
      <c r="Q205" s="732"/>
    </row>
    <row r="206" spans="1:17" x14ac:dyDescent="0.2">
      <c r="B206" s="753" t="s">
        <v>158</v>
      </c>
      <c r="C206" s="724"/>
      <c r="D206" s="738">
        <f t="shared" si="79"/>
        <v>0</v>
      </c>
      <c r="E206" s="738">
        <f t="shared" si="79"/>
        <v>0</v>
      </c>
      <c r="F206" s="738">
        <f t="shared" si="79"/>
        <v>0</v>
      </c>
      <c r="G206" s="738">
        <f t="shared" si="79"/>
        <v>-1464</v>
      </c>
      <c r="H206" s="738">
        <f t="shared" si="79"/>
        <v>4179</v>
      </c>
      <c r="I206" s="738">
        <f t="shared" si="79"/>
        <v>0</v>
      </c>
      <c r="J206" s="738">
        <f t="shared" si="79"/>
        <v>94022</v>
      </c>
      <c r="K206" s="738">
        <f t="shared" si="79"/>
        <v>-52176</v>
      </c>
      <c r="L206" s="738">
        <f t="shared" si="79"/>
        <v>2076</v>
      </c>
      <c r="M206" s="738">
        <f t="shared" si="79"/>
        <v>8419</v>
      </c>
      <c r="N206" s="738">
        <f t="shared" si="79"/>
        <v>0</v>
      </c>
      <c r="O206" s="738">
        <f t="shared" si="79"/>
        <v>0</v>
      </c>
      <c r="P206" s="732">
        <f t="shared" si="75"/>
        <v>55056</v>
      </c>
      <c r="Q206" s="732"/>
    </row>
    <row r="207" spans="1:17" x14ac:dyDescent="0.2">
      <c r="B207" s="709" t="s">
        <v>391</v>
      </c>
      <c r="C207" s="724"/>
      <c r="D207" s="738">
        <f t="shared" si="79"/>
        <v>0</v>
      </c>
      <c r="E207" s="738">
        <f t="shared" si="79"/>
        <v>0</v>
      </c>
      <c r="F207" s="738">
        <f t="shared" si="79"/>
        <v>24</v>
      </c>
      <c r="G207" s="738">
        <f t="shared" si="79"/>
        <v>-2</v>
      </c>
      <c r="H207" s="738">
        <f t="shared" si="79"/>
        <v>23</v>
      </c>
      <c r="I207" s="738">
        <f t="shared" si="79"/>
        <v>-25</v>
      </c>
      <c r="J207" s="738">
        <f t="shared" si="79"/>
        <v>115</v>
      </c>
      <c r="K207" s="738">
        <f t="shared" si="79"/>
        <v>-69</v>
      </c>
      <c r="L207" s="738">
        <f t="shared" si="79"/>
        <v>2</v>
      </c>
      <c r="M207" s="738">
        <f t="shared" si="79"/>
        <v>22</v>
      </c>
      <c r="N207" s="738">
        <f t="shared" si="79"/>
        <v>47</v>
      </c>
      <c r="O207" s="738">
        <f t="shared" si="79"/>
        <v>10</v>
      </c>
      <c r="P207" s="732">
        <f t="shared" si="75"/>
        <v>147</v>
      </c>
      <c r="Q207" s="732"/>
    </row>
    <row r="208" spans="1:17" x14ac:dyDescent="0.2">
      <c r="B208" s="709" t="s">
        <v>266</v>
      </c>
      <c r="C208" s="724"/>
      <c r="D208" s="738">
        <f t="shared" ref="D208:O209" si="80">D156</f>
        <v>0</v>
      </c>
      <c r="E208" s="738">
        <f t="shared" si="80"/>
        <v>0</v>
      </c>
      <c r="F208" s="738">
        <f t="shared" si="80"/>
        <v>0</v>
      </c>
      <c r="G208" s="738">
        <f t="shared" si="80"/>
        <v>-911</v>
      </c>
      <c r="H208" s="738">
        <f t="shared" si="80"/>
        <v>10330</v>
      </c>
      <c r="I208" s="738">
        <f t="shared" si="80"/>
        <v>-11569</v>
      </c>
      <c r="J208" s="738">
        <f t="shared" si="80"/>
        <v>53960</v>
      </c>
      <c r="K208" s="738">
        <f t="shared" si="80"/>
        <v>-31805</v>
      </c>
      <c r="L208" s="738">
        <f t="shared" si="80"/>
        <v>1092</v>
      </c>
      <c r="M208" s="738">
        <f t="shared" si="80"/>
        <v>12521</v>
      </c>
      <c r="N208" s="738">
        <f t="shared" si="80"/>
        <v>25984</v>
      </c>
      <c r="O208" s="738">
        <f t="shared" si="80"/>
        <v>0</v>
      </c>
      <c r="P208" s="732">
        <f t="shared" si="75"/>
        <v>59602</v>
      </c>
      <c r="Q208" s="732"/>
    </row>
    <row r="209" spans="1:17" x14ac:dyDescent="0.2">
      <c r="B209" s="709" t="s">
        <v>267</v>
      </c>
      <c r="C209" s="724"/>
      <c r="D209" s="738">
        <f t="shared" si="80"/>
        <v>0</v>
      </c>
      <c r="E209" s="738">
        <f t="shared" si="80"/>
        <v>0</v>
      </c>
      <c r="F209" s="738">
        <f t="shared" si="80"/>
        <v>0</v>
      </c>
      <c r="G209" s="738">
        <f t="shared" si="80"/>
        <v>-1608</v>
      </c>
      <c r="H209" s="738">
        <f t="shared" si="80"/>
        <v>18334</v>
      </c>
      <c r="I209" s="738">
        <f t="shared" si="80"/>
        <v>-21338</v>
      </c>
      <c r="J209" s="738">
        <f t="shared" si="80"/>
        <v>95773</v>
      </c>
      <c r="K209" s="738">
        <f t="shared" si="80"/>
        <v>-40499</v>
      </c>
      <c r="L209" s="738">
        <f t="shared" si="80"/>
        <v>1613</v>
      </c>
      <c r="M209" s="738">
        <f t="shared" si="80"/>
        <v>20904</v>
      </c>
      <c r="N209" s="738">
        <f t="shared" si="80"/>
        <v>62330</v>
      </c>
      <c r="O209" s="738">
        <f t="shared" si="80"/>
        <v>18537</v>
      </c>
      <c r="P209" s="732">
        <f t="shared" si="75"/>
        <v>154046</v>
      </c>
      <c r="Q209" s="732"/>
    </row>
    <row r="210" spans="1:17" x14ac:dyDescent="0.2">
      <c r="B210" s="718" t="s">
        <v>340</v>
      </c>
      <c r="C210" s="724"/>
      <c r="D210" s="738">
        <v>0</v>
      </c>
      <c r="E210" s="738">
        <v>0</v>
      </c>
      <c r="F210" s="738">
        <v>0</v>
      </c>
      <c r="G210" s="738">
        <v>0</v>
      </c>
      <c r="H210" s="738">
        <v>0</v>
      </c>
      <c r="I210" s="738">
        <v>0</v>
      </c>
      <c r="J210" s="738">
        <v>0</v>
      </c>
      <c r="K210" s="738">
        <v>0</v>
      </c>
      <c r="L210" s="738">
        <v>0</v>
      </c>
      <c r="M210" s="738">
        <v>0</v>
      </c>
      <c r="N210" s="738">
        <v>0</v>
      </c>
      <c r="O210" s="738">
        <v>0</v>
      </c>
      <c r="P210" s="732">
        <f t="shared" si="75"/>
        <v>0</v>
      </c>
      <c r="Q210" s="732"/>
    </row>
    <row r="211" spans="1:17" s="739" customFormat="1" x14ac:dyDescent="0.2">
      <c r="A211" s="709"/>
      <c r="B211" s="709" t="s">
        <v>268</v>
      </c>
      <c r="C211" s="724"/>
      <c r="D211" s="738">
        <f t="shared" ref="D211:O211" si="81">D158</f>
        <v>0</v>
      </c>
      <c r="E211" s="738">
        <f t="shared" si="81"/>
        <v>0</v>
      </c>
      <c r="F211" s="738">
        <f t="shared" si="81"/>
        <v>0</v>
      </c>
      <c r="G211" s="738">
        <f t="shared" si="81"/>
        <v>-2200</v>
      </c>
      <c r="H211" s="738">
        <f t="shared" si="81"/>
        <v>32863</v>
      </c>
      <c r="I211" s="738">
        <f t="shared" si="81"/>
        <v>-37796</v>
      </c>
      <c r="J211" s="738">
        <f t="shared" si="81"/>
        <v>167857</v>
      </c>
      <c r="K211" s="738">
        <f t="shared" si="81"/>
        <v>-89985</v>
      </c>
      <c r="L211" s="738">
        <f t="shared" si="81"/>
        <v>2749</v>
      </c>
      <c r="M211" s="738">
        <f t="shared" si="81"/>
        <v>37151</v>
      </c>
      <c r="N211" s="738">
        <f t="shared" si="81"/>
        <v>109586</v>
      </c>
      <c r="O211" s="738">
        <f t="shared" si="81"/>
        <v>24947</v>
      </c>
      <c r="P211" s="732">
        <f t="shared" si="75"/>
        <v>245172</v>
      </c>
      <c r="Q211" s="738"/>
    </row>
    <row r="212" spans="1:17" x14ac:dyDescent="0.2">
      <c r="A212" s="739"/>
      <c r="B212" s="755" t="s">
        <v>239</v>
      </c>
      <c r="C212" s="756"/>
      <c r="D212" s="738">
        <f t="shared" ref="D212:O212" si="82">D165</f>
        <v>0</v>
      </c>
      <c r="E212" s="738">
        <f t="shared" si="82"/>
        <v>0</v>
      </c>
      <c r="F212" s="738">
        <f t="shared" si="82"/>
        <v>125789</v>
      </c>
      <c r="G212" s="738">
        <f t="shared" si="82"/>
        <v>-7640</v>
      </c>
      <c r="H212" s="738">
        <f t="shared" si="82"/>
        <v>88655</v>
      </c>
      <c r="I212" s="738">
        <f t="shared" si="82"/>
        <v>-83661</v>
      </c>
      <c r="J212" s="738">
        <f t="shared" si="82"/>
        <v>411040</v>
      </c>
      <c r="K212" s="738">
        <f t="shared" si="82"/>
        <v>-247412</v>
      </c>
      <c r="L212" s="738">
        <f t="shared" si="82"/>
        <v>7408</v>
      </c>
      <c r="M212" s="738">
        <f t="shared" si="82"/>
        <v>109805</v>
      </c>
      <c r="N212" s="738">
        <f t="shared" si="82"/>
        <v>290178</v>
      </c>
      <c r="O212" s="738">
        <f t="shared" si="82"/>
        <v>87068</v>
      </c>
      <c r="P212" s="738">
        <f t="shared" si="75"/>
        <v>781230</v>
      </c>
      <c r="Q212" s="738"/>
    </row>
    <row r="213" spans="1:17" x14ac:dyDescent="0.2">
      <c r="B213" s="753" t="s">
        <v>129</v>
      </c>
      <c r="C213" s="724"/>
      <c r="D213" s="750">
        <f t="shared" ref="D213:O213" si="83">SUM(D199:D212)</f>
        <v>0</v>
      </c>
      <c r="E213" s="750">
        <f t="shared" si="83"/>
        <v>0</v>
      </c>
      <c r="F213" s="750">
        <f t="shared" si="83"/>
        <v>1937625</v>
      </c>
      <c r="G213" s="750">
        <f t="shared" si="83"/>
        <v>-363500</v>
      </c>
      <c r="H213" s="750">
        <f t="shared" si="83"/>
        <v>3807533</v>
      </c>
      <c r="I213" s="750">
        <f t="shared" si="83"/>
        <v>-5115675</v>
      </c>
      <c r="J213" s="750">
        <f t="shared" si="83"/>
        <v>17210129</v>
      </c>
      <c r="K213" s="750">
        <f t="shared" si="83"/>
        <v>-10646444</v>
      </c>
      <c r="L213" s="750">
        <f t="shared" si="83"/>
        <v>648869</v>
      </c>
      <c r="M213" s="750">
        <f t="shared" si="83"/>
        <v>3342489</v>
      </c>
      <c r="N213" s="750">
        <f t="shared" si="83"/>
        <v>9176347</v>
      </c>
      <c r="O213" s="750">
        <f t="shared" si="83"/>
        <v>1839914</v>
      </c>
      <c r="P213" s="750">
        <f t="shared" si="75"/>
        <v>21837287</v>
      </c>
      <c r="Q213" s="738"/>
    </row>
    <row r="214" spans="1:17" x14ac:dyDescent="0.2">
      <c r="B214" s="757" t="s">
        <v>114</v>
      </c>
      <c r="C214" s="758"/>
      <c r="D214" s="759">
        <f t="shared" ref="D214:O214" si="84">D213-D150</f>
        <v>0</v>
      </c>
      <c r="E214" s="759">
        <f t="shared" si="84"/>
        <v>0</v>
      </c>
      <c r="F214" s="759">
        <f t="shared" si="84"/>
        <v>-0.58639401569962502</v>
      </c>
      <c r="G214" s="759">
        <f t="shared" si="84"/>
        <v>0.20839445712044835</v>
      </c>
      <c r="H214" s="759">
        <f t="shared" si="84"/>
        <v>0.63969219289720058</v>
      </c>
      <c r="I214" s="759">
        <f t="shared" si="84"/>
        <v>1.0372067615389824</v>
      </c>
      <c r="J214" s="759">
        <f t="shared" si="84"/>
        <v>-1.0336297564208508</v>
      </c>
      <c r="K214" s="759">
        <f t="shared" si="84"/>
        <v>1.0201138965785503</v>
      </c>
      <c r="L214" s="759">
        <f t="shared" si="84"/>
        <v>1.945725679397583</v>
      </c>
      <c r="M214" s="759">
        <f t="shared" si="84"/>
        <v>-1.1089804284274578</v>
      </c>
      <c r="N214" s="759">
        <f t="shared" si="84"/>
        <v>0.14417979866266251</v>
      </c>
      <c r="O214" s="759">
        <f t="shared" si="84"/>
        <v>-6.451600044965744E-2</v>
      </c>
      <c r="P214" s="759">
        <f t="shared" ref="P214" si="85">SUM(D214:L214)</f>
        <v>3.2311092154122889</v>
      </c>
      <c r="Q214" s="738"/>
    </row>
    <row r="215" spans="1:17" x14ac:dyDescent="0.2">
      <c r="C215" s="724"/>
      <c r="D215" s="738"/>
      <c r="E215" s="738"/>
      <c r="F215" s="738"/>
      <c r="G215" s="738"/>
      <c r="H215" s="738"/>
      <c r="I215" s="738"/>
      <c r="J215" s="738"/>
      <c r="K215" s="738"/>
      <c r="L215" s="738"/>
      <c r="M215" s="738"/>
      <c r="N215" s="738"/>
      <c r="O215" s="738"/>
      <c r="P215" s="738"/>
      <c r="Q215" s="738"/>
    </row>
    <row r="216" spans="1:17" x14ac:dyDescent="0.2">
      <c r="B216" s="751" t="s">
        <v>223</v>
      </c>
      <c r="C216" s="724"/>
      <c r="D216" s="738"/>
      <c r="E216" s="738"/>
      <c r="F216" s="738"/>
      <c r="G216" s="738"/>
      <c r="H216" s="738"/>
      <c r="I216" s="738"/>
      <c r="J216" s="738"/>
      <c r="K216" s="738"/>
      <c r="L216" s="738"/>
      <c r="M216" s="738"/>
      <c r="N216" s="738"/>
      <c r="O216" s="738"/>
      <c r="P216" s="738"/>
      <c r="Q216" s="732"/>
    </row>
    <row r="217" spans="1:17" x14ac:dyDescent="0.2">
      <c r="B217" s="753" t="s">
        <v>155</v>
      </c>
      <c r="C217" s="724"/>
      <c r="D217" s="738">
        <f t="shared" ref="D217:O217" si="86">D185</f>
        <v>826.07600000000002</v>
      </c>
      <c r="E217" s="738">
        <f t="shared" si="86"/>
        <v>820.92700000000002</v>
      </c>
      <c r="F217" s="738">
        <f t="shared" si="86"/>
        <v>774.51800000000003</v>
      </c>
      <c r="G217" s="738">
        <f t="shared" si="86"/>
        <v>824.08199999999999</v>
      </c>
      <c r="H217" s="738">
        <f t="shared" si="86"/>
        <v>783.54899999999998</v>
      </c>
      <c r="I217" s="738">
        <f t="shared" si="86"/>
        <v>800.10699999999997</v>
      </c>
      <c r="J217" s="738">
        <f t="shared" si="86"/>
        <v>797.62900000000002</v>
      </c>
      <c r="K217" s="738">
        <f t="shared" si="86"/>
        <v>723.62300000000005</v>
      </c>
      <c r="L217" s="738">
        <f t="shared" si="86"/>
        <v>835.85599999999999</v>
      </c>
      <c r="M217" s="738">
        <f t="shared" si="86"/>
        <v>821.65099999999995</v>
      </c>
      <c r="N217" s="738">
        <f t="shared" si="86"/>
        <v>818.67499999999995</v>
      </c>
      <c r="O217" s="738">
        <f t="shared" si="86"/>
        <v>765.35199999999998</v>
      </c>
      <c r="P217" s="732">
        <f>SUM(D217:O217)</f>
        <v>9592.0450000000001</v>
      </c>
      <c r="Q217" s="732"/>
    </row>
    <row r="218" spans="1:17" x14ac:dyDescent="0.2">
      <c r="B218" s="753" t="s">
        <v>152</v>
      </c>
      <c r="C218" s="724"/>
      <c r="D218" s="738">
        <f t="shared" ref="D218:O218" si="87">D170+D186</f>
        <v>13443855.640999999</v>
      </c>
      <c r="E218" s="738">
        <f t="shared" si="87"/>
        <v>12736019.268999999</v>
      </c>
      <c r="F218" s="738">
        <f t="shared" si="87"/>
        <v>21647743.550999999</v>
      </c>
      <c r="G218" s="738">
        <f t="shared" si="87"/>
        <v>46156027.060000002</v>
      </c>
      <c r="H218" s="738">
        <f t="shared" si="87"/>
        <v>73741965.106999993</v>
      </c>
      <c r="I218" s="738">
        <f t="shared" si="87"/>
        <v>88509690.754000008</v>
      </c>
      <c r="J218" s="738">
        <f t="shared" si="87"/>
        <v>97226749.259000003</v>
      </c>
      <c r="K218" s="738">
        <f t="shared" si="87"/>
        <v>73367933.715999991</v>
      </c>
      <c r="L218" s="738">
        <f t="shared" si="87"/>
        <v>75843560.385000005</v>
      </c>
      <c r="M218" s="738">
        <f t="shared" si="87"/>
        <v>50269722.055</v>
      </c>
      <c r="N218" s="738">
        <f t="shared" si="87"/>
        <v>30887232.546</v>
      </c>
      <c r="O218" s="738">
        <f t="shared" si="87"/>
        <v>19275348.866999999</v>
      </c>
      <c r="P218" s="732">
        <f t="shared" ref="P218:P231" si="88">SUM(D218:O218)</f>
        <v>603105848.20999992</v>
      </c>
      <c r="Q218" s="732"/>
    </row>
    <row r="219" spans="1:17" x14ac:dyDescent="0.2">
      <c r="B219" s="754" t="s">
        <v>154</v>
      </c>
      <c r="C219" s="724"/>
      <c r="D219" s="738">
        <f t="shared" ref="D219:O219" si="89">SUM(D171:D171)+D180</f>
        <v>8023212.7980000004</v>
      </c>
      <c r="E219" s="738">
        <f t="shared" si="89"/>
        <v>7868703.7030000007</v>
      </c>
      <c r="F219" s="738">
        <f t="shared" si="89"/>
        <v>9578312.2190000005</v>
      </c>
      <c r="G219" s="738">
        <f t="shared" si="89"/>
        <v>16934863.227000002</v>
      </c>
      <c r="H219" s="738">
        <f t="shared" si="89"/>
        <v>25547691.226999998</v>
      </c>
      <c r="I219" s="738">
        <f t="shared" si="89"/>
        <v>31378118.582000002</v>
      </c>
      <c r="J219" s="738">
        <f t="shared" si="89"/>
        <v>33821766.534999996</v>
      </c>
      <c r="K219" s="738">
        <f t="shared" si="89"/>
        <v>26737363.708000001</v>
      </c>
      <c r="L219" s="738">
        <f t="shared" si="89"/>
        <v>27360801.246000003</v>
      </c>
      <c r="M219" s="738">
        <f t="shared" si="89"/>
        <v>19203020.005000003</v>
      </c>
      <c r="N219" s="738">
        <f t="shared" si="89"/>
        <v>12802351.787</v>
      </c>
      <c r="O219" s="738">
        <f t="shared" si="89"/>
        <v>9348527.4330000002</v>
      </c>
      <c r="P219" s="732">
        <f t="shared" si="88"/>
        <v>228604732.46999997</v>
      </c>
      <c r="Q219" s="732"/>
    </row>
    <row r="220" spans="1:17" x14ac:dyDescent="0.2">
      <c r="B220" s="753" t="s">
        <v>153</v>
      </c>
      <c r="C220" s="724"/>
      <c r="D220" s="738">
        <f t="shared" ref="D220:O220" si="90">D172+D181</f>
        <v>3152377.75</v>
      </c>
      <c r="E220" s="738">
        <f t="shared" si="90"/>
        <v>3028375.96</v>
      </c>
      <c r="F220" s="738">
        <f t="shared" si="90"/>
        <v>3590363.7609999999</v>
      </c>
      <c r="G220" s="738">
        <f t="shared" si="90"/>
        <v>5337793.7060000002</v>
      </c>
      <c r="H220" s="738">
        <f t="shared" si="90"/>
        <v>6705542.3960000006</v>
      </c>
      <c r="I220" s="738">
        <f t="shared" si="90"/>
        <v>7771080.1879999992</v>
      </c>
      <c r="J220" s="738">
        <f t="shared" si="90"/>
        <v>8199254.8569999998</v>
      </c>
      <c r="K220" s="738">
        <f t="shared" si="90"/>
        <v>6874280.1060000006</v>
      </c>
      <c r="L220" s="738">
        <f t="shared" si="90"/>
        <v>7182884.3100000005</v>
      </c>
      <c r="M220" s="738">
        <f t="shared" si="90"/>
        <v>5745988.2310000006</v>
      </c>
      <c r="N220" s="738">
        <f t="shared" si="90"/>
        <v>4481751.682</v>
      </c>
      <c r="O220" s="738">
        <f t="shared" si="90"/>
        <v>1897175.0699999998</v>
      </c>
      <c r="P220" s="732">
        <f t="shared" si="88"/>
        <v>63966868.016999997</v>
      </c>
      <c r="Q220" s="732"/>
    </row>
    <row r="221" spans="1:17" x14ac:dyDescent="0.2">
      <c r="B221" s="753" t="s">
        <v>159</v>
      </c>
      <c r="C221" s="724"/>
      <c r="D221" s="738"/>
      <c r="E221" s="738"/>
      <c r="F221" s="738"/>
      <c r="G221" s="738"/>
      <c r="H221" s="738"/>
      <c r="I221" s="738"/>
      <c r="J221" s="738"/>
      <c r="K221" s="738"/>
      <c r="L221" s="738"/>
      <c r="M221" s="738"/>
      <c r="N221" s="738"/>
      <c r="O221" s="738"/>
      <c r="P221" s="732">
        <f t="shared" si="88"/>
        <v>0</v>
      </c>
      <c r="Q221" s="732"/>
    </row>
    <row r="222" spans="1:17" x14ac:dyDescent="0.2">
      <c r="B222" s="753" t="s">
        <v>156</v>
      </c>
      <c r="C222" s="724"/>
      <c r="D222" s="738">
        <f t="shared" ref="D222:O224" si="91">D176+D188</f>
        <v>836289.44500000007</v>
      </c>
      <c r="E222" s="738">
        <f t="shared" si="91"/>
        <v>772468.12399999984</v>
      </c>
      <c r="F222" s="738">
        <f t="shared" si="91"/>
        <v>909674.81900000002</v>
      </c>
      <c r="G222" s="738">
        <f t="shared" si="91"/>
        <v>1382235.878</v>
      </c>
      <c r="H222" s="738">
        <f t="shared" si="91"/>
        <v>1705057.9990000001</v>
      </c>
      <c r="I222" s="738">
        <f t="shared" si="91"/>
        <v>2029384.3720000002</v>
      </c>
      <c r="J222" s="738">
        <f t="shared" si="91"/>
        <v>1933608.2690000001</v>
      </c>
      <c r="K222" s="738">
        <f t="shared" si="91"/>
        <v>1680524.0340000002</v>
      </c>
      <c r="L222" s="738">
        <f t="shared" si="91"/>
        <v>1789387.747</v>
      </c>
      <c r="M222" s="738">
        <f t="shared" si="91"/>
        <v>1400451.9129999999</v>
      </c>
      <c r="N222" s="738">
        <f t="shared" si="91"/>
        <v>1046948.3860000001</v>
      </c>
      <c r="O222" s="738">
        <f t="shared" si="91"/>
        <v>821758.44000000006</v>
      </c>
      <c r="P222" s="732">
        <f t="shared" si="88"/>
        <v>16307789.425999999</v>
      </c>
      <c r="Q222" s="732"/>
    </row>
    <row r="223" spans="1:17" x14ac:dyDescent="0.2">
      <c r="B223" s="753" t="s">
        <v>157</v>
      </c>
      <c r="C223" s="724"/>
      <c r="D223" s="738">
        <f t="shared" si="91"/>
        <v>215797.27499999999</v>
      </c>
      <c r="E223" s="738">
        <f t="shared" si="91"/>
        <v>200043.261</v>
      </c>
      <c r="F223" s="738">
        <f t="shared" si="91"/>
        <v>379761.01699999999</v>
      </c>
      <c r="G223" s="738">
        <f t="shared" si="91"/>
        <v>816241.58800000011</v>
      </c>
      <c r="H223" s="738">
        <f t="shared" si="91"/>
        <v>1048827.237</v>
      </c>
      <c r="I223" s="738">
        <f t="shared" si="91"/>
        <v>1301022.3529999999</v>
      </c>
      <c r="J223" s="738">
        <f t="shared" si="91"/>
        <v>1276427.676</v>
      </c>
      <c r="K223" s="738">
        <f t="shared" si="91"/>
        <v>1068462.2690000001</v>
      </c>
      <c r="L223" s="738">
        <f t="shared" si="91"/>
        <v>1127623.6189999999</v>
      </c>
      <c r="M223" s="738">
        <f t="shared" si="91"/>
        <v>868268.65500000014</v>
      </c>
      <c r="N223" s="738">
        <f t="shared" si="91"/>
        <v>488370.93900000007</v>
      </c>
      <c r="O223" s="738">
        <f t="shared" si="91"/>
        <v>316422.65299999999</v>
      </c>
      <c r="P223" s="732">
        <f t="shared" si="88"/>
        <v>9107268.5420000013</v>
      </c>
      <c r="Q223" s="732"/>
    </row>
    <row r="224" spans="1:17" x14ac:dyDescent="0.2">
      <c r="B224" s="753" t="s">
        <v>158</v>
      </c>
      <c r="C224" s="724"/>
      <c r="D224" s="738">
        <f t="shared" si="91"/>
        <v>1205163.1340000001</v>
      </c>
      <c r="E224" s="738">
        <f t="shared" si="91"/>
        <v>1191232.98</v>
      </c>
      <c r="F224" s="738">
        <f t="shared" si="91"/>
        <v>1297454.0249999999</v>
      </c>
      <c r="G224" s="738">
        <f t="shared" si="91"/>
        <v>1956862.8969999999</v>
      </c>
      <c r="H224" s="738">
        <f t="shared" si="91"/>
        <v>2346051.3509999998</v>
      </c>
      <c r="I224" s="738">
        <f t="shared" si="91"/>
        <v>2817477.4819999998</v>
      </c>
      <c r="J224" s="738">
        <f t="shared" si="91"/>
        <v>2582095.4070000001</v>
      </c>
      <c r="K224" s="738">
        <f t="shared" si="91"/>
        <v>2453869.7620000001</v>
      </c>
      <c r="L224" s="738">
        <f t="shared" si="91"/>
        <v>2432020.3769999999</v>
      </c>
      <c r="M224" s="738">
        <f t="shared" si="91"/>
        <v>2074669.916</v>
      </c>
      <c r="N224" s="738">
        <f t="shared" si="91"/>
        <v>1485710.202</v>
      </c>
      <c r="O224" s="738">
        <f t="shared" si="91"/>
        <v>1430551.095</v>
      </c>
      <c r="P224" s="732">
        <f t="shared" si="88"/>
        <v>23273158.627999999</v>
      </c>
      <c r="Q224" s="732"/>
    </row>
    <row r="225" spans="1:17" x14ac:dyDescent="0.2">
      <c r="B225" s="709" t="s">
        <v>391</v>
      </c>
      <c r="C225" s="724"/>
      <c r="D225" s="738">
        <f t="shared" ref="D225:O225" si="92">D187+D179</f>
        <v>910.31000000000006</v>
      </c>
      <c r="E225" s="738">
        <f t="shared" si="92"/>
        <v>879.71</v>
      </c>
      <c r="F225" s="738">
        <f t="shared" si="92"/>
        <v>1247.21</v>
      </c>
      <c r="G225" s="738">
        <f t="shared" si="92"/>
        <v>3838.74</v>
      </c>
      <c r="H225" s="738">
        <f t="shared" si="92"/>
        <v>5767.1</v>
      </c>
      <c r="I225" s="738">
        <f t="shared" si="92"/>
        <v>8025.07</v>
      </c>
      <c r="J225" s="738">
        <f t="shared" si="92"/>
        <v>5002.67</v>
      </c>
      <c r="K225" s="738">
        <f t="shared" si="92"/>
        <v>6550.45</v>
      </c>
      <c r="L225" s="738">
        <f t="shared" si="92"/>
        <v>5064.18</v>
      </c>
      <c r="M225" s="738">
        <f t="shared" si="92"/>
        <v>3517.5600000000004</v>
      </c>
      <c r="N225" s="738">
        <f t="shared" si="92"/>
        <v>1618.33</v>
      </c>
      <c r="O225" s="738">
        <f t="shared" si="92"/>
        <v>992.44</v>
      </c>
      <c r="P225" s="732">
        <f t="shared" si="88"/>
        <v>43413.770000000004</v>
      </c>
      <c r="Q225" s="732"/>
    </row>
    <row r="226" spans="1:17" x14ac:dyDescent="0.2">
      <c r="B226" s="709" t="s">
        <v>266</v>
      </c>
      <c r="C226" s="724"/>
      <c r="D226" s="738">
        <f t="shared" ref="D226:O227" si="93">D173+D191</f>
        <v>1409196.13</v>
      </c>
      <c r="E226" s="738">
        <f t="shared" si="93"/>
        <v>1455982.78</v>
      </c>
      <c r="F226" s="738">
        <f t="shared" si="93"/>
        <v>1376139.56</v>
      </c>
      <c r="G226" s="738">
        <f t="shared" si="93"/>
        <v>1587400.12</v>
      </c>
      <c r="H226" s="738">
        <f t="shared" si="93"/>
        <v>1682324.709</v>
      </c>
      <c r="I226" s="738">
        <f t="shared" si="93"/>
        <v>1740155.9700000002</v>
      </c>
      <c r="J226" s="738">
        <f t="shared" si="93"/>
        <v>1896974.1</v>
      </c>
      <c r="K226" s="738">
        <f t="shared" si="93"/>
        <v>1747749.17</v>
      </c>
      <c r="L226" s="738">
        <f t="shared" si="93"/>
        <v>1903759.5399999998</v>
      </c>
      <c r="M226" s="738">
        <f t="shared" si="93"/>
        <v>1695900.24</v>
      </c>
      <c r="N226" s="738">
        <f t="shared" si="93"/>
        <v>1488537.73</v>
      </c>
      <c r="O226" s="738">
        <f t="shared" si="93"/>
        <v>1270129.47</v>
      </c>
      <c r="P226" s="732">
        <f t="shared" si="88"/>
        <v>19254249.518999998</v>
      </c>
      <c r="Q226" s="732"/>
    </row>
    <row r="227" spans="1:17" x14ac:dyDescent="0.2">
      <c r="B227" s="709" t="s">
        <v>267</v>
      </c>
      <c r="C227" s="724"/>
      <c r="D227" s="738">
        <f t="shared" si="93"/>
        <v>5851763.6900000004</v>
      </c>
      <c r="E227" s="738">
        <f t="shared" si="93"/>
        <v>6367850.5700000003</v>
      </c>
      <c r="F227" s="738">
        <f t="shared" si="93"/>
        <v>6194771.8100000005</v>
      </c>
      <c r="G227" s="738">
        <f t="shared" si="93"/>
        <v>6948461.2199999997</v>
      </c>
      <c r="H227" s="738">
        <f t="shared" si="93"/>
        <v>6457225.9400000004</v>
      </c>
      <c r="I227" s="738">
        <f t="shared" si="93"/>
        <v>6748532.6200000001</v>
      </c>
      <c r="J227" s="738">
        <f t="shared" si="93"/>
        <v>6677618.04</v>
      </c>
      <c r="K227" s="738">
        <f t="shared" si="93"/>
        <v>6081561.6100000003</v>
      </c>
      <c r="L227" s="738">
        <f t="shared" si="93"/>
        <v>6977294.3499999996</v>
      </c>
      <c r="M227" s="738">
        <f t="shared" si="93"/>
        <v>6172882.9199999999</v>
      </c>
      <c r="N227" s="738">
        <f t="shared" si="93"/>
        <v>6120130.4900000002</v>
      </c>
      <c r="O227" s="738">
        <f t="shared" si="93"/>
        <v>5984493.8599999994</v>
      </c>
      <c r="P227" s="732">
        <f t="shared" si="88"/>
        <v>76582587.120000005</v>
      </c>
      <c r="Q227" s="732"/>
    </row>
    <row r="228" spans="1:17" x14ac:dyDescent="0.2">
      <c r="B228" s="718" t="s">
        <v>322</v>
      </c>
      <c r="C228" s="724"/>
      <c r="D228" s="738">
        <f t="shared" ref="D228:O228" si="94">D193</f>
        <v>24835.61</v>
      </c>
      <c r="E228" s="738">
        <f t="shared" si="94"/>
        <v>18950.099999999999</v>
      </c>
      <c r="F228" s="738">
        <f t="shared" si="94"/>
        <v>14249</v>
      </c>
      <c r="G228" s="738">
        <f t="shared" si="94"/>
        <v>31358.14</v>
      </c>
      <c r="H228" s="738">
        <f t="shared" si="94"/>
        <v>28587.62</v>
      </c>
      <c r="I228" s="738">
        <f t="shared" si="94"/>
        <v>29791.48</v>
      </c>
      <c r="J228" s="738">
        <f t="shared" si="94"/>
        <v>49343.94</v>
      </c>
      <c r="K228" s="738">
        <f t="shared" si="94"/>
        <v>52603.87</v>
      </c>
      <c r="L228" s="738">
        <f t="shared" si="94"/>
        <v>40825.67</v>
      </c>
      <c r="M228" s="738">
        <f t="shared" si="94"/>
        <v>24785.5</v>
      </c>
      <c r="N228" s="738">
        <f t="shared" si="94"/>
        <v>18363.18</v>
      </c>
      <c r="O228" s="738">
        <f t="shared" si="94"/>
        <v>20942.59</v>
      </c>
      <c r="P228" s="732">
        <f t="shared" si="88"/>
        <v>354636.7</v>
      </c>
      <c r="Q228" s="732"/>
    </row>
    <row r="229" spans="1:17" s="739" customFormat="1" x14ac:dyDescent="0.2">
      <c r="A229" s="709"/>
      <c r="B229" s="709" t="s">
        <v>268</v>
      </c>
      <c r="C229" s="724"/>
      <c r="D229" s="738">
        <f t="shared" ref="D229:O229" si="95">D175+D194</f>
        <v>8682427.3399999999</v>
      </c>
      <c r="E229" s="738">
        <f t="shared" si="95"/>
        <v>8811197.0700000003</v>
      </c>
      <c r="F229" s="738">
        <f t="shared" si="95"/>
        <v>8469145.3300000001</v>
      </c>
      <c r="G229" s="738">
        <f t="shared" si="95"/>
        <v>8937000.4199999999</v>
      </c>
      <c r="H229" s="738">
        <f t="shared" si="95"/>
        <v>8111567.540000001</v>
      </c>
      <c r="I229" s="738">
        <f t="shared" si="95"/>
        <v>9843875.9900000002</v>
      </c>
      <c r="J229" s="738">
        <f t="shared" si="95"/>
        <v>8436598.5199999996</v>
      </c>
      <c r="K229" s="738">
        <f t="shared" si="95"/>
        <v>8777355.3900000006</v>
      </c>
      <c r="L229" s="738">
        <f t="shared" si="95"/>
        <v>9545363.1600000001</v>
      </c>
      <c r="M229" s="738">
        <f t="shared" si="95"/>
        <v>8252639.4799999995</v>
      </c>
      <c r="N229" s="738">
        <f t="shared" si="95"/>
        <v>8341789.8599999994</v>
      </c>
      <c r="O229" s="738">
        <f t="shared" si="95"/>
        <v>7675361.1500000004</v>
      </c>
      <c r="P229" s="732">
        <f t="shared" si="88"/>
        <v>103884321.25000001</v>
      </c>
      <c r="Q229" s="738"/>
    </row>
    <row r="230" spans="1:17" x14ac:dyDescent="0.2">
      <c r="A230" s="739"/>
      <c r="B230" s="755" t="s">
        <v>239</v>
      </c>
      <c r="C230" s="756"/>
      <c r="D230" s="738">
        <f t="shared" ref="D230:O230" si="96">D182</f>
        <v>1921334.9100000001</v>
      </c>
      <c r="E230" s="738">
        <f t="shared" si="96"/>
        <v>1869187.75</v>
      </c>
      <c r="F230" s="738">
        <f t="shared" si="96"/>
        <v>2068982.99</v>
      </c>
      <c r="G230" s="738">
        <f t="shared" si="96"/>
        <v>3006871.56</v>
      </c>
      <c r="H230" s="738">
        <f t="shared" si="96"/>
        <v>3833917.62</v>
      </c>
      <c r="I230" s="738">
        <f t="shared" si="96"/>
        <v>4352917.41</v>
      </c>
      <c r="J230" s="738">
        <f t="shared" si="96"/>
        <v>4443467.74</v>
      </c>
      <c r="K230" s="738">
        <f t="shared" si="96"/>
        <v>3867486.2699999996</v>
      </c>
      <c r="L230" s="738">
        <f t="shared" si="96"/>
        <v>3813818.93</v>
      </c>
      <c r="M230" s="738">
        <f t="shared" si="96"/>
        <v>3266173.4099999997</v>
      </c>
      <c r="N230" s="738">
        <f t="shared" si="96"/>
        <v>2607580.04</v>
      </c>
      <c r="O230" s="738">
        <f t="shared" si="96"/>
        <v>2223953.0499999998</v>
      </c>
      <c r="P230" s="738">
        <f t="shared" si="88"/>
        <v>37275691.68</v>
      </c>
      <c r="Q230" s="738"/>
    </row>
    <row r="231" spans="1:17" x14ac:dyDescent="0.2">
      <c r="B231" s="753" t="s">
        <v>166</v>
      </c>
      <c r="C231" s="724"/>
      <c r="D231" s="750">
        <f t="shared" ref="D231:O231" si="97">SUM(D217:D230)</f>
        <v>44767990.108999997</v>
      </c>
      <c r="E231" s="750">
        <f t="shared" si="97"/>
        <v>44321712.204000011</v>
      </c>
      <c r="F231" s="750">
        <f t="shared" si="97"/>
        <v>55528619.809999995</v>
      </c>
      <c r="G231" s="750">
        <f t="shared" si="97"/>
        <v>93099778.638000011</v>
      </c>
      <c r="H231" s="750">
        <f t="shared" si="97"/>
        <v>131215309.395</v>
      </c>
      <c r="I231" s="750">
        <f t="shared" si="97"/>
        <v>156530872.37799999</v>
      </c>
      <c r="J231" s="750">
        <f t="shared" si="97"/>
        <v>166549704.64199999</v>
      </c>
      <c r="K231" s="750">
        <f t="shared" si="97"/>
        <v>132716463.97799999</v>
      </c>
      <c r="L231" s="750">
        <f t="shared" si="97"/>
        <v>138023239.37000003</v>
      </c>
      <c r="M231" s="750">
        <f t="shared" si="97"/>
        <v>98978841.535999998</v>
      </c>
      <c r="N231" s="750">
        <f t="shared" si="97"/>
        <v>69771203.847000003</v>
      </c>
      <c r="O231" s="750">
        <f t="shared" si="97"/>
        <v>50266421.470000006</v>
      </c>
      <c r="P231" s="750">
        <f t="shared" si="88"/>
        <v>1181770157.3770001</v>
      </c>
      <c r="Q231" s="738"/>
    </row>
    <row r="232" spans="1:17" x14ac:dyDescent="0.2">
      <c r="B232" s="757" t="s">
        <v>114</v>
      </c>
      <c r="C232" s="758"/>
      <c r="D232" s="759">
        <f t="shared" ref="D232:O232" si="98">D231-D196</f>
        <v>0</v>
      </c>
      <c r="E232" s="759">
        <f t="shared" si="98"/>
        <v>0</v>
      </c>
      <c r="F232" s="759">
        <f t="shared" si="98"/>
        <v>0</v>
      </c>
      <c r="G232" s="759">
        <f t="shared" si="98"/>
        <v>0</v>
      </c>
      <c r="H232" s="759">
        <f t="shared" si="98"/>
        <v>0</v>
      </c>
      <c r="I232" s="759">
        <f t="shared" si="98"/>
        <v>0</v>
      </c>
      <c r="J232" s="759">
        <f t="shared" si="98"/>
        <v>0</v>
      </c>
      <c r="K232" s="759">
        <f t="shared" si="98"/>
        <v>0</v>
      </c>
      <c r="L232" s="759">
        <f t="shared" si="98"/>
        <v>0</v>
      </c>
      <c r="M232" s="759">
        <f t="shared" si="98"/>
        <v>0</v>
      </c>
      <c r="N232" s="759">
        <f t="shared" si="98"/>
        <v>0</v>
      </c>
      <c r="O232" s="759">
        <f t="shared" si="98"/>
        <v>0</v>
      </c>
      <c r="P232" s="759">
        <f t="shared" ref="P232" si="99">SUM(D232:L232)</f>
        <v>0</v>
      </c>
      <c r="Q232" s="738"/>
    </row>
    <row r="233" spans="1:17" x14ac:dyDescent="0.2">
      <c r="B233" s="731" t="s">
        <v>403</v>
      </c>
      <c r="C233" s="758"/>
      <c r="D233" s="738">
        <f t="shared" ref="D233:O233" si="100">D222+D224+D227+D229+D230</f>
        <v>18496978.519000001</v>
      </c>
      <c r="E233" s="738">
        <f t="shared" si="100"/>
        <v>19011936.494000003</v>
      </c>
      <c r="F233" s="738">
        <f t="shared" si="100"/>
        <v>18940028.973999999</v>
      </c>
      <c r="G233" s="738">
        <f t="shared" si="100"/>
        <v>22231431.974999998</v>
      </c>
      <c r="H233" s="738">
        <f t="shared" si="100"/>
        <v>22453820.449999999</v>
      </c>
      <c r="I233" s="738">
        <f t="shared" si="100"/>
        <v>25792187.874000002</v>
      </c>
      <c r="J233" s="738">
        <f t="shared" si="100"/>
        <v>24073387.976000004</v>
      </c>
      <c r="K233" s="738">
        <f t="shared" si="100"/>
        <v>22860797.066</v>
      </c>
      <c r="L233" s="738">
        <f t="shared" si="100"/>
        <v>24557884.563999999</v>
      </c>
      <c r="M233" s="738">
        <f t="shared" si="100"/>
        <v>21166817.638999999</v>
      </c>
      <c r="N233" s="738">
        <f t="shared" si="100"/>
        <v>19602158.978</v>
      </c>
      <c r="O233" s="738">
        <f t="shared" si="100"/>
        <v>18136117.594999999</v>
      </c>
      <c r="P233" s="738">
        <f>SUM(D233:O233)</f>
        <v>257323548.104</v>
      </c>
      <c r="Q233" s="738"/>
    </row>
    <row r="234" spans="1:17" x14ac:dyDescent="0.2">
      <c r="C234" s="724"/>
      <c r="D234" s="738"/>
      <c r="E234" s="738"/>
      <c r="F234" s="738"/>
      <c r="G234" s="738"/>
      <c r="H234" s="738"/>
      <c r="I234" s="738"/>
      <c r="J234" s="738"/>
      <c r="K234" s="738"/>
      <c r="L234" s="738"/>
      <c r="M234" s="738"/>
      <c r="N234" s="738"/>
      <c r="O234" s="738"/>
      <c r="P234" s="738"/>
      <c r="Q234" s="738"/>
    </row>
    <row r="235" spans="1:17" s="718" customFormat="1" x14ac:dyDescent="0.2">
      <c r="A235" s="709"/>
      <c r="B235" s="751" t="s">
        <v>182</v>
      </c>
      <c r="C235" s="724"/>
      <c r="D235" s="738"/>
      <c r="E235" s="738"/>
      <c r="F235" s="738"/>
      <c r="G235" s="738"/>
      <c r="H235" s="738"/>
      <c r="I235" s="738"/>
      <c r="J235" s="738"/>
      <c r="K235" s="738"/>
      <c r="L235" s="738"/>
      <c r="M235" s="738"/>
      <c r="N235" s="738"/>
      <c r="O235" s="738"/>
      <c r="P235" s="738"/>
      <c r="Q235" s="729"/>
    </row>
    <row r="236" spans="1:17" s="718" customFormat="1" x14ac:dyDescent="0.2">
      <c r="B236" s="755" t="s">
        <v>269</v>
      </c>
      <c r="C236" s="719"/>
      <c r="D236" s="729">
        <f t="shared" ref="D236:O236" si="101">SUM(D36:D38)</f>
        <v>760069</v>
      </c>
      <c r="E236" s="729">
        <f t="shared" si="101"/>
        <v>760656</v>
      </c>
      <c r="F236" s="729">
        <f t="shared" si="101"/>
        <v>761862</v>
      </c>
      <c r="G236" s="729">
        <f t="shared" si="101"/>
        <v>763569</v>
      </c>
      <c r="H236" s="729">
        <f t="shared" si="101"/>
        <v>765588</v>
      </c>
      <c r="I236" s="729">
        <f t="shared" si="101"/>
        <v>767045</v>
      </c>
      <c r="J236" s="729">
        <f t="shared" si="101"/>
        <v>768045</v>
      </c>
      <c r="K236" s="729">
        <f t="shared" si="101"/>
        <v>769188</v>
      </c>
      <c r="L236" s="729">
        <f t="shared" si="101"/>
        <v>769910</v>
      </c>
      <c r="M236" s="729">
        <f t="shared" si="101"/>
        <v>770300</v>
      </c>
      <c r="N236" s="729">
        <f t="shared" si="101"/>
        <v>770946</v>
      </c>
      <c r="O236" s="729">
        <f t="shared" si="101"/>
        <v>771263</v>
      </c>
      <c r="P236" s="729">
        <f>SUM(D236:O236)</f>
        <v>9198441</v>
      </c>
      <c r="Q236" s="729"/>
    </row>
    <row r="237" spans="1:17" x14ac:dyDescent="0.2">
      <c r="A237" s="718"/>
      <c r="B237" s="754" t="s">
        <v>154</v>
      </c>
      <c r="C237" s="719"/>
      <c r="D237" s="729">
        <f t="shared" ref="D237:O237" si="102">SUM(D40,D47)</f>
        <v>56227</v>
      </c>
      <c r="E237" s="729">
        <f t="shared" si="102"/>
        <v>56189</v>
      </c>
      <c r="F237" s="729">
        <f t="shared" si="102"/>
        <v>56153</v>
      </c>
      <c r="G237" s="729">
        <f t="shared" si="102"/>
        <v>56243</v>
      </c>
      <c r="H237" s="729">
        <f t="shared" si="102"/>
        <v>56424</v>
      </c>
      <c r="I237" s="729">
        <f t="shared" si="102"/>
        <v>56574</v>
      </c>
      <c r="J237" s="729">
        <f t="shared" si="102"/>
        <v>56658</v>
      </c>
      <c r="K237" s="729">
        <f t="shared" si="102"/>
        <v>56661</v>
      </c>
      <c r="L237" s="729">
        <f t="shared" si="102"/>
        <v>56738</v>
      </c>
      <c r="M237" s="729">
        <f t="shared" si="102"/>
        <v>56700</v>
      </c>
      <c r="N237" s="729">
        <f t="shared" si="102"/>
        <v>56684</v>
      </c>
      <c r="O237" s="729">
        <f t="shared" si="102"/>
        <v>56609</v>
      </c>
      <c r="P237" s="729">
        <f t="shared" ref="P237:P249" si="103">SUM(D237:O237)</f>
        <v>677860</v>
      </c>
      <c r="Q237" s="738"/>
    </row>
    <row r="238" spans="1:17" x14ac:dyDescent="0.2">
      <c r="B238" s="755" t="s">
        <v>153</v>
      </c>
      <c r="C238" s="724"/>
      <c r="D238" s="738">
        <f t="shared" ref="D238:O238" si="104">D41+D48</f>
        <v>1358</v>
      </c>
      <c r="E238" s="738">
        <f t="shared" si="104"/>
        <v>1351</v>
      </c>
      <c r="F238" s="738">
        <f t="shared" si="104"/>
        <v>1359</v>
      </c>
      <c r="G238" s="738">
        <f t="shared" si="104"/>
        <v>1363</v>
      </c>
      <c r="H238" s="738">
        <f t="shared" si="104"/>
        <v>1360</v>
      </c>
      <c r="I238" s="738">
        <f t="shared" si="104"/>
        <v>1358</v>
      </c>
      <c r="J238" s="738">
        <f t="shared" si="104"/>
        <v>1362</v>
      </c>
      <c r="K238" s="738">
        <f t="shared" si="104"/>
        <v>1357</v>
      </c>
      <c r="L238" s="738">
        <f t="shared" si="104"/>
        <v>1360</v>
      </c>
      <c r="M238" s="738">
        <f t="shared" si="104"/>
        <v>1363</v>
      </c>
      <c r="N238" s="738">
        <f t="shared" si="104"/>
        <v>1361</v>
      </c>
      <c r="O238" s="738">
        <f t="shared" si="104"/>
        <v>1352</v>
      </c>
      <c r="P238" s="738">
        <f t="shared" si="103"/>
        <v>16304</v>
      </c>
      <c r="Q238" s="738"/>
    </row>
    <row r="239" spans="1:17" x14ac:dyDescent="0.2">
      <c r="B239" s="755" t="s">
        <v>407</v>
      </c>
      <c r="C239" s="724"/>
      <c r="D239" s="738">
        <f t="shared" ref="D239:O239" si="105">SUM(D39,D43,D49)</f>
        <v>0</v>
      </c>
      <c r="E239" s="738">
        <f t="shared" si="105"/>
        <v>0</v>
      </c>
      <c r="F239" s="738">
        <f t="shared" si="105"/>
        <v>0</v>
      </c>
      <c r="G239" s="738">
        <f t="shared" si="105"/>
        <v>0</v>
      </c>
      <c r="H239" s="738">
        <f t="shared" si="105"/>
        <v>0</v>
      </c>
      <c r="I239" s="738">
        <f t="shared" si="105"/>
        <v>0</v>
      </c>
      <c r="J239" s="738">
        <f t="shared" si="105"/>
        <v>0</v>
      </c>
      <c r="K239" s="738">
        <f t="shared" si="105"/>
        <v>0</v>
      </c>
      <c r="L239" s="738">
        <f t="shared" si="105"/>
        <v>0</v>
      </c>
      <c r="M239" s="738">
        <f t="shared" si="105"/>
        <v>0</v>
      </c>
      <c r="N239" s="738">
        <f t="shared" si="105"/>
        <v>0</v>
      </c>
      <c r="O239" s="738">
        <f t="shared" si="105"/>
        <v>0</v>
      </c>
      <c r="P239" s="738">
        <f t="shared" si="103"/>
        <v>0</v>
      </c>
      <c r="Q239" s="738"/>
    </row>
    <row r="240" spans="1:17" x14ac:dyDescent="0.2">
      <c r="B240" s="755" t="s">
        <v>156</v>
      </c>
      <c r="C240" s="724"/>
      <c r="D240" s="738">
        <f t="shared" ref="D240:O242" si="106">D44+D50</f>
        <v>29</v>
      </c>
      <c r="E240" s="738">
        <f t="shared" si="106"/>
        <v>29</v>
      </c>
      <c r="F240" s="738">
        <f t="shared" si="106"/>
        <v>28</v>
      </c>
      <c r="G240" s="738">
        <f t="shared" si="106"/>
        <v>29</v>
      </c>
      <c r="H240" s="738">
        <f t="shared" si="106"/>
        <v>29</v>
      </c>
      <c r="I240" s="738">
        <f t="shared" si="106"/>
        <v>29</v>
      </c>
      <c r="J240" s="738">
        <f t="shared" si="106"/>
        <v>29</v>
      </c>
      <c r="K240" s="738">
        <f t="shared" si="106"/>
        <v>29</v>
      </c>
      <c r="L240" s="738">
        <f t="shared" si="106"/>
        <v>29</v>
      </c>
      <c r="M240" s="738">
        <f t="shared" si="106"/>
        <v>29</v>
      </c>
      <c r="N240" s="738">
        <f t="shared" si="106"/>
        <v>29</v>
      </c>
      <c r="O240" s="738">
        <f t="shared" si="106"/>
        <v>28</v>
      </c>
      <c r="P240" s="738">
        <f t="shared" si="103"/>
        <v>346</v>
      </c>
      <c r="Q240" s="738"/>
    </row>
    <row r="241" spans="1:17" x14ac:dyDescent="0.2">
      <c r="B241" s="755" t="s">
        <v>157</v>
      </c>
      <c r="C241" s="724"/>
      <c r="D241" s="738">
        <f t="shared" si="106"/>
        <v>229</v>
      </c>
      <c r="E241" s="738">
        <f t="shared" si="106"/>
        <v>229</v>
      </c>
      <c r="F241" s="738">
        <f t="shared" si="106"/>
        <v>229</v>
      </c>
      <c r="G241" s="738">
        <f t="shared" si="106"/>
        <v>228</v>
      </c>
      <c r="H241" s="738">
        <f t="shared" si="106"/>
        <v>228</v>
      </c>
      <c r="I241" s="738">
        <f t="shared" si="106"/>
        <v>228</v>
      </c>
      <c r="J241" s="738">
        <f t="shared" si="106"/>
        <v>228</v>
      </c>
      <c r="K241" s="738">
        <f t="shared" si="106"/>
        <v>228</v>
      </c>
      <c r="L241" s="738">
        <f t="shared" si="106"/>
        <v>228</v>
      </c>
      <c r="M241" s="738">
        <f t="shared" si="106"/>
        <v>228</v>
      </c>
      <c r="N241" s="738">
        <f t="shared" si="106"/>
        <v>227</v>
      </c>
      <c r="O241" s="738">
        <f t="shared" si="106"/>
        <v>227</v>
      </c>
      <c r="P241" s="738">
        <f t="shared" si="103"/>
        <v>2737</v>
      </c>
      <c r="Q241" s="738"/>
    </row>
    <row r="242" spans="1:17" x14ac:dyDescent="0.2">
      <c r="B242" s="755" t="s">
        <v>158</v>
      </c>
      <c r="C242" s="724"/>
      <c r="D242" s="738">
        <f t="shared" si="106"/>
        <v>5</v>
      </c>
      <c r="E242" s="738">
        <f t="shared" si="106"/>
        <v>5</v>
      </c>
      <c r="F242" s="738">
        <f t="shared" si="106"/>
        <v>5</v>
      </c>
      <c r="G242" s="738">
        <f t="shared" si="106"/>
        <v>5</v>
      </c>
      <c r="H242" s="738">
        <f t="shared" si="106"/>
        <v>5</v>
      </c>
      <c r="I242" s="738">
        <f t="shared" si="106"/>
        <v>5</v>
      </c>
      <c r="J242" s="738">
        <f t="shared" si="106"/>
        <v>5</v>
      </c>
      <c r="K242" s="738">
        <f t="shared" si="106"/>
        <v>5</v>
      </c>
      <c r="L242" s="738">
        <f t="shared" si="106"/>
        <v>5</v>
      </c>
      <c r="M242" s="738">
        <f t="shared" si="106"/>
        <v>5</v>
      </c>
      <c r="N242" s="738">
        <f t="shared" si="106"/>
        <v>5</v>
      </c>
      <c r="O242" s="738">
        <f t="shared" si="106"/>
        <v>5</v>
      </c>
      <c r="P242" s="738">
        <f t="shared" si="103"/>
        <v>60</v>
      </c>
      <c r="Q242" s="738"/>
    </row>
    <row r="243" spans="1:17" x14ac:dyDescent="0.2">
      <c r="B243" s="709" t="s">
        <v>391</v>
      </c>
      <c r="C243" s="724"/>
      <c r="D243" s="738">
        <f t="shared" ref="D243:O243" si="107">D53+D42</f>
        <v>3</v>
      </c>
      <c r="E243" s="738">
        <f t="shared" si="107"/>
        <v>3</v>
      </c>
      <c r="F243" s="738">
        <f t="shared" si="107"/>
        <v>3</v>
      </c>
      <c r="G243" s="738">
        <f t="shared" si="107"/>
        <v>3</v>
      </c>
      <c r="H243" s="738">
        <f t="shared" si="107"/>
        <v>3</v>
      </c>
      <c r="I243" s="738">
        <f t="shared" si="107"/>
        <v>3</v>
      </c>
      <c r="J243" s="738">
        <f t="shared" si="107"/>
        <v>3</v>
      </c>
      <c r="K243" s="738">
        <f t="shared" si="107"/>
        <v>3</v>
      </c>
      <c r="L243" s="738">
        <f t="shared" si="107"/>
        <v>3</v>
      </c>
      <c r="M243" s="738">
        <f t="shared" si="107"/>
        <v>3</v>
      </c>
      <c r="N243" s="738">
        <f t="shared" si="107"/>
        <v>3</v>
      </c>
      <c r="O243" s="738">
        <f t="shared" si="107"/>
        <v>3</v>
      </c>
      <c r="P243" s="738">
        <f t="shared" si="103"/>
        <v>36</v>
      </c>
      <c r="Q243" s="738"/>
    </row>
    <row r="244" spans="1:17" x14ac:dyDescent="0.2">
      <c r="B244" s="709" t="s">
        <v>266</v>
      </c>
      <c r="C244" s="724"/>
      <c r="D244" s="738">
        <f t="shared" ref="D244:O245" si="108">D54+D57</f>
        <v>99</v>
      </c>
      <c r="E244" s="738">
        <f t="shared" si="108"/>
        <v>98</v>
      </c>
      <c r="F244" s="738">
        <f t="shared" si="108"/>
        <v>99</v>
      </c>
      <c r="G244" s="738">
        <f t="shared" si="108"/>
        <v>100</v>
      </c>
      <c r="H244" s="738">
        <f t="shared" si="108"/>
        <v>101</v>
      </c>
      <c r="I244" s="738">
        <f t="shared" si="108"/>
        <v>101</v>
      </c>
      <c r="J244" s="738">
        <f t="shared" si="108"/>
        <v>103</v>
      </c>
      <c r="K244" s="738">
        <f t="shared" si="108"/>
        <v>105</v>
      </c>
      <c r="L244" s="738">
        <f t="shared" si="108"/>
        <v>105</v>
      </c>
      <c r="M244" s="738">
        <f t="shared" si="108"/>
        <v>105</v>
      </c>
      <c r="N244" s="738">
        <f t="shared" si="108"/>
        <v>105</v>
      </c>
      <c r="O244" s="738">
        <f t="shared" si="108"/>
        <v>109</v>
      </c>
      <c r="P244" s="738">
        <f t="shared" si="103"/>
        <v>1230</v>
      </c>
      <c r="Q244" s="738"/>
    </row>
    <row r="245" spans="1:17" x14ac:dyDescent="0.2">
      <c r="B245" s="709" t="s">
        <v>267</v>
      </c>
      <c r="C245" s="724"/>
      <c r="D245" s="738">
        <f t="shared" si="108"/>
        <v>99</v>
      </c>
      <c r="E245" s="738">
        <f t="shared" si="108"/>
        <v>100</v>
      </c>
      <c r="F245" s="738">
        <f t="shared" si="108"/>
        <v>100</v>
      </c>
      <c r="G245" s="738">
        <f t="shared" si="108"/>
        <v>100</v>
      </c>
      <c r="H245" s="738">
        <f t="shared" si="108"/>
        <v>101</v>
      </c>
      <c r="I245" s="738">
        <f t="shared" si="108"/>
        <v>100</v>
      </c>
      <c r="J245" s="738">
        <f t="shared" si="108"/>
        <v>101</v>
      </c>
      <c r="K245" s="738">
        <f t="shared" si="108"/>
        <v>101</v>
      </c>
      <c r="L245" s="738">
        <f t="shared" si="108"/>
        <v>101</v>
      </c>
      <c r="M245" s="738">
        <f t="shared" si="108"/>
        <v>101</v>
      </c>
      <c r="N245" s="738">
        <f t="shared" si="108"/>
        <v>102</v>
      </c>
      <c r="O245" s="738">
        <f t="shared" si="108"/>
        <v>103</v>
      </c>
      <c r="P245" s="738">
        <f t="shared" si="103"/>
        <v>1209</v>
      </c>
      <c r="Q245" s="738"/>
    </row>
    <row r="246" spans="1:17" x14ac:dyDescent="0.2">
      <c r="B246" s="718" t="s">
        <v>322</v>
      </c>
      <c r="C246" s="724"/>
      <c r="D246" s="738">
        <f t="shared" ref="D246:O246" si="109">D59</f>
        <v>4</v>
      </c>
      <c r="E246" s="738">
        <f t="shared" si="109"/>
        <v>4</v>
      </c>
      <c r="F246" s="738">
        <f t="shared" si="109"/>
        <v>4</v>
      </c>
      <c r="G246" s="738">
        <f t="shared" si="109"/>
        <v>4</v>
      </c>
      <c r="H246" s="738">
        <f t="shared" si="109"/>
        <v>2</v>
      </c>
      <c r="I246" s="738">
        <f t="shared" si="109"/>
        <v>2</v>
      </c>
      <c r="J246" s="738">
        <f t="shared" si="109"/>
        <v>2</v>
      </c>
      <c r="K246" s="738">
        <f t="shared" si="109"/>
        <v>2</v>
      </c>
      <c r="L246" s="738">
        <f t="shared" si="109"/>
        <v>2</v>
      </c>
      <c r="M246" s="738">
        <f t="shared" si="109"/>
        <v>2</v>
      </c>
      <c r="N246" s="738">
        <f t="shared" si="109"/>
        <v>2</v>
      </c>
      <c r="O246" s="738">
        <f t="shared" si="109"/>
        <v>2</v>
      </c>
      <c r="P246" s="738">
        <f t="shared" si="103"/>
        <v>32</v>
      </c>
      <c r="Q246" s="738"/>
    </row>
    <row r="247" spans="1:17" s="739" customFormat="1" x14ac:dyDescent="0.2">
      <c r="A247" s="709"/>
      <c r="B247" s="709" t="s">
        <v>268</v>
      </c>
      <c r="C247" s="724"/>
      <c r="D247" s="738">
        <f t="shared" ref="D247:O247" si="110">D56+D60</f>
        <v>10</v>
      </c>
      <c r="E247" s="738">
        <f t="shared" si="110"/>
        <v>10</v>
      </c>
      <c r="F247" s="738">
        <f t="shared" si="110"/>
        <v>10</v>
      </c>
      <c r="G247" s="738">
        <f t="shared" si="110"/>
        <v>10</v>
      </c>
      <c r="H247" s="738">
        <f t="shared" si="110"/>
        <v>10</v>
      </c>
      <c r="I247" s="738">
        <f t="shared" si="110"/>
        <v>10</v>
      </c>
      <c r="J247" s="738">
        <f t="shared" si="110"/>
        <v>10</v>
      </c>
      <c r="K247" s="738">
        <f t="shared" si="110"/>
        <v>10</v>
      </c>
      <c r="L247" s="738">
        <f t="shared" si="110"/>
        <v>10</v>
      </c>
      <c r="M247" s="738">
        <f t="shared" si="110"/>
        <v>10</v>
      </c>
      <c r="N247" s="738">
        <f t="shared" si="110"/>
        <v>10</v>
      </c>
      <c r="O247" s="738">
        <f t="shared" si="110"/>
        <v>10</v>
      </c>
      <c r="P247" s="738">
        <f t="shared" si="103"/>
        <v>120</v>
      </c>
      <c r="Q247" s="738"/>
    </row>
    <row r="248" spans="1:17" x14ac:dyDescent="0.2">
      <c r="A248" s="739"/>
      <c r="B248" s="755" t="s">
        <v>239</v>
      </c>
      <c r="C248" s="756"/>
      <c r="D248" s="738">
        <f t="shared" ref="D248:L248" si="111">SUM(D61:D61)</f>
        <v>10</v>
      </c>
      <c r="E248" s="738">
        <f t="shared" si="111"/>
        <v>10</v>
      </c>
      <c r="F248" s="738">
        <f t="shared" si="111"/>
        <v>10</v>
      </c>
      <c r="G248" s="738">
        <f t="shared" si="111"/>
        <v>10</v>
      </c>
      <c r="H248" s="738">
        <f t="shared" si="111"/>
        <v>10</v>
      </c>
      <c r="I248" s="738">
        <f t="shared" si="111"/>
        <v>10</v>
      </c>
      <c r="J248" s="738">
        <f t="shared" si="111"/>
        <v>10</v>
      </c>
      <c r="K248" s="738">
        <f t="shared" si="111"/>
        <v>10</v>
      </c>
      <c r="L248" s="738">
        <f t="shared" si="111"/>
        <v>10</v>
      </c>
      <c r="M248" s="738">
        <f t="shared" ref="M248:O248" si="112">SUM(M61:M61)</f>
        <v>10</v>
      </c>
      <c r="N248" s="738">
        <f t="shared" si="112"/>
        <v>10</v>
      </c>
      <c r="O248" s="738">
        <f t="shared" si="112"/>
        <v>10</v>
      </c>
      <c r="P248" s="738">
        <f t="shared" si="103"/>
        <v>120</v>
      </c>
      <c r="Q248" s="738"/>
    </row>
    <row r="249" spans="1:17" x14ac:dyDescent="0.2">
      <c r="B249" s="718" t="s">
        <v>185</v>
      </c>
      <c r="C249" s="724"/>
      <c r="D249" s="750">
        <f t="shared" ref="D249:O249" si="113">SUM(D236:D248)</f>
        <v>818142</v>
      </c>
      <c r="E249" s="750">
        <f t="shared" si="113"/>
        <v>818684</v>
      </c>
      <c r="F249" s="750">
        <f t="shared" si="113"/>
        <v>819862</v>
      </c>
      <c r="G249" s="750">
        <f t="shared" si="113"/>
        <v>821664</v>
      </c>
      <c r="H249" s="750">
        <f t="shared" si="113"/>
        <v>823861</v>
      </c>
      <c r="I249" s="750">
        <f t="shared" si="113"/>
        <v>825465</v>
      </c>
      <c r="J249" s="750">
        <f t="shared" si="113"/>
        <v>826556</v>
      </c>
      <c r="K249" s="750">
        <f t="shared" si="113"/>
        <v>827699</v>
      </c>
      <c r="L249" s="750">
        <f t="shared" si="113"/>
        <v>828501</v>
      </c>
      <c r="M249" s="750">
        <f t="shared" si="113"/>
        <v>828856</v>
      </c>
      <c r="N249" s="750">
        <f t="shared" si="113"/>
        <v>829484</v>
      </c>
      <c r="O249" s="750">
        <f t="shared" si="113"/>
        <v>829721</v>
      </c>
      <c r="P249" s="750">
        <f t="shared" si="103"/>
        <v>9898495</v>
      </c>
      <c r="Q249" s="729"/>
    </row>
    <row r="250" spans="1:17" x14ac:dyDescent="0.2">
      <c r="B250" s="760" t="s">
        <v>114</v>
      </c>
      <c r="C250" s="758"/>
      <c r="D250" s="759">
        <f t="shared" ref="D250:O250" si="114">D249-D62</f>
        <v>0</v>
      </c>
      <c r="E250" s="759">
        <f t="shared" si="114"/>
        <v>0</v>
      </c>
      <c r="F250" s="759">
        <f t="shared" si="114"/>
        <v>0</v>
      </c>
      <c r="G250" s="759">
        <f t="shared" si="114"/>
        <v>0</v>
      </c>
      <c r="H250" s="759">
        <f t="shared" si="114"/>
        <v>0</v>
      </c>
      <c r="I250" s="759">
        <f t="shared" si="114"/>
        <v>0</v>
      </c>
      <c r="J250" s="759">
        <f t="shared" si="114"/>
        <v>0</v>
      </c>
      <c r="K250" s="759">
        <f t="shared" si="114"/>
        <v>0</v>
      </c>
      <c r="L250" s="759">
        <f t="shared" si="114"/>
        <v>0</v>
      </c>
      <c r="M250" s="759">
        <f t="shared" si="114"/>
        <v>0</v>
      </c>
      <c r="N250" s="759">
        <f t="shared" si="114"/>
        <v>0</v>
      </c>
      <c r="O250" s="759">
        <f t="shared" si="114"/>
        <v>0</v>
      </c>
      <c r="P250" s="761">
        <f t="shared" ref="P250" si="115">SUM(D250:L250)</f>
        <v>0</v>
      </c>
      <c r="Q250" s="738"/>
    </row>
    <row r="251" spans="1:17" x14ac:dyDescent="0.2">
      <c r="C251" s="724"/>
      <c r="D251" s="738"/>
      <c r="E251" s="738"/>
      <c r="F251" s="738"/>
      <c r="G251" s="738"/>
      <c r="H251" s="738"/>
      <c r="I251" s="738"/>
      <c r="J251" s="738"/>
      <c r="K251" s="738"/>
      <c r="L251" s="738"/>
      <c r="M251" s="738"/>
      <c r="N251" s="738"/>
      <c r="O251" s="738"/>
      <c r="P251" s="738"/>
      <c r="Q251" s="738"/>
    </row>
    <row r="252" spans="1:17" x14ac:dyDescent="0.2">
      <c r="B252" s="751" t="s">
        <v>224</v>
      </c>
      <c r="C252" s="724"/>
      <c r="D252" s="738"/>
      <c r="E252" s="738"/>
      <c r="F252" s="738"/>
      <c r="G252" s="738"/>
      <c r="H252" s="738"/>
      <c r="I252" s="738"/>
      <c r="J252" s="738"/>
      <c r="K252" s="738"/>
      <c r="L252" s="738"/>
      <c r="M252" s="738"/>
      <c r="N252" s="738"/>
      <c r="O252" s="738"/>
      <c r="P252" s="738"/>
      <c r="Q252" s="738"/>
    </row>
    <row r="253" spans="1:17" x14ac:dyDescent="0.2">
      <c r="B253" s="755" t="s">
        <v>269</v>
      </c>
      <c r="C253" s="724"/>
      <c r="D253" s="738">
        <f t="shared" ref="D253:O253" si="116">SUM(D217:D218)</f>
        <v>13444681.716999998</v>
      </c>
      <c r="E253" s="738">
        <f t="shared" si="116"/>
        <v>12736840.195999999</v>
      </c>
      <c r="F253" s="738">
        <f t="shared" si="116"/>
        <v>21648518.068999998</v>
      </c>
      <c r="G253" s="738">
        <f t="shared" si="116"/>
        <v>46156851.142000005</v>
      </c>
      <c r="H253" s="738">
        <f t="shared" si="116"/>
        <v>73742748.655999988</v>
      </c>
      <c r="I253" s="738">
        <f t="shared" si="116"/>
        <v>88510490.861000001</v>
      </c>
      <c r="J253" s="738">
        <f t="shared" si="116"/>
        <v>97227546.887999997</v>
      </c>
      <c r="K253" s="738">
        <f t="shared" si="116"/>
        <v>73368657.338999987</v>
      </c>
      <c r="L253" s="738">
        <f t="shared" si="116"/>
        <v>75844396.241000012</v>
      </c>
      <c r="M253" s="738">
        <f t="shared" si="116"/>
        <v>50270543.706</v>
      </c>
      <c r="N253" s="738">
        <f t="shared" si="116"/>
        <v>30888051.221000001</v>
      </c>
      <c r="O253" s="738">
        <f t="shared" si="116"/>
        <v>19276114.219000001</v>
      </c>
      <c r="P253" s="738">
        <f>SUM(D253:O253)</f>
        <v>603115440.25499988</v>
      </c>
      <c r="Q253" s="738"/>
    </row>
    <row r="254" spans="1:17" x14ac:dyDescent="0.2">
      <c r="B254" s="754" t="s">
        <v>154</v>
      </c>
      <c r="C254" s="724"/>
      <c r="D254" s="738">
        <f t="shared" ref="D254:O254" si="117">SUM(D219:D219,D221:D221)</f>
        <v>8023212.7980000004</v>
      </c>
      <c r="E254" s="738">
        <f t="shared" si="117"/>
        <v>7868703.7030000007</v>
      </c>
      <c r="F254" s="738">
        <f t="shared" si="117"/>
        <v>9578312.2190000005</v>
      </c>
      <c r="G254" s="738">
        <f t="shared" si="117"/>
        <v>16934863.227000002</v>
      </c>
      <c r="H254" s="738">
        <f t="shared" si="117"/>
        <v>25547691.226999998</v>
      </c>
      <c r="I254" s="738">
        <f t="shared" si="117"/>
        <v>31378118.582000002</v>
      </c>
      <c r="J254" s="738">
        <f t="shared" si="117"/>
        <v>33821766.534999996</v>
      </c>
      <c r="K254" s="738">
        <f t="shared" si="117"/>
        <v>26737363.708000001</v>
      </c>
      <c r="L254" s="738">
        <f t="shared" si="117"/>
        <v>27360801.246000003</v>
      </c>
      <c r="M254" s="738">
        <f t="shared" si="117"/>
        <v>19203020.005000003</v>
      </c>
      <c r="N254" s="738">
        <f t="shared" si="117"/>
        <v>12802351.787</v>
      </c>
      <c r="O254" s="738">
        <f t="shared" si="117"/>
        <v>9348527.4330000002</v>
      </c>
      <c r="P254" s="738">
        <f t="shared" ref="P254:P265" si="118">SUM(D254:O254)</f>
        <v>228604732.46999997</v>
      </c>
      <c r="Q254" s="738"/>
    </row>
    <row r="255" spans="1:17" x14ac:dyDescent="0.2">
      <c r="B255" s="755" t="s">
        <v>153</v>
      </c>
      <c r="C255" s="724"/>
      <c r="D255" s="738">
        <f t="shared" ref="D255:O255" si="119">D220</f>
        <v>3152377.75</v>
      </c>
      <c r="E255" s="738">
        <f t="shared" si="119"/>
        <v>3028375.96</v>
      </c>
      <c r="F255" s="738">
        <f t="shared" si="119"/>
        <v>3590363.7609999999</v>
      </c>
      <c r="G255" s="738">
        <f t="shared" si="119"/>
        <v>5337793.7060000002</v>
      </c>
      <c r="H255" s="738">
        <f t="shared" si="119"/>
        <v>6705542.3960000006</v>
      </c>
      <c r="I255" s="738">
        <f t="shared" si="119"/>
        <v>7771080.1879999992</v>
      </c>
      <c r="J255" s="738">
        <f t="shared" si="119"/>
        <v>8199254.8569999998</v>
      </c>
      <c r="K255" s="738">
        <f t="shared" si="119"/>
        <v>6874280.1060000006</v>
      </c>
      <c r="L255" s="738">
        <f t="shared" si="119"/>
        <v>7182884.3100000005</v>
      </c>
      <c r="M255" s="738">
        <f t="shared" si="119"/>
        <v>5745988.2310000006</v>
      </c>
      <c r="N255" s="738">
        <f t="shared" si="119"/>
        <v>4481751.682</v>
      </c>
      <c r="O255" s="738">
        <f t="shared" si="119"/>
        <v>1897175.0699999998</v>
      </c>
      <c r="P255" s="738">
        <f t="shared" si="118"/>
        <v>63966868.016999997</v>
      </c>
      <c r="Q255" s="738"/>
    </row>
    <row r="256" spans="1:17" x14ac:dyDescent="0.2">
      <c r="B256" s="755" t="s">
        <v>156</v>
      </c>
      <c r="C256" s="724"/>
      <c r="D256" s="738">
        <f t="shared" ref="D256:O264" si="120">D222</f>
        <v>836289.44500000007</v>
      </c>
      <c r="E256" s="738">
        <f t="shared" si="120"/>
        <v>772468.12399999984</v>
      </c>
      <c r="F256" s="738">
        <f t="shared" si="120"/>
        <v>909674.81900000002</v>
      </c>
      <c r="G256" s="738">
        <f t="shared" si="120"/>
        <v>1382235.878</v>
      </c>
      <c r="H256" s="738">
        <f t="shared" si="120"/>
        <v>1705057.9990000001</v>
      </c>
      <c r="I256" s="738">
        <f t="shared" si="120"/>
        <v>2029384.3720000002</v>
      </c>
      <c r="J256" s="738">
        <f t="shared" si="120"/>
        <v>1933608.2690000001</v>
      </c>
      <c r="K256" s="738">
        <f t="shared" si="120"/>
        <v>1680524.0340000002</v>
      </c>
      <c r="L256" s="738">
        <f t="shared" si="120"/>
        <v>1789387.747</v>
      </c>
      <c r="M256" s="738">
        <f t="shared" si="120"/>
        <v>1400451.9129999999</v>
      </c>
      <c r="N256" s="738">
        <f t="shared" si="120"/>
        <v>1046948.3860000001</v>
      </c>
      <c r="O256" s="738">
        <f t="shared" si="120"/>
        <v>821758.44000000006</v>
      </c>
      <c r="P256" s="738">
        <f t="shared" si="118"/>
        <v>16307789.425999999</v>
      </c>
      <c r="Q256" s="738"/>
    </row>
    <row r="257" spans="1:17" x14ac:dyDescent="0.2">
      <c r="B257" s="755" t="s">
        <v>157</v>
      </c>
      <c r="C257" s="724"/>
      <c r="D257" s="738">
        <f t="shared" si="120"/>
        <v>215797.27499999999</v>
      </c>
      <c r="E257" s="738">
        <f t="shared" si="120"/>
        <v>200043.261</v>
      </c>
      <c r="F257" s="738">
        <f t="shared" si="120"/>
        <v>379761.01699999999</v>
      </c>
      <c r="G257" s="738">
        <f t="shared" si="120"/>
        <v>816241.58800000011</v>
      </c>
      <c r="H257" s="738">
        <f t="shared" si="120"/>
        <v>1048827.237</v>
      </c>
      <c r="I257" s="738">
        <f t="shared" si="120"/>
        <v>1301022.3529999999</v>
      </c>
      <c r="J257" s="738">
        <f t="shared" si="120"/>
        <v>1276427.676</v>
      </c>
      <c r="K257" s="738">
        <f t="shared" si="120"/>
        <v>1068462.2690000001</v>
      </c>
      <c r="L257" s="738">
        <f t="shared" si="120"/>
        <v>1127623.6189999999</v>
      </c>
      <c r="M257" s="738">
        <f t="shared" si="120"/>
        <v>868268.65500000014</v>
      </c>
      <c r="N257" s="738">
        <f t="shared" si="120"/>
        <v>488370.93900000007</v>
      </c>
      <c r="O257" s="738">
        <f t="shared" si="120"/>
        <v>316422.65299999999</v>
      </c>
      <c r="P257" s="738">
        <f t="shared" si="118"/>
        <v>9107268.5420000013</v>
      </c>
      <c r="Q257" s="738"/>
    </row>
    <row r="258" spans="1:17" x14ac:dyDescent="0.2">
      <c r="B258" s="755" t="s">
        <v>158</v>
      </c>
      <c r="C258" s="724"/>
      <c r="D258" s="738">
        <f t="shared" si="120"/>
        <v>1205163.1340000001</v>
      </c>
      <c r="E258" s="738">
        <f t="shared" si="120"/>
        <v>1191232.98</v>
      </c>
      <c r="F258" s="738">
        <f t="shared" si="120"/>
        <v>1297454.0249999999</v>
      </c>
      <c r="G258" s="738">
        <f t="shared" si="120"/>
        <v>1956862.8969999999</v>
      </c>
      <c r="H258" s="738">
        <f t="shared" si="120"/>
        <v>2346051.3509999998</v>
      </c>
      <c r="I258" s="738">
        <f t="shared" si="120"/>
        <v>2817477.4819999998</v>
      </c>
      <c r="J258" s="738">
        <f t="shared" si="120"/>
        <v>2582095.4070000001</v>
      </c>
      <c r="K258" s="738">
        <f t="shared" si="120"/>
        <v>2453869.7620000001</v>
      </c>
      <c r="L258" s="738">
        <f t="shared" si="120"/>
        <v>2432020.3769999999</v>
      </c>
      <c r="M258" s="738">
        <f t="shared" si="120"/>
        <v>2074669.916</v>
      </c>
      <c r="N258" s="738">
        <f t="shared" si="120"/>
        <v>1485710.202</v>
      </c>
      <c r="O258" s="738">
        <f t="shared" si="120"/>
        <v>1430551.095</v>
      </c>
      <c r="P258" s="738">
        <f t="shared" si="118"/>
        <v>23273158.627999999</v>
      </c>
      <c r="Q258" s="738"/>
    </row>
    <row r="259" spans="1:17" x14ac:dyDescent="0.2">
      <c r="B259" s="709" t="s">
        <v>391</v>
      </c>
      <c r="C259" s="724"/>
      <c r="D259" s="738">
        <f t="shared" si="120"/>
        <v>910.31000000000006</v>
      </c>
      <c r="E259" s="738">
        <f t="shared" si="120"/>
        <v>879.71</v>
      </c>
      <c r="F259" s="738">
        <f t="shared" si="120"/>
        <v>1247.21</v>
      </c>
      <c r="G259" s="738">
        <f t="shared" si="120"/>
        <v>3838.74</v>
      </c>
      <c r="H259" s="738">
        <f t="shared" si="120"/>
        <v>5767.1</v>
      </c>
      <c r="I259" s="738">
        <f t="shared" si="120"/>
        <v>8025.07</v>
      </c>
      <c r="J259" s="738">
        <f t="shared" si="120"/>
        <v>5002.67</v>
      </c>
      <c r="K259" s="738">
        <f t="shared" si="120"/>
        <v>6550.45</v>
      </c>
      <c r="L259" s="738">
        <f t="shared" si="120"/>
        <v>5064.18</v>
      </c>
      <c r="M259" s="738">
        <f t="shared" si="120"/>
        <v>3517.5600000000004</v>
      </c>
      <c r="N259" s="738">
        <f t="shared" si="120"/>
        <v>1618.33</v>
      </c>
      <c r="O259" s="738">
        <f t="shared" si="120"/>
        <v>992.44</v>
      </c>
      <c r="P259" s="738">
        <f t="shared" si="118"/>
        <v>43413.770000000004</v>
      </c>
      <c r="Q259" s="738"/>
    </row>
    <row r="260" spans="1:17" x14ac:dyDescent="0.2">
      <c r="B260" s="709" t="s">
        <v>266</v>
      </c>
      <c r="C260" s="724"/>
      <c r="D260" s="738">
        <f t="shared" si="120"/>
        <v>1409196.13</v>
      </c>
      <c r="E260" s="738">
        <f t="shared" si="120"/>
        <v>1455982.78</v>
      </c>
      <c r="F260" s="738">
        <f t="shared" si="120"/>
        <v>1376139.56</v>
      </c>
      <c r="G260" s="738">
        <f t="shared" si="120"/>
        <v>1587400.12</v>
      </c>
      <c r="H260" s="738">
        <f t="shared" si="120"/>
        <v>1682324.709</v>
      </c>
      <c r="I260" s="738">
        <f t="shared" si="120"/>
        <v>1740155.9700000002</v>
      </c>
      <c r="J260" s="738">
        <f t="shared" si="120"/>
        <v>1896974.1</v>
      </c>
      <c r="K260" s="738">
        <f t="shared" si="120"/>
        <v>1747749.17</v>
      </c>
      <c r="L260" s="738">
        <f t="shared" si="120"/>
        <v>1903759.5399999998</v>
      </c>
      <c r="M260" s="738">
        <f t="shared" si="120"/>
        <v>1695900.24</v>
      </c>
      <c r="N260" s="738">
        <f t="shared" si="120"/>
        <v>1488537.73</v>
      </c>
      <c r="O260" s="738">
        <f t="shared" si="120"/>
        <v>1270129.47</v>
      </c>
      <c r="P260" s="738">
        <f t="shared" si="118"/>
        <v>19254249.518999998</v>
      </c>
      <c r="Q260" s="738"/>
    </row>
    <row r="261" spans="1:17" x14ac:dyDescent="0.2">
      <c r="B261" s="709" t="s">
        <v>267</v>
      </c>
      <c r="C261" s="724"/>
      <c r="D261" s="738">
        <f t="shared" si="120"/>
        <v>5851763.6900000004</v>
      </c>
      <c r="E261" s="738">
        <f t="shared" si="120"/>
        <v>6367850.5700000003</v>
      </c>
      <c r="F261" s="738">
        <f t="shared" si="120"/>
        <v>6194771.8100000005</v>
      </c>
      <c r="G261" s="738">
        <f t="shared" si="120"/>
        <v>6948461.2199999997</v>
      </c>
      <c r="H261" s="738">
        <f t="shared" si="120"/>
        <v>6457225.9400000004</v>
      </c>
      <c r="I261" s="738">
        <f t="shared" si="120"/>
        <v>6748532.6200000001</v>
      </c>
      <c r="J261" s="738">
        <f t="shared" si="120"/>
        <v>6677618.04</v>
      </c>
      <c r="K261" s="738">
        <f t="shared" si="120"/>
        <v>6081561.6100000003</v>
      </c>
      <c r="L261" s="738">
        <f t="shared" si="120"/>
        <v>6977294.3499999996</v>
      </c>
      <c r="M261" s="738">
        <f t="shared" si="120"/>
        <v>6172882.9199999999</v>
      </c>
      <c r="N261" s="738">
        <f t="shared" si="120"/>
        <v>6120130.4900000002</v>
      </c>
      <c r="O261" s="738">
        <f t="shared" si="120"/>
        <v>5984493.8599999994</v>
      </c>
      <c r="P261" s="738">
        <f t="shared" si="118"/>
        <v>76582587.120000005</v>
      </c>
      <c r="Q261" s="738"/>
    </row>
    <row r="262" spans="1:17" x14ac:dyDescent="0.2">
      <c r="B262" s="718" t="s">
        <v>322</v>
      </c>
      <c r="C262" s="724"/>
      <c r="D262" s="738">
        <f t="shared" si="120"/>
        <v>24835.61</v>
      </c>
      <c r="E262" s="738">
        <f t="shared" si="120"/>
        <v>18950.099999999999</v>
      </c>
      <c r="F262" s="738">
        <f t="shared" si="120"/>
        <v>14249</v>
      </c>
      <c r="G262" s="738">
        <f t="shared" si="120"/>
        <v>31358.14</v>
      </c>
      <c r="H262" s="738">
        <f t="shared" si="120"/>
        <v>28587.62</v>
      </c>
      <c r="I262" s="738">
        <f t="shared" si="120"/>
        <v>29791.48</v>
      </c>
      <c r="J262" s="738">
        <f t="shared" si="120"/>
        <v>49343.94</v>
      </c>
      <c r="K262" s="738">
        <f t="shared" si="120"/>
        <v>52603.87</v>
      </c>
      <c r="L262" s="738">
        <f t="shared" si="120"/>
        <v>40825.67</v>
      </c>
      <c r="M262" s="738">
        <f t="shared" si="120"/>
        <v>24785.5</v>
      </c>
      <c r="N262" s="738">
        <f t="shared" si="120"/>
        <v>18363.18</v>
      </c>
      <c r="O262" s="738">
        <f t="shared" si="120"/>
        <v>20942.59</v>
      </c>
      <c r="P262" s="738">
        <f t="shared" si="118"/>
        <v>354636.7</v>
      </c>
      <c r="Q262" s="738"/>
    </row>
    <row r="263" spans="1:17" s="739" customFormat="1" x14ac:dyDescent="0.2">
      <c r="A263" s="709"/>
      <c r="B263" s="709" t="s">
        <v>268</v>
      </c>
      <c r="C263" s="724"/>
      <c r="D263" s="738">
        <f t="shared" si="120"/>
        <v>8682427.3399999999</v>
      </c>
      <c r="E263" s="738">
        <f t="shared" si="120"/>
        <v>8811197.0700000003</v>
      </c>
      <c r="F263" s="738">
        <f t="shared" si="120"/>
        <v>8469145.3300000001</v>
      </c>
      <c r="G263" s="738">
        <f t="shared" si="120"/>
        <v>8937000.4199999999</v>
      </c>
      <c r="H263" s="738">
        <f t="shared" si="120"/>
        <v>8111567.540000001</v>
      </c>
      <c r="I263" s="738">
        <f t="shared" si="120"/>
        <v>9843875.9900000002</v>
      </c>
      <c r="J263" s="738">
        <f t="shared" si="120"/>
        <v>8436598.5199999996</v>
      </c>
      <c r="K263" s="738">
        <f t="shared" si="120"/>
        <v>8777355.3900000006</v>
      </c>
      <c r="L263" s="738">
        <f t="shared" si="120"/>
        <v>9545363.1600000001</v>
      </c>
      <c r="M263" s="738">
        <f t="shared" si="120"/>
        <v>8252639.4799999995</v>
      </c>
      <c r="N263" s="738">
        <f t="shared" si="120"/>
        <v>8341789.8599999994</v>
      </c>
      <c r="O263" s="738">
        <f t="shared" si="120"/>
        <v>7675361.1500000004</v>
      </c>
      <c r="P263" s="738">
        <f t="shared" si="118"/>
        <v>103884321.25000001</v>
      </c>
      <c r="Q263" s="738"/>
    </row>
    <row r="264" spans="1:17" x14ac:dyDescent="0.2">
      <c r="A264" s="739"/>
      <c r="B264" s="755" t="s">
        <v>239</v>
      </c>
      <c r="C264" s="756"/>
      <c r="D264" s="738">
        <f t="shared" si="120"/>
        <v>1921334.9100000001</v>
      </c>
      <c r="E264" s="738">
        <f t="shared" si="120"/>
        <v>1869187.75</v>
      </c>
      <c r="F264" s="738">
        <f t="shared" si="120"/>
        <v>2068982.99</v>
      </c>
      <c r="G264" s="738">
        <f t="shared" si="120"/>
        <v>3006871.56</v>
      </c>
      <c r="H264" s="738">
        <f t="shared" si="120"/>
        <v>3833917.62</v>
      </c>
      <c r="I264" s="738">
        <f t="shared" si="120"/>
        <v>4352917.41</v>
      </c>
      <c r="J264" s="738">
        <f t="shared" si="120"/>
        <v>4443467.74</v>
      </c>
      <c r="K264" s="738">
        <f t="shared" si="120"/>
        <v>3867486.2699999996</v>
      </c>
      <c r="L264" s="738">
        <f t="shared" si="120"/>
        <v>3813818.93</v>
      </c>
      <c r="M264" s="738">
        <f t="shared" si="120"/>
        <v>3266173.4099999997</v>
      </c>
      <c r="N264" s="738">
        <f t="shared" si="120"/>
        <v>2607580.04</v>
      </c>
      <c r="O264" s="738">
        <f t="shared" si="120"/>
        <v>2223953.0499999998</v>
      </c>
      <c r="P264" s="738">
        <f t="shared" si="118"/>
        <v>37275691.68</v>
      </c>
      <c r="Q264" s="738"/>
    </row>
    <row r="265" spans="1:17" x14ac:dyDescent="0.2">
      <c r="B265" s="753" t="s">
        <v>166</v>
      </c>
      <c r="C265" s="724"/>
      <c r="D265" s="750">
        <f t="shared" ref="D265:O265" si="121">SUM(D253:D264)</f>
        <v>44767990.108999997</v>
      </c>
      <c r="E265" s="750">
        <f t="shared" si="121"/>
        <v>44321712.204000011</v>
      </c>
      <c r="F265" s="750">
        <f t="shared" si="121"/>
        <v>55528619.809999995</v>
      </c>
      <c r="G265" s="750">
        <f t="shared" si="121"/>
        <v>93099778.638000011</v>
      </c>
      <c r="H265" s="750">
        <f t="shared" si="121"/>
        <v>131215309.395</v>
      </c>
      <c r="I265" s="750">
        <f t="shared" si="121"/>
        <v>156530872.37799999</v>
      </c>
      <c r="J265" s="750">
        <f t="shared" si="121"/>
        <v>166549704.64199999</v>
      </c>
      <c r="K265" s="750">
        <f t="shared" si="121"/>
        <v>132716463.97799999</v>
      </c>
      <c r="L265" s="750">
        <f t="shared" si="121"/>
        <v>138023239.37000003</v>
      </c>
      <c r="M265" s="750">
        <f t="shared" si="121"/>
        <v>98978841.535999998</v>
      </c>
      <c r="N265" s="750">
        <f t="shared" si="121"/>
        <v>69771203.847000003</v>
      </c>
      <c r="O265" s="750">
        <f t="shared" si="121"/>
        <v>50266421.470000006</v>
      </c>
      <c r="P265" s="750">
        <f t="shared" si="118"/>
        <v>1181770157.3770001</v>
      </c>
      <c r="Q265" s="738"/>
    </row>
    <row r="266" spans="1:17" x14ac:dyDescent="0.2">
      <c r="B266" s="753" t="s">
        <v>114</v>
      </c>
      <c r="C266" s="724"/>
      <c r="D266" s="738">
        <f t="shared" ref="D266:O266" si="122">D265-D231</f>
        <v>0</v>
      </c>
      <c r="E266" s="738">
        <f t="shared" si="122"/>
        <v>0</v>
      </c>
      <c r="F266" s="738">
        <f t="shared" si="122"/>
        <v>0</v>
      </c>
      <c r="G266" s="738">
        <f t="shared" si="122"/>
        <v>0</v>
      </c>
      <c r="H266" s="738">
        <f t="shared" si="122"/>
        <v>0</v>
      </c>
      <c r="I266" s="738">
        <f t="shared" si="122"/>
        <v>0</v>
      </c>
      <c r="J266" s="738">
        <f t="shared" si="122"/>
        <v>0</v>
      </c>
      <c r="K266" s="738">
        <f t="shared" si="122"/>
        <v>0</v>
      </c>
      <c r="L266" s="738">
        <f t="shared" si="122"/>
        <v>0</v>
      </c>
      <c r="M266" s="738">
        <f t="shared" si="122"/>
        <v>0</v>
      </c>
      <c r="N266" s="738">
        <f t="shared" si="122"/>
        <v>0</v>
      </c>
      <c r="O266" s="738">
        <f t="shared" si="122"/>
        <v>0</v>
      </c>
      <c r="P266" s="738">
        <f t="shared" ref="P266" si="123">SUM(D266:L266)</f>
        <v>0</v>
      </c>
      <c r="Q266" s="738"/>
    </row>
    <row r="267" spans="1:17" x14ac:dyDescent="0.2">
      <c r="B267" s="753"/>
      <c r="C267" s="724"/>
      <c r="D267" s="738"/>
      <c r="E267" s="738"/>
      <c r="F267" s="738"/>
      <c r="G267" s="738"/>
      <c r="H267" s="738"/>
      <c r="I267" s="738"/>
      <c r="J267" s="738"/>
      <c r="K267" s="738"/>
      <c r="L267" s="738"/>
      <c r="M267" s="738"/>
      <c r="N267" s="738"/>
      <c r="O267" s="738"/>
      <c r="P267" s="738"/>
      <c r="Q267" s="738"/>
    </row>
    <row r="268" spans="1:17" x14ac:dyDescent="0.2">
      <c r="B268" s="753" t="s">
        <v>86</v>
      </c>
      <c r="C268" s="724"/>
      <c r="D268" s="738">
        <f t="shared" ref="D268:O268" si="124">SUM(D253:D258)</f>
        <v>26877522.118999999</v>
      </c>
      <c r="E268" s="738">
        <f t="shared" si="124"/>
        <v>25797664.224000003</v>
      </c>
      <c r="F268" s="738">
        <f t="shared" si="124"/>
        <v>37404083.909999989</v>
      </c>
      <c r="G268" s="738">
        <f t="shared" si="124"/>
        <v>72584848.438000008</v>
      </c>
      <c r="H268" s="738">
        <f t="shared" si="124"/>
        <v>111095918.86599998</v>
      </c>
      <c r="I268" s="738">
        <f t="shared" si="124"/>
        <v>133807573.83799998</v>
      </c>
      <c r="J268" s="738">
        <f t="shared" si="124"/>
        <v>145040699.632</v>
      </c>
      <c r="K268" s="738">
        <f t="shared" si="124"/>
        <v>112183157.21799998</v>
      </c>
      <c r="L268" s="738">
        <f t="shared" si="124"/>
        <v>115737113.54000002</v>
      </c>
      <c r="M268" s="738">
        <f t="shared" si="124"/>
        <v>79562942.425999999</v>
      </c>
      <c r="N268" s="738">
        <f t="shared" si="124"/>
        <v>51193184.217</v>
      </c>
      <c r="O268" s="738">
        <f t="shared" si="124"/>
        <v>33090548.910000004</v>
      </c>
      <c r="P268" s="738">
        <f>SUM(D268:O268)</f>
        <v>944375257.33799982</v>
      </c>
      <c r="Q268" s="738"/>
    </row>
    <row r="269" spans="1:17" x14ac:dyDescent="0.2">
      <c r="B269" s="753" t="s">
        <v>87</v>
      </c>
      <c r="C269" s="724"/>
      <c r="D269" s="738">
        <f t="shared" ref="D269:I269" si="125">SUM(D259:D264)</f>
        <v>17890467.990000002</v>
      </c>
      <c r="E269" s="738">
        <f t="shared" si="125"/>
        <v>18524047.98</v>
      </c>
      <c r="F269" s="738">
        <f t="shared" si="125"/>
        <v>18124535.899999999</v>
      </c>
      <c r="G269" s="738">
        <f t="shared" si="125"/>
        <v>20514930.199999999</v>
      </c>
      <c r="H269" s="738">
        <f t="shared" si="125"/>
        <v>20119390.529000003</v>
      </c>
      <c r="I269" s="738">
        <f t="shared" si="125"/>
        <v>22723298.540000003</v>
      </c>
      <c r="J269" s="738">
        <f>SUM(J259:J264)</f>
        <v>21509005.009999998</v>
      </c>
      <c r="K269" s="738">
        <f t="shared" ref="K269:O269" si="126">SUM(K259:K264)</f>
        <v>20533306.760000002</v>
      </c>
      <c r="L269" s="738">
        <f t="shared" si="126"/>
        <v>22286125.829999998</v>
      </c>
      <c r="M269" s="738">
        <f t="shared" si="126"/>
        <v>19415899.109999999</v>
      </c>
      <c r="N269" s="738">
        <f t="shared" si="126"/>
        <v>18578019.629999999</v>
      </c>
      <c r="O269" s="738">
        <f t="shared" si="126"/>
        <v>17175872.559999999</v>
      </c>
      <c r="P269" s="738">
        <f t="shared" ref="P269:P270" si="127">SUM(D269:O269)</f>
        <v>237394900.03899997</v>
      </c>
      <c r="Q269" s="738"/>
    </row>
    <row r="270" spans="1:17" x14ac:dyDescent="0.2">
      <c r="B270" s="753" t="s">
        <v>113</v>
      </c>
      <c r="C270" s="724"/>
      <c r="D270" s="750">
        <f t="shared" ref="D270:O270" si="128">SUM(D268:D269)</f>
        <v>44767990.108999997</v>
      </c>
      <c r="E270" s="750">
        <f t="shared" si="128"/>
        <v>44321712.204000004</v>
      </c>
      <c r="F270" s="750">
        <f t="shared" si="128"/>
        <v>55528619.809999987</v>
      </c>
      <c r="G270" s="750">
        <f t="shared" si="128"/>
        <v>93099778.638000011</v>
      </c>
      <c r="H270" s="750">
        <f t="shared" si="128"/>
        <v>131215309.39499998</v>
      </c>
      <c r="I270" s="750">
        <f t="shared" si="128"/>
        <v>156530872.37799999</v>
      </c>
      <c r="J270" s="750">
        <f t="shared" si="128"/>
        <v>166549704.64199999</v>
      </c>
      <c r="K270" s="750">
        <f t="shared" si="128"/>
        <v>132716463.97799999</v>
      </c>
      <c r="L270" s="750">
        <f t="shared" si="128"/>
        <v>138023239.37</v>
      </c>
      <c r="M270" s="750">
        <f t="shared" si="128"/>
        <v>98978841.535999998</v>
      </c>
      <c r="N270" s="750">
        <f t="shared" si="128"/>
        <v>69771203.847000003</v>
      </c>
      <c r="O270" s="750">
        <f t="shared" si="128"/>
        <v>50266421.469999999</v>
      </c>
      <c r="P270" s="750">
        <f t="shared" si="127"/>
        <v>1181770157.3769999</v>
      </c>
      <c r="Q270" s="738"/>
    </row>
    <row r="271" spans="1:17" s="718" customFormat="1" x14ac:dyDescent="0.2">
      <c r="A271" s="709"/>
      <c r="B271" s="757" t="s">
        <v>114</v>
      </c>
      <c r="C271" s="758"/>
      <c r="D271" s="759">
        <f t="shared" ref="D271:O271" si="129">D270-D265</f>
        <v>0</v>
      </c>
      <c r="E271" s="759">
        <f t="shared" si="129"/>
        <v>0</v>
      </c>
      <c r="F271" s="759">
        <f t="shared" si="129"/>
        <v>0</v>
      </c>
      <c r="G271" s="759">
        <f t="shared" si="129"/>
        <v>0</v>
      </c>
      <c r="H271" s="759">
        <f t="shared" si="129"/>
        <v>0</v>
      </c>
      <c r="I271" s="759">
        <f t="shared" si="129"/>
        <v>0</v>
      </c>
      <c r="J271" s="759">
        <f t="shared" si="129"/>
        <v>0</v>
      </c>
      <c r="K271" s="759">
        <f t="shared" si="129"/>
        <v>0</v>
      </c>
      <c r="L271" s="759">
        <f t="shared" si="129"/>
        <v>0</v>
      </c>
      <c r="M271" s="759">
        <f t="shared" si="129"/>
        <v>0</v>
      </c>
      <c r="N271" s="759">
        <f t="shared" si="129"/>
        <v>0</v>
      </c>
      <c r="O271" s="759">
        <f t="shared" si="129"/>
        <v>0</v>
      </c>
      <c r="P271" s="759">
        <f>SUM(D271:L271)</f>
        <v>0</v>
      </c>
      <c r="Q271" s="738"/>
    </row>
    <row r="272" spans="1:17" s="718" customFormat="1" x14ac:dyDescent="0.2">
      <c r="B272" s="753"/>
      <c r="C272" s="724"/>
      <c r="D272" s="738"/>
      <c r="E272" s="738"/>
      <c r="F272" s="738"/>
      <c r="G272" s="738"/>
      <c r="H272" s="738"/>
      <c r="I272" s="738"/>
      <c r="J272" s="738"/>
      <c r="K272" s="738"/>
      <c r="L272" s="738"/>
      <c r="M272" s="738"/>
      <c r="N272" s="738"/>
      <c r="O272" s="738"/>
      <c r="P272" s="738"/>
      <c r="Q272" s="738"/>
    </row>
    <row r="273" spans="1:17" s="718" customFormat="1" x14ac:dyDescent="0.2">
      <c r="B273" s="762" t="s">
        <v>225</v>
      </c>
      <c r="C273" s="724"/>
      <c r="D273" s="738"/>
      <c r="E273" s="738"/>
      <c r="F273" s="738"/>
      <c r="G273" s="738"/>
      <c r="H273" s="738"/>
      <c r="I273" s="738"/>
      <c r="J273" s="738"/>
      <c r="K273" s="738"/>
      <c r="L273" s="738"/>
      <c r="M273" s="738"/>
      <c r="N273" s="738"/>
      <c r="O273" s="738"/>
      <c r="P273" s="738"/>
      <c r="Q273" s="729"/>
    </row>
    <row r="274" spans="1:17" s="718" customFormat="1" x14ac:dyDescent="0.2">
      <c r="B274" s="718" t="s">
        <v>190</v>
      </c>
      <c r="C274" s="719">
        <v>23</v>
      </c>
      <c r="D274" s="729">
        <f t="shared" ref="D274:O287" si="130">IFERROR(ROUND(SUMIF($C$170:$C$194,$C274,D$170:D$194),0)/ROUND(SUMIF($C$36:$C$61,$C274,D$36:D$61),0),0)</f>
        <v>17.687806142385565</v>
      </c>
      <c r="E274" s="729">
        <f t="shared" si="130"/>
        <v>16.743609733267249</v>
      </c>
      <c r="F274" s="729">
        <f t="shared" si="130"/>
        <v>28.414488321268482</v>
      </c>
      <c r="G274" s="729">
        <f t="shared" si="130"/>
        <v>60.448233411301246</v>
      </c>
      <c r="H274" s="729">
        <f t="shared" si="130"/>
        <v>96.321482638675718</v>
      </c>
      <c r="I274" s="729">
        <f t="shared" si="130"/>
        <v>115.39159519032329</v>
      </c>
      <c r="J274" s="729">
        <f t="shared" si="130"/>
        <v>126.59115641564144</v>
      </c>
      <c r="K274" s="729">
        <f t="shared" si="130"/>
        <v>95.38435116786404</v>
      </c>
      <c r="L274" s="729">
        <f t="shared" si="130"/>
        <v>98.510411687690933</v>
      </c>
      <c r="M274" s="729">
        <f t="shared" si="130"/>
        <v>65.260435625877918</v>
      </c>
      <c r="N274" s="729">
        <f t="shared" si="130"/>
        <v>40.06437984797779</v>
      </c>
      <c r="O274" s="729">
        <f t="shared" si="130"/>
        <v>24.992154356011493</v>
      </c>
      <c r="P274" s="729">
        <f>SUM(D274:O274)</f>
        <v>785.81010453828515</v>
      </c>
      <c r="Q274" s="729"/>
    </row>
    <row r="275" spans="1:17" s="718" customFormat="1" x14ac:dyDescent="0.2">
      <c r="B275" s="718" t="s">
        <v>227</v>
      </c>
      <c r="C275" s="719">
        <v>31</v>
      </c>
      <c r="D275" s="729">
        <f t="shared" si="130"/>
        <v>142.69324345954792</v>
      </c>
      <c r="E275" s="729">
        <f t="shared" si="130"/>
        <v>140.03993664240332</v>
      </c>
      <c r="F275" s="729">
        <f t="shared" si="130"/>
        <v>170.57524976403755</v>
      </c>
      <c r="G275" s="729">
        <f t="shared" si="130"/>
        <v>301.10170154508114</v>
      </c>
      <c r="H275" s="729">
        <f t="shared" si="130"/>
        <v>452.78057209697999</v>
      </c>
      <c r="I275" s="729">
        <f t="shared" si="130"/>
        <v>554.63850885565807</v>
      </c>
      <c r="J275" s="729">
        <f t="shared" si="130"/>
        <v>596.94600938967142</v>
      </c>
      <c r="K275" s="729">
        <f t="shared" si="130"/>
        <v>471.8830235964773</v>
      </c>
      <c r="L275" s="729">
        <f t="shared" si="130"/>
        <v>482.23062145299446</v>
      </c>
      <c r="M275" s="729">
        <f t="shared" si="130"/>
        <v>338.67760141093476</v>
      </c>
      <c r="N275" s="729">
        <f t="shared" si="130"/>
        <v>225.8547738338861</v>
      </c>
      <c r="O275" s="729">
        <f t="shared" si="130"/>
        <v>165.14206221625537</v>
      </c>
      <c r="P275" s="729">
        <f t="shared" ref="P275:P288" si="131">SUM(D275:O275)</f>
        <v>4042.5633042639274</v>
      </c>
      <c r="Q275" s="729"/>
    </row>
    <row r="276" spans="1:17" s="718" customFormat="1" x14ac:dyDescent="0.2">
      <c r="B276" s="718" t="s">
        <v>189</v>
      </c>
      <c r="C276" s="719">
        <v>41</v>
      </c>
      <c r="D276" s="729">
        <f t="shared" si="130"/>
        <v>2321.3387334315171</v>
      </c>
      <c r="E276" s="729">
        <f t="shared" si="130"/>
        <v>2241.581051073279</v>
      </c>
      <c r="F276" s="729">
        <f t="shared" si="130"/>
        <v>2641.9161147902869</v>
      </c>
      <c r="G276" s="729">
        <f t="shared" si="130"/>
        <v>3916.2098312545854</v>
      </c>
      <c r="H276" s="729">
        <f t="shared" si="130"/>
        <v>4930.5455882352944</v>
      </c>
      <c r="I276" s="729">
        <f t="shared" si="130"/>
        <v>5722.4447717231224</v>
      </c>
      <c r="J276" s="729">
        <f t="shared" si="130"/>
        <v>6020.0110132158588</v>
      </c>
      <c r="K276" s="729">
        <f t="shared" si="130"/>
        <v>5065.7921886514368</v>
      </c>
      <c r="L276" s="729">
        <f t="shared" si="130"/>
        <v>5281.5323529411762</v>
      </c>
      <c r="M276" s="729">
        <f t="shared" si="130"/>
        <v>4215.6918561995599</v>
      </c>
      <c r="N276" s="729">
        <f t="shared" si="130"/>
        <v>3292.9845701689933</v>
      </c>
      <c r="O276" s="729">
        <f t="shared" si="130"/>
        <v>1403.2359467455622</v>
      </c>
      <c r="P276" s="729">
        <f t="shared" si="131"/>
        <v>47053.28401843067</v>
      </c>
      <c r="Q276" s="729"/>
    </row>
    <row r="277" spans="1:17" s="718" customFormat="1" x14ac:dyDescent="0.2">
      <c r="B277" s="718" t="s">
        <v>75</v>
      </c>
      <c r="C277" s="719">
        <v>53</v>
      </c>
      <c r="D277" s="729">
        <f t="shared" si="130"/>
        <v>9</v>
      </c>
      <c r="E277" s="729">
        <f t="shared" si="130"/>
        <v>9</v>
      </c>
      <c r="F277" s="729">
        <f t="shared" si="130"/>
        <v>24</v>
      </c>
      <c r="G277" s="729">
        <f t="shared" si="130"/>
        <v>53</v>
      </c>
      <c r="H277" s="729">
        <f t="shared" si="130"/>
        <v>68</v>
      </c>
      <c r="I277" s="729">
        <f t="shared" si="130"/>
        <v>68</v>
      </c>
      <c r="J277" s="729">
        <f t="shared" si="130"/>
        <v>57</v>
      </c>
      <c r="K277" s="729">
        <f t="shared" si="130"/>
        <v>0</v>
      </c>
      <c r="L277" s="729">
        <f t="shared" si="130"/>
        <v>0</v>
      </c>
      <c r="M277" s="729">
        <f t="shared" si="130"/>
        <v>0</v>
      </c>
      <c r="N277" s="729">
        <f t="shared" si="130"/>
        <v>0</v>
      </c>
      <c r="O277" s="729">
        <f t="shared" si="130"/>
        <v>0</v>
      </c>
      <c r="P277" s="729">
        <f t="shared" si="131"/>
        <v>288</v>
      </c>
      <c r="Q277" s="729"/>
    </row>
    <row r="278" spans="1:17" s="718" customFormat="1" x14ac:dyDescent="0.2">
      <c r="B278" s="718" t="s">
        <v>401</v>
      </c>
      <c r="C278" s="719">
        <v>50</v>
      </c>
      <c r="D278" s="729">
        <f t="shared" si="130"/>
        <v>0</v>
      </c>
      <c r="E278" s="729">
        <f t="shared" si="130"/>
        <v>0</v>
      </c>
      <c r="F278" s="729">
        <f t="shared" si="130"/>
        <v>0</v>
      </c>
      <c r="G278" s="729">
        <f t="shared" si="130"/>
        <v>0</v>
      </c>
      <c r="H278" s="729">
        <f t="shared" si="130"/>
        <v>0</v>
      </c>
      <c r="I278" s="729">
        <f t="shared" si="130"/>
        <v>0</v>
      </c>
      <c r="J278" s="729">
        <f t="shared" si="130"/>
        <v>0</v>
      </c>
      <c r="K278" s="729">
        <f t="shared" si="130"/>
        <v>0</v>
      </c>
      <c r="L278" s="729">
        <f t="shared" si="130"/>
        <v>0</v>
      </c>
      <c r="M278" s="729">
        <f t="shared" si="130"/>
        <v>0</v>
      </c>
      <c r="N278" s="729">
        <f t="shared" si="130"/>
        <v>0</v>
      </c>
      <c r="O278" s="729">
        <f t="shared" si="130"/>
        <v>0</v>
      </c>
      <c r="P278" s="729">
        <f t="shared" si="131"/>
        <v>0</v>
      </c>
      <c r="Q278" s="729"/>
    </row>
    <row r="279" spans="1:17" s="718" customFormat="1" x14ac:dyDescent="0.2">
      <c r="B279" s="709" t="s">
        <v>391</v>
      </c>
      <c r="C279" s="719" t="s">
        <v>387</v>
      </c>
      <c r="D279" s="729">
        <f t="shared" si="130"/>
        <v>303.33333333333331</v>
      </c>
      <c r="E279" s="729">
        <f t="shared" si="130"/>
        <v>293.33333333333331</v>
      </c>
      <c r="F279" s="729">
        <f t="shared" si="130"/>
        <v>415.66666666666669</v>
      </c>
      <c r="G279" s="729">
        <f t="shared" si="130"/>
        <v>1279.6666666666667</v>
      </c>
      <c r="H279" s="729">
        <f t="shared" si="130"/>
        <v>1922.3333333333333</v>
      </c>
      <c r="I279" s="729">
        <f t="shared" si="130"/>
        <v>2675</v>
      </c>
      <c r="J279" s="729">
        <f t="shared" si="130"/>
        <v>1667.6666666666667</v>
      </c>
      <c r="K279" s="729">
        <f t="shared" si="130"/>
        <v>2183.3333333333335</v>
      </c>
      <c r="L279" s="729">
        <f t="shared" si="130"/>
        <v>1688</v>
      </c>
      <c r="M279" s="729">
        <f t="shared" si="130"/>
        <v>1172.6666666666667</v>
      </c>
      <c r="N279" s="729">
        <f t="shared" si="130"/>
        <v>539.33333333333337</v>
      </c>
      <c r="O279" s="729">
        <f t="shared" si="130"/>
        <v>330.66666666666669</v>
      </c>
      <c r="P279" s="729">
        <f t="shared" si="131"/>
        <v>14471</v>
      </c>
      <c r="Q279" s="729"/>
    </row>
    <row r="280" spans="1:17" s="718" customFormat="1" x14ac:dyDescent="0.2">
      <c r="B280" s="718" t="s">
        <v>266</v>
      </c>
      <c r="C280" s="719" t="s">
        <v>236</v>
      </c>
      <c r="D280" s="729">
        <f t="shared" si="130"/>
        <v>14234.30303030303</v>
      </c>
      <c r="E280" s="729">
        <f t="shared" si="130"/>
        <v>14856.969387755102</v>
      </c>
      <c r="F280" s="729">
        <f t="shared" si="130"/>
        <v>13900.404040404041</v>
      </c>
      <c r="G280" s="729">
        <f t="shared" si="130"/>
        <v>15874</v>
      </c>
      <c r="H280" s="729">
        <f t="shared" si="130"/>
        <v>16656.683168316831</v>
      </c>
      <c r="I280" s="729">
        <f t="shared" si="130"/>
        <v>17229.267326732672</v>
      </c>
      <c r="J280" s="729">
        <f t="shared" si="130"/>
        <v>18417.223300970873</v>
      </c>
      <c r="K280" s="729">
        <f t="shared" si="130"/>
        <v>16645.228571428572</v>
      </c>
      <c r="L280" s="729">
        <f t="shared" si="130"/>
        <v>18131.047619047618</v>
      </c>
      <c r="M280" s="729">
        <f t="shared" si="130"/>
        <v>16151.428571428571</v>
      </c>
      <c r="N280" s="729">
        <f t="shared" si="130"/>
        <v>14176.55238095238</v>
      </c>
      <c r="O280" s="729">
        <f t="shared" si="130"/>
        <v>11652.559633027522</v>
      </c>
      <c r="P280" s="729">
        <f t="shared" si="131"/>
        <v>187925.66703036721</v>
      </c>
      <c r="Q280" s="729"/>
    </row>
    <row r="281" spans="1:17" s="718" customFormat="1" x14ac:dyDescent="0.2">
      <c r="B281" s="718" t="s">
        <v>267</v>
      </c>
      <c r="C281" s="719" t="s">
        <v>231</v>
      </c>
      <c r="D281" s="729">
        <f t="shared" si="130"/>
        <v>59108.727272727272</v>
      </c>
      <c r="E281" s="729">
        <f t="shared" si="130"/>
        <v>63678.51</v>
      </c>
      <c r="F281" s="729">
        <f t="shared" si="130"/>
        <v>61947.72</v>
      </c>
      <c r="G281" s="729">
        <f t="shared" si="130"/>
        <v>69484.61</v>
      </c>
      <c r="H281" s="729">
        <f t="shared" si="130"/>
        <v>63932.930693069306</v>
      </c>
      <c r="I281" s="729">
        <f t="shared" si="130"/>
        <v>67485.33</v>
      </c>
      <c r="J281" s="729">
        <f t="shared" si="130"/>
        <v>66115.029702970292</v>
      </c>
      <c r="K281" s="729">
        <f t="shared" si="130"/>
        <v>60213.485148514854</v>
      </c>
      <c r="L281" s="729">
        <f t="shared" si="130"/>
        <v>69082.118811881184</v>
      </c>
      <c r="M281" s="729">
        <f t="shared" si="130"/>
        <v>61117.653465346535</v>
      </c>
      <c r="N281" s="729">
        <f t="shared" si="130"/>
        <v>60001.274509803923</v>
      </c>
      <c r="O281" s="729">
        <f t="shared" si="130"/>
        <v>58101.88349514563</v>
      </c>
      <c r="P281" s="729">
        <f t="shared" si="131"/>
        <v>760269.27309945901</v>
      </c>
      <c r="Q281" s="729"/>
    </row>
    <row r="282" spans="1:17" s="718" customFormat="1" x14ac:dyDescent="0.2">
      <c r="B282" s="718" t="s">
        <v>322</v>
      </c>
      <c r="C282" s="719" t="s">
        <v>298</v>
      </c>
      <c r="D282" s="729">
        <f t="shared" si="130"/>
        <v>6209</v>
      </c>
      <c r="E282" s="729">
        <f t="shared" si="130"/>
        <v>4737.5</v>
      </c>
      <c r="F282" s="729">
        <f t="shared" si="130"/>
        <v>3562.25</v>
      </c>
      <c r="G282" s="729">
        <f t="shared" si="130"/>
        <v>7839.5</v>
      </c>
      <c r="H282" s="729">
        <f t="shared" si="130"/>
        <v>14294</v>
      </c>
      <c r="I282" s="729">
        <f t="shared" si="130"/>
        <v>14895.5</v>
      </c>
      <c r="J282" s="729">
        <f t="shared" si="130"/>
        <v>24672</v>
      </c>
      <c r="K282" s="729">
        <f t="shared" si="130"/>
        <v>26302</v>
      </c>
      <c r="L282" s="729">
        <f t="shared" si="130"/>
        <v>20413</v>
      </c>
      <c r="M282" s="729">
        <f t="shared" si="130"/>
        <v>12393</v>
      </c>
      <c r="N282" s="729">
        <f t="shared" si="130"/>
        <v>9181.5</v>
      </c>
      <c r="O282" s="729">
        <f t="shared" si="130"/>
        <v>10471.5</v>
      </c>
      <c r="P282" s="729">
        <f t="shared" si="131"/>
        <v>154970.75</v>
      </c>
      <c r="Q282" s="729"/>
    </row>
    <row r="283" spans="1:17" s="718" customFormat="1" x14ac:dyDescent="0.2">
      <c r="B283" s="718" t="s">
        <v>268</v>
      </c>
      <c r="C283" s="719" t="s">
        <v>232</v>
      </c>
      <c r="D283" s="729">
        <f t="shared" si="130"/>
        <v>868242.7</v>
      </c>
      <c r="E283" s="729">
        <f t="shared" si="130"/>
        <v>881119.7</v>
      </c>
      <c r="F283" s="729">
        <f t="shared" si="130"/>
        <v>846914.5</v>
      </c>
      <c r="G283" s="729">
        <f t="shared" si="130"/>
        <v>893700</v>
      </c>
      <c r="H283" s="729">
        <f t="shared" si="130"/>
        <v>811156.8</v>
      </c>
      <c r="I283" s="729">
        <f t="shared" si="130"/>
        <v>984387.6</v>
      </c>
      <c r="J283" s="729">
        <f t="shared" si="130"/>
        <v>843659.9</v>
      </c>
      <c r="K283" s="729">
        <f t="shared" si="130"/>
        <v>877735.5</v>
      </c>
      <c r="L283" s="729">
        <f t="shared" si="130"/>
        <v>954536.3</v>
      </c>
      <c r="M283" s="729">
        <f t="shared" si="130"/>
        <v>825263.9</v>
      </c>
      <c r="N283" s="729">
        <f t="shared" si="130"/>
        <v>834179</v>
      </c>
      <c r="O283" s="729">
        <f t="shared" si="130"/>
        <v>767536.1</v>
      </c>
      <c r="P283" s="729">
        <f t="shared" si="131"/>
        <v>10388432</v>
      </c>
      <c r="Q283" s="729"/>
    </row>
    <row r="284" spans="1:17" s="718" customFormat="1" x14ac:dyDescent="0.2">
      <c r="B284" s="718" t="s">
        <v>186</v>
      </c>
      <c r="C284" s="718">
        <v>85</v>
      </c>
      <c r="D284" s="729">
        <f t="shared" si="130"/>
        <v>28837.551724137931</v>
      </c>
      <c r="E284" s="729">
        <f t="shared" si="130"/>
        <v>26636.827586206895</v>
      </c>
      <c r="F284" s="729">
        <f t="shared" si="130"/>
        <v>32488.392857142859</v>
      </c>
      <c r="G284" s="729">
        <f t="shared" si="130"/>
        <v>47663.310344827587</v>
      </c>
      <c r="H284" s="729">
        <f t="shared" si="130"/>
        <v>58795.103448275862</v>
      </c>
      <c r="I284" s="729">
        <f t="shared" si="130"/>
        <v>69978.758620689652</v>
      </c>
      <c r="J284" s="729">
        <f t="shared" si="130"/>
        <v>66676.137931034478</v>
      </c>
      <c r="K284" s="729">
        <f t="shared" si="130"/>
        <v>57949.103448275862</v>
      </c>
      <c r="L284" s="729">
        <f t="shared" si="130"/>
        <v>61703.034482758623</v>
      </c>
      <c r="M284" s="729">
        <f t="shared" si="130"/>
        <v>48291.448275862072</v>
      </c>
      <c r="N284" s="729">
        <f t="shared" si="130"/>
        <v>36101.65517241379</v>
      </c>
      <c r="O284" s="729">
        <f t="shared" si="130"/>
        <v>29348.5</v>
      </c>
      <c r="P284" s="729">
        <f t="shared" si="131"/>
        <v>564469.82389162562</v>
      </c>
      <c r="Q284" s="729"/>
    </row>
    <row r="285" spans="1:17" s="718" customFormat="1" x14ac:dyDescent="0.2">
      <c r="B285" s="718" t="s">
        <v>187</v>
      </c>
      <c r="C285" s="718">
        <v>86</v>
      </c>
      <c r="D285" s="729">
        <f t="shared" si="130"/>
        <v>942.34497816593887</v>
      </c>
      <c r="E285" s="729">
        <f t="shared" si="130"/>
        <v>873.55021834061131</v>
      </c>
      <c r="F285" s="729">
        <f t="shared" si="130"/>
        <v>1658.3449781659388</v>
      </c>
      <c r="G285" s="729">
        <f t="shared" si="130"/>
        <v>3580.0087719298244</v>
      </c>
      <c r="H285" s="729">
        <f t="shared" si="130"/>
        <v>4600.1184210526317</v>
      </c>
      <c r="I285" s="729">
        <f t="shared" si="130"/>
        <v>5706.2368421052633</v>
      </c>
      <c r="J285" s="729">
        <f t="shared" si="130"/>
        <v>5598.3684210526317</v>
      </c>
      <c r="K285" s="729">
        <f t="shared" si="130"/>
        <v>4686.2368421052633</v>
      </c>
      <c r="L285" s="729">
        <f t="shared" si="130"/>
        <v>4945.7192982456145</v>
      </c>
      <c r="M285" s="729">
        <f t="shared" si="130"/>
        <v>3808.1973684210525</v>
      </c>
      <c r="N285" s="729">
        <f t="shared" si="130"/>
        <v>2151.4140969162995</v>
      </c>
      <c r="O285" s="729">
        <f t="shared" si="130"/>
        <v>1393.9339207048458</v>
      </c>
      <c r="P285" s="729">
        <f t="shared" si="131"/>
        <v>39944.474157205914</v>
      </c>
      <c r="Q285" s="729"/>
    </row>
    <row r="286" spans="1:17" s="725" customFormat="1" x14ac:dyDescent="0.2">
      <c r="A286" s="718"/>
      <c r="B286" s="718" t="s">
        <v>188</v>
      </c>
      <c r="C286" s="718">
        <v>87</v>
      </c>
      <c r="D286" s="729">
        <f t="shared" si="130"/>
        <v>241032.6</v>
      </c>
      <c r="E286" s="729">
        <f t="shared" si="130"/>
        <v>238246.6</v>
      </c>
      <c r="F286" s="729">
        <f t="shared" si="130"/>
        <v>259490.8</v>
      </c>
      <c r="G286" s="729">
        <f t="shared" si="130"/>
        <v>391372.6</v>
      </c>
      <c r="H286" s="729">
        <f t="shared" si="130"/>
        <v>469210.2</v>
      </c>
      <c r="I286" s="729">
        <f t="shared" si="130"/>
        <v>563495.4</v>
      </c>
      <c r="J286" s="729">
        <f t="shared" si="130"/>
        <v>516419</v>
      </c>
      <c r="K286" s="729">
        <f t="shared" si="130"/>
        <v>490774</v>
      </c>
      <c r="L286" s="729">
        <f t="shared" si="130"/>
        <v>486404</v>
      </c>
      <c r="M286" s="729">
        <f t="shared" si="130"/>
        <v>414934</v>
      </c>
      <c r="N286" s="729">
        <f t="shared" si="130"/>
        <v>297142</v>
      </c>
      <c r="O286" s="729">
        <f t="shared" si="130"/>
        <v>286110.2</v>
      </c>
      <c r="P286" s="729">
        <f t="shared" si="131"/>
        <v>4654631.4000000004</v>
      </c>
      <c r="Q286" s="729"/>
    </row>
    <row r="287" spans="1:17" ht="15" x14ac:dyDescent="0.25">
      <c r="A287" s="725"/>
      <c r="B287" s="754" t="s">
        <v>239</v>
      </c>
      <c r="C287" s="740" t="s">
        <v>346</v>
      </c>
      <c r="D287" s="729">
        <f t="shared" si="130"/>
        <v>192133.5</v>
      </c>
      <c r="E287" s="729">
        <f t="shared" si="130"/>
        <v>186918.8</v>
      </c>
      <c r="F287" s="729">
        <f t="shared" si="130"/>
        <v>206898.3</v>
      </c>
      <c r="G287" s="729">
        <f t="shared" si="130"/>
        <v>300687.2</v>
      </c>
      <c r="H287" s="729">
        <f t="shared" si="130"/>
        <v>383391.8</v>
      </c>
      <c r="I287" s="729">
        <f t="shared" si="130"/>
        <v>435291.7</v>
      </c>
      <c r="J287" s="729">
        <f t="shared" si="130"/>
        <v>444346.8</v>
      </c>
      <c r="K287" s="729">
        <f t="shared" si="130"/>
        <v>386748.6</v>
      </c>
      <c r="L287" s="729">
        <f t="shared" si="130"/>
        <v>381381.9</v>
      </c>
      <c r="M287" s="729">
        <f t="shared" si="130"/>
        <v>326617.3</v>
      </c>
      <c r="N287" s="729">
        <f t="shared" si="130"/>
        <v>260758</v>
      </c>
      <c r="O287" s="729">
        <f t="shared" si="130"/>
        <v>222395.3</v>
      </c>
      <c r="P287" s="729">
        <f t="shared" si="131"/>
        <v>3727569.1999999997</v>
      </c>
      <c r="Q287" s="729"/>
    </row>
    <row r="288" spans="1:17" x14ac:dyDescent="0.2">
      <c r="B288" s="718" t="s">
        <v>113</v>
      </c>
      <c r="C288" s="718"/>
      <c r="D288" s="729">
        <f t="shared" ref="D288:O288" si="132">IFERROR(ROUND(D196,0)/ROUND(D62,0),0)</f>
        <v>54.719095218189509</v>
      </c>
      <c r="E288" s="729">
        <f t="shared" si="132"/>
        <v>54.137752783735849</v>
      </c>
      <c r="F288" s="729">
        <f t="shared" si="132"/>
        <v>67.729227601718335</v>
      </c>
      <c r="G288" s="729">
        <f t="shared" si="132"/>
        <v>113.3063867955758</v>
      </c>
      <c r="H288" s="729">
        <f t="shared" si="132"/>
        <v>159.26874679102423</v>
      </c>
      <c r="I288" s="729">
        <f t="shared" si="132"/>
        <v>189.62750934321866</v>
      </c>
      <c r="J288" s="729">
        <f t="shared" si="132"/>
        <v>201.49839212346168</v>
      </c>
      <c r="K288" s="729">
        <f t="shared" si="132"/>
        <v>160.34387379953341</v>
      </c>
      <c r="L288" s="729">
        <f t="shared" si="132"/>
        <v>166.59393169109029</v>
      </c>
      <c r="M288" s="729">
        <f t="shared" si="132"/>
        <v>119.41620981207834</v>
      </c>
      <c r="N288" s="729">
        <f t="shared" si="132"/>
        <v>84.113984115425978</v>
      </c>
      <c r="O288" s="729">
        <f t="shared" si="132"/>
        <v>60.5823174295938</v>
      </c>
      <c r="P288" s="729">
        <f t="shared" si="131"/>
        <v>1431.3374275046458</v>
      </c>
      <c r="Q288" s="763"/>
    </row>
    <row r="289" spans="2:17" x14ac:dyDescent="0.2">
      <c r="B289" s="718"/>
      <c r="C289" s="719"/>
      <c r="D289" s="721"/>
      <c r="E289" s="721"/>
      <c r="F289" s="721"/>
      <c r="G289" s="721"/>
      <c r="H289" s="721"/>
      <c r="I289" s="721"/>
      <c r="J289" s="721"/>
      <c r="K289" s="721"/>
      <c r="L289" s="721"/>
      <c r="M289" s="721"/>
      <c r="N289" s="721"/>
      <c r="O289" s="721"/>
      <c r="P289" s="763"/>
      <c r="Q289" s="763"/>
    </row>
    <row r="290" spans="2:17" x14ac:dyDescent="0.2">
      <c r="B290" s="718"/>
      <c r="C290" s="719"/>
      <c r="D290" s="721"/>
      <c r="E290" s="721"/>
      <c r="F290" s="721"/>
      <c r="G290" s="721"/>
      <c r="H290" s="721"/>
      <c r="I290" s="721"/>
      <c r="J290" s="721"/>
      <c r="K290" s="721"/>
      <c r="L290" s="721"/>
      <c r="M290" s="721"/>
      <c r="N290" s="721"/>
      <c r="O290" s="721"/>
      <c r="P290" s="763"/>
      <c r="Q290" s="732"/>
    </row>
    <row r="291" spans="2:17" x14ac:dyDescent="0.2">
      <c r="D291" s="732"/>
      <c r="E291" s="732"/>
      <c r="F291" s="732"/>
      <c r="G291" s="732"/>
      <c r="H291" s="732"/>
      <c r="I291" s="732"/>
      <c r="J291" s="732"/>
      <c r="K291" s="732"/>
      <c r="L291" s="732"/>
      <c r="M291" s="732"/>
      <c r="N291" s="732"/>
      <c r="O291" s="732"/>
      <c r="P291" s="732"/>
      <c r="Q291" s="732"/>
    </row>
    <row r="292" spans="2:17" x14ac:dyDescent="0.2">
      <c r="D292" s="732"/>
      <c r="E292" s="732"/>
      <c r="F292" s="732"/>
      <c r="G292" s="732"/>
      <c r="H292" s="732"/>
      <c r="I292" s="732"/>
      <c r="J292" s="732"/>
      <c r="K292" s="732"/>
      <c r="L292" s="732"/>
      <c r="M292" s="732"/>
      <c r="N292" s="732"/>
      <c r="O292" s="732"/>
      <c r="P292" s="732"/>
      <c r="Q292" s="732"/>
    </row>
    <row r="293" spans="2:17" x14ac:dyDescent="0.2">
      <c r="D293" s="732"/>
      <c r="E293" s="732"/>
      <c r="F293" s="732"/>
      <c r="G293" s="732"/>
      <c r="H293" s="732"/>
      <c r="I293" s="732"/>
      <c r="J293" s="732"/>
      <c r="K293" s="732"/>
      <c r="L293" s="732"/>
      <c r="M293" s="732"/>
      <c r="N293" s="732"/>
      <c r="O293" s="732"/>
      <c r="P293" s="732"/>
      <c r="Q293" s="732"/>
    </row>
    <row r="294" spans="2:17" x14ac:dyDescent="0.2">
      <c r="D294" s="732"/>
      <c r="E294" s="732"/>
      <c r="F294" s="732"/>
      <c r="G294" s="732"/>
      <c r="H294" s="732"/>
      <c r="I294" s="732"/>
      <c r="J294" s="732"/>
      <c r="K294" s="732"/>
      <c r="L294" s="732"/>
      <c r="M294" s="732"/>
      <c r="N294" s="732"/>
      <c r="O294" s="732"/>
      <c r="P294" s="732"/>
      <c r="Q294" s="732"/>
    </row>
    <row r="295" spans="2:17" x14ac:dyDescent="0.2">
      <c r="D295" s="732"/>
      <c r="E295" s="732"/>
      <c r="F295" s="732"/>
      <c r="G295" s="732"/>
      <c r="H295" s="732"/>
      <c r="I295" s="732"/>
      <c r="J295" s="732"/>
      <c r="K295" s="732"/>
      <c r="L295" s="732"/>
      <c r="M295" s="732"/>
      <c r="N295" s="732"/>
      <c r="O295" s="732"/>
      <c r="P295" s="732"/>
      <c r="Q295" s="732"/>
    </row>
    <row r="296" spans="2:17" x14ac:dyDescent="0.2">
      <c r="D296" s="732"/>
      <c r="E296" s="732"/>
      <c r="F296" s="732"/>
      <c r="G296" s="732"/>
      <c r="H296" s="732"/>
      <c r="I296" s="732"/>
      <c r="J296" s="732"/>
      <c r="K296" s="732"/>
      <c r="L296" s="732"/>
      <c r="M296" s="732"/>
      <c r="N296" s="732"/>
      <c r="O296" s="732"/>
      <c r="P296" s="732"/>
      <c r="Q296" s="732"/>
    </row>
    <row r="297" spans="2:17" x14ac:dyDescent="0.2">
      <c r="D297" s="732"/>
      <c r="E297" s="732"/>
      <c r="F297" s="732"/>
      <c r="G297" s="732"/>
      <c r="H297" s="732"/>
      <c r="I297" s="732"/>
      <c r="J297" s="732"/>
      <c r="K297" s="732"/>
      <c r="L297" s="732"/>
      <c r="M297" s="732"/>
      <c r="N297" s="732"/>
      <c r="O297" s="732"/>
      <c r="P297" s="732"/>
      <c r="Q297" s="732"/>
    </row>
    <row r="298" spans="2:17" x14ac:dyDescent="0.2">
      <c r="D298" s="732"/>
      <c r="E298" s="732"/>
      <c r="F298" s="732"/>
      <c r="G298" s="732"/>
      <c r="H298" s="732"/>
      <c r="I298" s="732"/>
      <c r="J298" s="732"/>
      <c r="K298" s="732"/>
      <c r="L298" s="732"/>
      <c r="M298" s="732"/>
      <c r="N298" s="732"/>
      <c r="O298" s="732"/>
      <c r="P298" s="732"/>
      <c r="Q298" s="732"/>
    </row>
    <row r="299" spans="2:17" x14ac:dyDescent="0.2">
      <c r="D299" s="732"/>
      <c r="E299" s="732"/>
      <c r="F299" s="732"/>
      <c r="G299" s="732"/>
      <c r="H299" s="732"/>
      <c r="I299" s="732"/>
      <c r="J299" s="732"/>
      <c r="K299" s="732"/>
      <c r="L299" s="732"/>
      <c r="M299" s="732"/>
      <c r="N299" s="732"/>
      <c r="O299" s="732"/>
      <c r="P299" s="732"/>
      <c r="Q299" s="732"/>
    </row>
    <row r="300" spans="2:17" x14ac:dyDescent="0.2">
      <c r="D300" s="732"/>
      <c r="E300" s="732"/>
      <c r="F300" s="732"/>
      <c r="G300" s="732"/>
      <c r="H300" s="732"/>
      <c r="I300" s="732"/>
      <c r="J300" s="732"/>
      <c r="K300" s="732"/>
      <c r="L300" s="732"/>
      <c r="M300" s="732"/>
      <c r="N300" s="732"/>
      <c r="O300" s="732"/>
      <c r="P300" s="732"/>
      <c r="Q300" s="732"/>
    </row>
    <row r="301" spans="2:17" x14ac:dyDescent="0.2">
      <c r="D301" s="732"/>
      <c r="E301" s="732"/>
      <c r="F301" s="732"/>
      <c r="G301" s="732"/>
      <c r="H301" s="732"/>
      <c r="I301" s="732"/>
      <c r="J301" s="732"/>
      <c r="K301" s="732"/>
      <c r="L301" s="732"/>
      <c r="M301" s="732"/>
      <c r="N301" s="732"/>
      <c r="O301" s="732"/>
      <c r="P301" s="732"/>
      <c r="Q301" s="732"/>
    </row>
    <row r="302" spans="2:17" x14ac:dyDescent="0.2">
      <c r="D302" s="732"/>
      <c r="E302" s="732"/>
      <c r="F302" s="732"/>
      <c r="G302" s="732"/>
      <c r="H302" s="732"/>
      <c r="I302" s="732"/>
      <c r="J302" s="732"/>
      <c r="K302" s="732"/>
      <c r="L302" s="732"/>
      <c r="M302" s="732"/>
      <c r="N302" s="732"/>
      <c r="O302" s="732"/>
      <c r="P302" s="732"/>
      <c r="Q302" s="732"/>
    </row>
    <row r="303" spans="2:17" x14ac:dyDescent="0.2">
      <c r="D303" s="732"/>
      <c r="E303" s="732"/>
      <c r="F303" s="732"/>
      <c r="G303" s="732"/>
      <c r="H303" s="732"/>
      <c r="I303" s="732"/>
      <c r="J303" s="732"/>
      <c r="K303" s="732"/>
      <c r="L303" s="732"/>
      <c r="M303" s="732"/>
      <c r="N303" s="732"/>
      <c r="O303" s="732"/>
      <c r="P303" s="732"/>
      <c r="Q303" s="732"/>
    </row>
    <row r="304" spans="2:17" x14ac:dyDescent="0.2">
      <c r="D304" s="732"/>
      <c r="E304" s="732"/>
      <c r="F304" s="732"/>
      <c r="G304" s="732"/>
      <c r="H304" s="732"/>
      <c r="I304" s="732"/>
      <c r="J304" s="732"/>
      <c r="K304" s="732"/>
      <c r="L304" s="732"/>
      <c r="M304" s="732"/>
      <c r="N304" s="732"/>
      <c r="O304" s="732"/>
      <c r="P304" s="732"/>
      <c r="Q304" s="732"/>
    </row>
    <row r="305" spans="4:17" x14ac:dyDescent="0.2">
      <c r="D305" s="732"/>
      <c r="E305" s="732"/>
      <c r="F305" s="732"/>
      <c r="G305" s="732"/>
      <c r="H305" s="732"/>
      <c r="I305" s="732"/>
      <c r="J305" s="732"/>
      <c r="K305" s="732"/>
      <c r="L305" s="732"/>
      <c r="M305" s="732"/>
      <c r="N305" s="732"/>
      <c r="O305" s="732"/>
      <c r="P305" s="732"/>
      <c r="Q305" s="732"/>
    </row>
    <row r="306" spans="4:17" x14ac:dyDescent="0.2">
      <c r="D306" s="732"/>
      <c r="E306" s="732"/>
      <c r="F306" s="732"/>
      <c r="G306" s="732"/>
      <c r="H306" s="732"/>
      <c r="I306" s="732"/>
      <c r="J306" s="732"/>
      <c r="K306" s="732"/>
      <c r="L306" s="732"/>
      <c r="M306" s="732"/>
      <c r="N306" s="732"/>
      <c r="O306" s="732"/>
      <c r="P306" s="732"/>
      <c r="Q306" s="732"/>
    </row>
    <row r="307" spans="4:17" x14ac:dyDescent="0.2">
      <c r="D307" s="732"/>
      <c r="E307" s="732"/>
      <c r="F307" s="732"/>
      <c r="G307" s="732"/>
      <c r="H307" s="732"/>
      <c r="I307" s="732"/>
      <c r="J307" s="732"/>
      <c r="K307" s="732"/>
      <c r="L307" s="732"/>
      <c r="M307" s="732"/>
      <c r="N307" s="732"/>
      <c r="O307" s="732"/>
      <c r="P307" s="732"/>
      <c r="Q307" s="732"/>
    </row>
    <row r="308" spans="4:17" x14ac:dyDescent="0.2">
      <c r="D308" s="732"/>
      <c r="E308" s="732"/>
      <c r="F308" s="732"/>
      <c r="G308" s="732"/>
      <c r="H308" s="732"/>
      <c r="I308" s="732"/>
      <c r="J308" s="732"/>
      <c r="K308" s="732"/>
      <c r="L308" s="732"/>
      <c r="M308" s="732"/>
      <c r="N308" s="732"/>
      <c r="O308" s="732"/>
      <c r="P308" s="732"/>
      <c r="Q308" s="732"/>
    </row>
    <row r="309" spans="4:17" x14ac:dyDescent="0.2">
      <c r="D309" s="732"/>
      <c r="E309" s="732"/>
      <c r="F309" s="732"/>
      <c r="G309" s="732"/>
      <c r="H309" s="732"/>
      <c r="I309" s="732"/>
      <c r="J309" s="732"/>
      <c r="K309" s="732"/>
      <c r="L309" s="732"/>
      <c r="M309" s="732"/>
      <c r="N309" s="732"/>
      <c r="O309" s="732"/>
      <c r="P309" s="732"/>
      <c r="Q309" s="732"/>
    </row>
    <row r="310" spans="4:17" x14ac:dyDescent="0.2">
      <c r="D310" s="732"/>
      <c r="E310" s="732"/>
      <c r="F310" s="732"/>
      <c r="G310" s="732"/>
      <c r="H310" s="732"/>
      <c r="I310" s="732"/>
      <c r="J310" s="732"/>
      <c r="K310" s="732"/>
      <c r="L310" s="732"/>
      <c r="M310" s="732"/>
      <c r="N310" s="732"/>
      <c r="O310" s="732"/>
      <c r="P310" s="732"/>
      <c r="Q310" s="732"/>
    </row>
    <row r="311" spans="4:17" x14ac:dyDescent="0.2">
      <c r="D311" s="732"/>
      <c r="E311" s="732"/>
      <c r="F311" s="732"/>
      <c r="G311" s="732"/>
      <c r="H311" s="732"/>
      <c r="I311" s="732"/>
      <c r="J311" s="732"/>
      <c r="K311" s="732"/>
      <c r="L311" s="732"/>
      <c r="M311" s="732"/>
      <c r="N311" s="732"/>
      <c r="O311" s="732"/>
      <c r="P311" s="732"/>
      <c r="Q311" s="732"/>
    </row>
    <row r="312" spans="4:17" x14ac:dyDescent="0.2">
      <c r="D312" s="732"/>
      <c r="E312" s="732"/>
      <c r="F312" s="732"/>
      <c r="G312" s="732"/>
      <c r="H312" s="732"/>
      <c r="I312" s="732"/>
      <c r="J312" s="732"/>
      <c r="K312" s="732"/>
      <c r="L312" s="732"/>
      <c r="M312" s="732"/>
      <c r="N312" s="732"/>
      <c r="O312" s="732"/>
      <c r="P312" s="732"/>
      <c r="Q312" s="732"/>
    </row>
    <row r="313" spans="4:17" x14ac:dyDescent="0.2">
      <c r="D313" s="732"/>
      <c r="E313" s="732"/>
      <c r="F313" s="732"/>
      <c r="G313" s="732"/>
      <c r="H313" s="732"/>
      <c r="I313" s="732"/>
      <c r="J313" s="732"/>
      <c r="K313" s="732"/>
      <c r="L313" s="732"/>
      <c r="M313" s="732"/>
      <c r="N313" s="732"/>
      <c r="O313" s="732"/>
      <c r="P313" s="732"/>
      <c r="Q313" s="732"/>
    </row>
    <row r="314" spans="4:17" x14ac:dyDescent="0.2">
      <c r="D314" s="732"/>
      <c r="E314" s="732"/>
      <c r="F314" s="732"/>
      <c r="G314" s="732"/>
      <c r="H314" s="732"/>
      <c r="I314" s="732"/>
      <c r="J314" s="732"/>
      <c r="K314" s="732"/>
      <c r="L314" s="732"/>
      <c r="M314" s="732"/>
      <c r="N314" s="732"/>
      <c r="O314" s="732"/>
      <c r="P314" s="732"/>
      <c r="Q314" s="732"/>
    </row>
    <row r="315" spans="4:17" x14ac:dyDescent="0.2">
      <c r="D315" s="732"/>
      <c r="E315" s="732"/>
      <c r="F315" s="732"/>
      <c r="G315" s="732"/>
      <c r="H315" s="732"/>
      <c r="I315" s="732"/>
      <c r="J315" s="732"/>
      <c r="K315" s="732"/>
      <c r="L315" s="732"/>
      <c r="M315" s="732"/>
      <c r="N315" s="732"/>
      <c r="O315" s="732"/>
      <c r="P315" s="732"/>
      <c r="Q315" s="732"/>
    </row>
    <row r="316" spans="4:17" x14ac:dyDescent="0.2">
      <c r="D316" s="732"/>
      <c r="E316" s="732"/>
      <c r="F316" s="732"/>
      <c r="G316" s="732"/>
      <c r="H316" s="732"/>
      <c r="I316" s="732"/>
      <c r="J316" s="732"/>
      <c r="K316" s="732"/>
      <c r="L316" s="732"/>
      <c r="M316" s="732"/>
      <c r="N316" s="732"/>
      <c r="O316" s="732"/>
      <c r="P316" s="732"/>
      <c r="Q316" s="732"/>
    </row>
    <row r="317" spans="4:17" x14ac:dyDescent="0.2">
      <c r="D317" s="732"/>
      <c r="E317" s="732"/>
      <c r="F317" s="732"/>
      <c r="G317" s="732"/>
      <c r="H317" s="732"/>
      <c r="I317" s="732"/>
      <c r="J317" s="732"/>
      <c r="K317" s="732"/>
      <c r="L317" s="732"/>
      <c r="M317" s="732"/>
      <c r="N317" s="732"/>
      <c r="O317" s="732"/>
      <c r="P317" s="732"/>
      <c r="Q317" s="732"/>
    </row>
    <row r="318" spans="4:17" x14ac:dyDescent="0.2">
      <c r="D318" s="732"/>
      <c r="E318" s="732"/>
      <c r="F318" s="732"/>
      <c r="G318" s="732"/>
      <c r="H318" s="732"/>
      <c r="I318" s="732"/>
      <c r="J318" s="732"/>
      <c r="K318" s="732"/>
      <c r="L318" s="732"/>
      <c r="M318" s="732"/>
      <c r="N318" s="732"/>
      <c r="O318" s="732"/>
      <c r="P318" s="732"/>
      <c r="Q318" s="732"/>
    </row>
    <row r="319" spans="4:17" x14ac:dyDescent="0.2">
      <c r="D319" s="732"/>
      <c r="E319" s="732"/>
      <c r="F319" s="732"/>
      <c r="G319" s="732"/>
      <c r="H319" s="732"/>
      <c r="I319" s="732"/>
      <c r="J319" s="732"/>
      <c r="K319" s="732"/>
      <c r="L319" s="732"/>
      <c r="M319" s="732"/>
      <c r="N319" s="732"/>
      <c r="O319" s="732"/>
      <c r="P319" s="732"/>
      <c r="Q319" s="732"/>
    </row>
    <row r="320" spans="4:17" x14ac:dyDescent="0.2">
      <c r="D320" s="732"/>
      <c r="E320" s="732"/>
      <c r="F320" s="732"/>
      <c r="G320" s="732"/>
      <c r="H320" s="732"/>
      <c r="I320" s="732"/>
      <c r="J320" s="732"/>
      <c r="K320" s="732"/>
      <c r="L320" s="732"/>
      <c r="M320" s="732"/>
      <c r="N320" s="732"/>
      <c r="O320" s="732"/>
      <c r="P320" s="732"/>
      <c r="Q320" s="732"/>
    </row>
    <row r="321" spans="4:17" x14ac:dyDescent="0.2">
      <c r="D321" s="732"/>
      <c r="E321" s="732"/>
      <c r="F321" s="732"/>
      <c r="G321" s="732"/>
      <c r="H321" s="732"/>
      <c r="I321" s="732"/>
      <c r="J321" s="732"/>
      <c r="K321" s="732"/>
      <c r="L321" s="732"/>
      <c r="M321" s="732"/>
      <c r="N321" s="732"/>
      <c r="O321" s="732"/>
      <c r="P321" s="732"/>
      <c r="Q321" s="732"/>
    </row>
    <row r="322" spans="4:17" x14ac:dyDescent="0.2">
      <c r="D322" s="732"/>
      <c r="E322" s="732"/>
      <c r="F322" s="732"/>
      <c r="G322" s="732"/>
      <c r="H322" s="732"/>
      <c r="I322" s="732"/>
      <c r="J322" s="732"/>
      <c r="K322" s="732"/>
      <c r="L322" s="732"/>
      <c r="M322" s="732"/>
      <c r="N322" s="732"/>
      <c r="O322" s="732"/>
      <c r="P322" s="732"/>
      <c r="Q322" s="732"/>
    </row>
    <row r="323" spans="4:17" x14ac:dyDescent="0.2">
      <c r="D323" s="732"/>
      <c r="E323" s="732"/>
      <c r="F323" s="732"/>
      <c r="G323" s="732"/>
      <c r="H323" s="732"/>
      <c r="I323" s="732"/>
      <c r="J323" s="732"/>
      <c r="K323" s="732"/>
      <c r="L323" s="732"/>
      <c r="M323" s="732"/>
      <c r="N323" s="732"/>
      <c r="O323" s="732"/>
      <c r="P323" s="732"/>
      <c r="Q323" s="732"/>
    </row>
    <row r="324" spans="4:17" x14ac:dyDescent="0.2">
      <c r="D324" s="732"/>
      <c r="E324" s="732"/>
      <c r="F324" s="732"/>
      <c r="G324" s="732"/>
      <c r="H324" s="732"/>
      <c r="I324" s="732"/>
      <c r="J324" s="732"/>
      <c r="K324" s="732"/>
      <c r="L324" s="732"/>
      <c r="M324" s="732"/>
      <c r="N324" s="732"/>
      <c r="O324" s="732"/>
      <c r="P324" s="732"/>
      <c r="Q324" s="732"/>
    </row>
    <row r="325" spans="4:17" x14ac:dyDescent="0.2">
      <c r="D325" s="732"/>
      <c r="E325" s="732"/>
      <c r="F325" s="732"/>
      <c r="G325" s="732"/>
      <c r="H325" s="732"/>
      <c r="I325" s="732"/>
      <c r="J325" s="732"/>
      <c r="K325" s="732"/>
      <c r="L325" s="732"/>
      <c r="M325" s="732"/>
      <c r="N325" s="732"/>
      <c r="O325" s="732"/>
      <c r="P325" s="732"/>
      <c r="Q325" s="732"/>
    </row>
    <row r="326" spans="4:17" x14ac:dyDescent="0.2">
      <c r="D326" s="732"/>
      <c r="E326" s="732"/>
      <c r="F326" s="732"/>
      <c r="G326" s="732"/>
      <c r="H326" s="732"/>
      <c r="I326" s="732"/>
      <c r="J326" s="732"/>
      <c r="K326" s="732"/>
      <c r="L326" s="732"/>
      <c r="M326" s="732"/>
      <c r="N326" s="732"/>
      <c r="O326" s="732"/>
      <c r="P326" s="732"/>
      <c r="Q326" s="732"/>
    </row>
    <row r="327" spans="4:17" x14ac:dyDescent="0.2">
      <c r="D327" s="732"/>
      <c r="E327" s="732"/>
      <c r="F327" s="732"/>
      <c r="G327" s="732"/>
      <c r="H327" s="732"/>
      <c r="I327" s="732"/>
      <c r="J327" s="732"/>
      <c r="K327" s="732"/>
      <c r="L327" s="732"/>
      <c r="M327" s="732"/>
      <c r="N327" s="732"/>
      <c r="O327" s="732"/>
      <c r="P327" s="732"/>
      <c r="Q327" s="732"/>
    </row>
    <row r="328" spans="4:17" x14ac:dyDescent="0.2">
      <c r="D328" s="732"/>
      <c r="E328" s="732"/>
      <c r="F328" s="732"/>
      <c r="G328" s="732"/>
      <c r="H328" s="732"/>
      <c r="I328" s="732"/>
      <c r="J328" s="732"/>
      <c r="K328" s="732"/>
      <c r="L328" s="732"/>
      <c r="M328" s="732"/>
      <c r="N328" s="732"/>
      <c r="O328" s="732"/>
      <c r="P328" s="732"/>
      <c r="Q328" s="732"/>
    </row>
    <row r="329" spans="4:17" x14ac:dyDescent="0.2">
      <c r="D329" s="732"/>
      <c r="E329" s="732"/>
      <c r="F329" s="732"/>
      <c r="G329" s="732"/>
      <c r="H329" s="732"/>
      <c r="I329" s="732"/>
      <c r="J329" s="732"/>
      <c r="K329" s="732"/>
      <c r="L329" s="732"/>
      <c r="M329" s="732"/>
      <c r="N329" s="732"/>
      <c r="O329" s="732"/>
      <c r="P329" s="732"/>
      <c r="Q329" s="732"/>
    </row>
    <row r="330" spans="4:17" x14ac:dyDescent="0.2">
      <c r="D330" s="732"/>
      <c r="E330" s="732"/>
      <c r="F330" s="732"/>
      <c r="G330" s="732"/>
      <c r="H330" s="732"/>
      <c r="I330" s="732"/>
      <c r="J330" s="732"/>
      <c r="K330" s="732"/>
      <c r="L330" s="732"/>
      <c r="M330" s="732"/>
      <c r="N330" s="732"/>
      <c r="O330" s="732"/>
      <c r="P330" s="732"/>
      <c r="Q330" s="732"/>
    </row>
    <row r="331" spans="4:17" x14ac:dyDescent="0.2">
      <c r="D331" s="732"/>
      <c r="E331" s="732"/>
      <c r="F331" s="732"/>
      <c r="G331" s="732"/>
      <c r="H331" s="732"/>
      <c r="I331" s="732"/>
      <c r="J331" s="732"/>
      <c r="K331" s="732"/>
      <c r="L331" s="732"/>
      <c r="M331" s="732"/>
      <c r="N331" s="732"/>
      <c r="O331" s="732"/>
      <c r="P331" s="732"/>
      <c r="Q331" s="732"/>
    </row>
    <row r="332" spans="4:17" x14ac:dyDescent="0.2">
      <c r="D332" s="732"/>
      <c r="E332" s="732"/>
      <c r="F332" s="732"/>
      <c r="G332" s="732"/>
      <c r="H332" s="732"/>
      <c r="I332" s="732"/>
      <c r="J332" s="732"/>
      <c r="K332" s="732"/>
      <c r="L332" s="732"/>
      <c r="M332" s="732"/>
      <c r="N332" s="732"/>
      <c r="O332" s="732"/>
      <c r="P332" s="732"/>
      <c r="Q332" s="732"/>
    </row>
    <row r="333" spans="4:17" x14ac:dyDescent="0.2">
      <c r="D333" s="732"/>
      <c r="E333" s="732"/>
      <c r="F333" s="732"/>
      <c r="G333" s="732"/>
      <c r="H333" s="732"/>
      <c r="I333" s="732"/>
      <c r="J333" s="732"/>
      <c r="K333" s="732"/>
      <c r="L333" s="732"/>
      <c r="M333" s="732"/>
      <c r="N333" s="732"/>
      <c r="O333" s="732"/>
      <c r="P333" s="732"/>
      <c r="Q333" s="732"/>
    </row>
    <row r="334" spans="4:17" x14ac:dyDescent="0.2">
      <c r="D334" s="732"/>
      <c r="E334" s="732"/>
      <c r="F334" s="732"/>
      <c r="G334" s="732"/>
      <c r="H334" s="732"/>
      <c r="I334" s="732"/>
      <c r="J334" s="732"/>
      <c r="K334" s="732"/>
      <c r="L334" s="732"/>
      <c r="M334" s="732"/>
      <c r="N334" s="732"/>
      <c r="O334" s="732"/>
      <c r="P334" s="732"/>
      <c r="Q334" s="732"/>
    </row>
    <row r="335" spans="4:17" x14ac:dyDescent="0.2">
      <c r="D335" s="732"/>
      <c r="E335" s="732"/>
      <c r="F335" s="732"/>
      <c r="G335" s="732"/>
      <c r="H335" s="732"/>
      <c r="I335" s="732"/>
      <c r="J335" s="732"/>
      <c r="K335" s="732"/>
      <c r="L335" s="732"/>
      <c r="M335" s="732"/>
      <c r="N335" s="732"/>
      <c r="O335" s="732"/>
      <c r="P335" s="732"/>
    </row>
  </sheetData>
  <mergeCells count="4">
    <mergeCell ref="B1:P1"/>
    <mergeCell ref="B2:P2"/>
    <mergeCell ref="B3:P3"/>
    <mergeCell ref="B4:P4"/>
  </mergeCells>
  <printOptions horizontalCentered="1"/>
  <pageMargins left="0.5" right="0.5" top="0.75" bottom="0.75" header="0.5" footer="0.3"/>
  <pageSetup scale="57" fitToHeight="5" orientation="landscape" blackAndWhite="1" r:id="rId1"/>
  <headerFooter alignWithMargins="0">
    <oddFooter>&amp;L&amp;F  
&amp;A&amp;C&amp;P&amp;R&amp;D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R57"/>
  <sheetViews>
    <sheetView zoomScale="90" zoomScaleNormal="90" workbookViewId="0">
      <selection activeCell="M56" sqref="M56"/>
    </sheetView>
  </sheetViews>
  <sheetFormatPr defaultRowHeight="15" x14ac:dyDescent="0.25"/>
  <cols>
    <col min="1" max="1" width="2" style="797" customWidth="1"/>
    <col min="2" max="2" width="37.5703125" style="797" bestFit="1" customWidth="1"/>
    <col min="3" max="3" width="9.140625" style="797"/>
    <col min="4" max="15" width="11.5703125" style="797" customWidth="1"/>
    <col min="16" max="16" width="13" style="797" customWidth="1"/>
    <col min="17" max="16384" width="9.140625" style="797"/>
  </cols>
  <sheetData>
    <row r="1" spans="1:18" s="778" customFormat="1" ht="15" customHeight="1" x14ac:dyDescent="0.2">
      <c r="A1" s="847" t="s">
        <v>1</v>
      </c>
      <c r="B1" s="847"/>
      <c r="C1" s="847"/>
      <c r="D1" s="847"/>
      <c r="E1" s="847"/>
      <c r="F1" s="847"/>
      <c r="G1" s="847"/>
      <c r="H1" s="847"/>
      <c r="I1" s="847"/>
      <c r="J1" s="847"/>
      <c r="K1" s="847"/>
      <c r="L1" s="847"/>
      <c r="M1" s="847"/>
      <c r="N1" s="847"/>
      <c r="O1" s="847"/>
      <c r="P1" s="847"/>
      <c r="Q1" s="777"/>
    </row>
    <row r="2" spans="1:18" s="778" customFormat="1" ht="15" customHeight="1" x14ac:dyDescent="0.2">
      <c r="A2" s="847" t="s">
        <v>397</v>
      </c>
      <c r="B2" s="847"/>
      <c r="C2" s="847"/>
      <c r="D2" s="847"/>
      <c r="E2" s="847"/>
      <c r="F2" s="847"/>
      <c r="G2" s="847"/>
      <c r="H2" s="847"/>
      <c r="I2" s="847"/>
      <c r="J2" s="847"/>
      <c r="K2" s="847"/>
      <c r="L2" s="847"/>
      <c r="M2" s="847"/>
      <c r="N2" s="847"/>
      <c r="O2" s="847"/>
      <c r="P2" s="847"/>
      <c r="Q2" s="777"/>
    </row>
    <row r="3" spans="1:18" s="778" customFormat="1" ht="15" customHeight="1" x14ac:dyDescent="0.2">
      <c r="A3" s="847" t="s">
        <v>568</v>
      </c>
      <c r="B3" s="847"/>
      <c r="C3" s="847"/>
      <c r="D3" s="847"/>
      <c r="E3" s="847"/>
      <c r="F3" s="847"/>
      <c r="G3" s="847"/>
      <c r="H3" s="847"/>
      <c r="I3" s="847"/>
      <c r="J3" s="847"/>
      <c r="K3" s="847"/>
      <c r="L3" s="847"/>
      <c r="M3" s="847"/>
      <c r="N3" s="847"/>
      <c r="O3" s="847"/>
      <c r="P3" s="847"/>
      <c r="Q3" s="777"/>
    </row>
    <row r="4" spans="1:18" s="778" customFormat="1" ht="15" customHeight="1" x14ac:dyDescent="0.2">
      <c r="A4" s="847" t="s">
        <v>542</v>
      </c>
      <c r="B4" s="847"/>
      <c r="C4" s="847"/>
      <c r="D4" s="847"/>
      <c r="E4" s="847"/>
      <c r="F4" s="847"/>
      <c r="G4" s="847"/>
      <c r="H4" s="847"/>
      <c r="I4" s="847"/>
      <c r="J4" s="847"/>
      <c r="K4" s="847"/>
      <c r="L4" s="847"/>
      <c r="M4" s="847"/>
      <c r="N4" s="847"/>
      <c r="O4" s="847"/>
      <c r="P4" s="847"/>
      <c r="Q4" s="777"/>
    </row>
    <row r="5" spans="1:18" s="778" customFormat="1" ht="12.75" x14ac:dyDescent="0.2">
      <c r="B5" s="779"/>
      <c r="C5" s="777"/>
      <c r="D5" s="777"/>
      <c r="E5" s="777"/>
      <c r="F5" s="777"/>
      <c r="G5" s="777"/>
      <c r="H5" s="777"/>
      <c r="I5" s="777"/>
      <c r="J5" s="777"/>
      <c r="K5" s="777"/>
      <c r="L5" s="777"/>
      <c r="M5" s="777"/>
      <c r="N5" s="777"/>
      <c r="O5" s="777"/>
      <c r="P5" s="777"/>
      <c r="Q5" s="777"/>
    </row>
    <row r="6" spans="1:18" s="778" customFormat="1" ht="12.75" x14ac:dyDescent="0.2">
      <c r="B6" s="779"/>
      <c r="C6" s="777"/>
      <c r="D6" s="777"/>
      <c r="E6" s="777"/>
      <c r="F6" s="777"/>
      <c r="G6" s="777"/>
      <c r="H6" s="777"/>
      <c r="I6" s="777"/>
      <c r="J6" s="777"/>
      <c r="K6" s="777"/>
      <c r="L6" s="777"/>
      <c r="M6" s="777"/>
      <c r="N6" s="777"/>
      <c r="O6" s="777"/>
      <c r="P6" s="777"/>
      <c r="Q6" s="777"/>
    </row>
    <row r="7" spans="1:18" s="778" customFormat="1" ht="12.75" x14ac:dyDescent="0.2">
      <c r="B7" s="780" t="s">
        <v>117</v>
      </c>
      <c r="C7" s="780" t="s">
        <v>118</v>
      </c>
      <c r="D7" s="781">
        <v>42917</v>
      </c>
      <c r="E7" s="781">
        <v>42948</v>
      </c>
      <c r="F7" s="781">
        <v>42979</v>
      </c>
      <c r="G7" s="781">
        <v>43009</v>
      </c>
      <c r="H7" s="781">
        <v>43040</v>
      </c>
      <c r="I7" s="781">
        <v>43070</v>
      </c>
      <c r="J7" s="781">
        <v>43101</v>
      </c>
      <c r="K7" s="781">
        <f>EDATE(J7,1)</f>
        <v>43132</v>
      </c>
      <c r="L7" s="781">
        <f t="shared" ref="L7:O7" si="0">EDATE(K7,1)</f>
        <v>43160</v>
      </c>
      <c r="M7" s="781">
        <f t="shared" si="0"/>
        <v>43191</v>
      </c>
      <c r="N7" s="781">
        <f t="shared" si="0"/>
        <v>43221</v>
      </c>
      <c r="O7" s="781">
        <f t="shared" si="0"/>
        <v>43252</v>
      </c>
      <c r="P7" s="781" t="s">
        <v>113</v>
      </c>
      <c r="Q7" s="782"/>
    </row>
    <row r="8" spans="1:18" s="778" customFormat="1" ht="12.75" x14ac:dyDescent="0.2">
      <c r="A8" s="783" t="s">
        <v>218</v>
      </c>
      <c r="C8" s="784"/>
      <c r="D8" s="785"/>
      <c r="E8" s="785"/>
      <c r="F8" s="785"/>
      <c r="G8" s="785"/>
      <c r="H8" s="785"/>
      <c r="I8" s="785"/>
      <c r="J8" s="785"/>
      <c r="K8" s="785"/>
      <c r="L8" s="785"/>
      <c r="M8" s="785"/>
      <c r="N8" s="785"/>
      <c r="O8" s="785"/>
      <c r="P8" s="782"/>
      <c r="Q8" s="782"/>
    </row>
    <row r="9" spans="1:18" s="786" customFormat="1" ht="12.75" x14ac:dyDescent="0.2">
      <c r="A9" s="778" t="s">
        <v>260</v>
      </c>
      <c r="C9" s="787" t="s">
        <v>231</v>
      </c>
      <c r="D9" s="840">
        <f>'Weather Adj'!D157</f>
        <v>0</v>
      </c>
      <c r="E9" s="840">
        <f>'Weather Adj'!E157</f>
        <v>0</v>
      </c>
      <c r="F9" s="840">
        <f>'Weather Adj'!F157</f>
        <v>0</v>
      </c>
      <c r="G9" s="840">
        <f>'Weather Adj'!G157</f>
        <v>-1608</v>
      </c>
      <c r="H9" s="840">
        <f>'Weather Adj'!H157</f>
        <v>18334</v>
      </c>
      <c r="I9" s="840">
        <f>'Weather Adj'!I157</f>
        <v>-21338</v>
      </c>
      <c r="J9" s="840">
        <f>'Weather Adj'!J157</f>
        <v>95773</v>
      </c>
      <c r="K9" s="840">
        <f>'Weather Adj'!K157</f>
        <v>-40499</v>
      </c>
      <c r="L9" s="840">
        <f>'Weather Adj'!L157</f>
        <v>1613</v>
      </c>
      <c r="M9" s="840">
        <f>'Weather Adj'!M157</f>
        <v>20904</v>
      </c>
      <c r="N9" s="840">
        <f>'Weather Adj'!N157</f>
        <v>62330</v>
      </c>
      <c r="O9" s="840">
        <f>'Weather Adj'!O157</f>
        <v>18537</v>
      </c>
      <c r="P9" s="788">
        <f>SUM(D9:O9)</f>
        <v>154046</v>
      </c>
      <c r="Q9" s="789"/>
      <c r="R9" s="790"/>
    </row>
    <row r="10" spans="1:18" s="786" customFormat="1" ht="12.75" x14ac:dyDescent="0.2">
      <c r="A10" s="778" t="s">
        <v>263</v>
      </c>
      <c r="C10" s="787" t="s">
        <v>232</v>
      </c>
      <c r="D10" s="840">
        <f>'Weather Adj'!D158</f>
        <v>0</v>
      </c>
      <c r="E10" s="840">
        <f>'Weather Adj'!E158</f>
        <v>0</v>
      </c>
      <c r="F10" s="840">
        <f>'Weather Adj'!F158</f>
        <v>0</v>
      </c>
      <c r="G10" s="840">
        <f>'Weather Adj'!G158</f>
        <v>-2200</v>
      </c>
      <c r="H10" s="840">
        <f>'Weather Adj'!H158</f>
        <v>32863</v>
      </c>
      <c r="I10" s="840">
        <f>'Weather Adj'!I158</f>
        <v>-37796</v>
      </c>
      <c r="J10" s="840">
        <f>'Weather Adj'!J158</f>
        <v>167857</v>
      </c>
      <c r="K10" s="840">
        <f>'Weather Adj'!K158</f>
        <v>-89985</v>
      </c>
      <c r="L10" s="840">
        <f>'Weather Adj'!L158</f>
        <v>2749</v>
      </c>
      <c r="M10" s="840">
        <f>'Weather Adj'!M158</f>
        <v>37151</v>
      </c>
      <c r="N10" s="840">
        <f>'Weather Adj'!N158</f>
        <v>109586</v>
      </c>
      <c r="O10" s="840">
        <f>'Weather Adj'!O158</f>
        <v>24947</v>
      </c>
      <c r="P10" s="788">
        <f t="shared" ref="P10:P13" si="1">SUM(D10:O10)</f>
        <v>245172</v>
      </c>
      <c r="Q10" s="789"/>
      <c r="R10" s="790"/>
    </row>
    <row r="11" spans="1:18" s="786" customFormat="1" ht="12.75" x14ac:dyDescent="0.2">
      <c r="A11" s="786" t="s">
        <v>103</v>
      </c>
      <c r="C11" s="786">
        <v>85</v>
      </c>
      <c r="D11" s="840">
        <f>'Weather Adj'!D159</f>
        <v>0</v>
      </c>
      <c r="E11" s="840">
        <f>'Weather Adj'!E159</f>
        <v>0</v>
      </c>
      <c r="F11" s="840">
        <f>'Weather Adj'!F159</f>
        <v>0</v>
      </c>
      <c r="G11" s="840">
        <f>'Weather Adj'!G159</f>
        <v>-1179</v>
      </c>
      <c r="H11" s="840">
        <f>'Weather Adj'!H159</f>
        <v>3170</v>
      </c>
      <c r="I11" s="840">
        <f>'Weather Adj'!I159</f>
        <v>0</v>
      </c>
      <c r="J11" s="840">
        <f>'Weather Adj'!J159</f>
        <v>70309</v>
      </c>
      <c r="K11" s="840">
        <f>'Weather Adj'!K159</f>
        <v>-43357</v>
      </c>
      <c r="L11" s="840">
        <f>'Weather Adj'!L159</f>
        <v>1732</v>
      </c>
      <c r="M11" s="840">
        <f>'Weather Adj'!M159</f>
        <v>7108</v>
      </c>
      <c r="N11" s="840">
        <f>'Weather Adj'!N159</f>
        <v>0</v>
      </c>
      <c r="O11" s="840">
        <f>'Weather Adj'!O159</f>
        <v>0</v>
      </c>
      <c r="P11" s="788">
        <f t="shared" si="1"/>
        <v>37783</v>
      </c>
      <c r="Q11" s="789"/>
      <c r="R11" s="790"/>
    </row>
    <row r="12" spans="1:18" s="786" customFormat="1" ht="12.75" x14ac:dyDescent="0.2">
      <c r="A12" s="786" t="s">
        <v>265</v>
      </c>
      <c r="C12" s="786">
        <v>87</v>
      </c>
      <c r="D12" s="840">
        <f>'Weather Adj'!D161</f>
        <v>0</v>
      </c>
      <c r="E12" s="840">
        <f>'Weather Adj'!E161</f>
        <v>0</v>
      </c>
      <c r="F12" s="840">
        <f>'Weather Adj'!F161</f>
        <v>0</v>
      </c>
      <c r="G12" s="840">
        <f>'Weather Adj'!G161</f>
        <v>-1464</v>
      </c>
      <c r="H12" s="840">
        <f>'Weather Adj'!H161</f>
        <v>4179</v>
      </c>
      <c r="I12" s="840">
        <f>'Weather Adj'!I161</f>
        <v>0</v>
      </c>
      <c r="J12" s="840">
        <f>'Weather Adj'!J161</f>
        <v>94022</v>
      </c>
      <c r="K12" s="840">
        <f>'Weather Adj'!K161</f>
        <v>-52176</v>
      </c>
      <c r="L12" s="840">
        <f>'Weather Adj'!L161</f>
        <v>2076</v>
      </c>
      <c r="M12" s="840">
        <f>'Weather Adj'!M161</f>
        <v>8419</v>
      </c>
      <c r="N12" s="840">
        <f>'Weather Adj'!N161</f>
        <v>0</v>
      </c>
      <c r="O12" s="840">
        <f>'Weather Adj'!O161</f>
        <v>0</v>
      </c>
      <c r="P12" s="788">
        <f t="shared" si="1"/>
        <v>55056</v>
      </c>
      <c r="Q12" s="789"/>
      <c r="R12" s="790"/>
    </row>
    <row r="13" spans="1:18" s="786" customFormat="1" x14ac:dyDescent="0.25">
      <c r="A13" s="791" t="s">
        <v>270</v>
      </c>
      <c r="B13" s="792"/>
      <c r="C13" s="793" t="s">
        <v>346</v>
      </c>
      <c r="D13" s="841">
        <f>'Weather Adj'!D165</f>
        <v>0</v>
      </c>
      <c r="E13" s="841">
        <f>'Weather Adj'!E165</f>
        <v>0</v>
      </c>
      <c r="F13" s="841">
        <f>'Weather Adj'!F165</f>
        <v>125789</v>
      </c>
      <c r="G13" s="841">
        <f>'Weather Adj'!G165</f>
        <v>-7640</v>
      </c>
      <c r="H13" s="841">
        <f>'Weather Adj'!H165</f>
        <v>88655</v>
      </c>
      <c r="I13" s="841">
        <f>'Weather Adj'!I165</f>
        <v>-83661</v>
      </c>
      <c r="J13" s="841">
        <f>'Weather Adj'!J165</f>
        <v>411040</v>
      </c>
      <c r="K13" s="841">
        <f>'Weather Adj'!K165</f>
        <v>-247412</v>
      </c>
      <c r="L13" s="841">
        <f>'Weather Adj'!L165</f>
        <v>7408</v>
      </c>
      <c r="M13" s="841">
        <f>'Weather Adj'!M165</f>
        <v>109805</v>
      </c>
      <c r="N13" s="841">
        <f>'Weather Adj'!N165</f>
        <v>290178</v>
      </c>
      <c r="O13" s="841">
        <f>'Weather Adj'!O165</f>
        <v>87068</v>
      </c>
      <c r="P13" s="794">
        <f t="shared" si="1"/>
        <v>781230</v>
      </c>
      <c r="Q13" s="789"/>
      <c r="R13" s="790"/>
    </row>
    <row r="14" spans="1:18" x14ac:dyDescent="0.25">
      <c r="A14" s="786" t="s">
        <v>113</v>
      </c>
      <c r="B14" s="795"/>
      <c r="C14" s="786"/>
      <c r="D14" s="796">
        <f>SUM(D9:D13)</f>
        <v>0</v>
      </c>
      <c r="E14" s="796">
        <f t="shared" ref="E14:P14" si="2">SUM(E9:E13)</f>
        <v>0</v>
      </c>
      <c r="F14" s="796">
        <f t="shared" si="2"/>
        <v>125789</v>
      </c>
      <c r="G14" s="796">
        <f t="shared" si="2"/>
        <v>-14091</v>
      </c>
      <c r="H14" s="796">
        <f t="shared" si="2"/>
        <v>147201</v>
      </c>
      <c r="I14" s="796">
        <f t="shared" si="2"/>
        <v>-142795</v>
      </c>
      <c r="J14" s="796">
        <f t="shared" si="2"/>
        <v>839001</v>
      </c>
      <c r="K14" s="796">
        <f t="shared" si="2"/>
        <v>-473429</v>
      </c>
      <c r="L14" s="796">
        <f t="shared" si="2"/>
        <v>15578</v>
      </c>
      <c r="M14" s="796">
        <f t="shared" si="2"/>
        <v>183387</v>
      </c>
      <c r="N14" s="796">
        <f t="shared" si="2"/>
        <v>462094</v>
      </c>
      <c r="O14" s="796">
        <f t="shared" si="2"/>
        <v>130552</v>
      </c>
      <c r="P14" s="796">
        <f t="shared" si="2"/>
        <v>1273287</v>
      </c>
    </row>
    <row r="15" spans="1:18" x14ac:dyDescent="0.25">
      <c r="A15" s="795"/>
      <c r="B15" s="798" t="s">
        <v>114</v>
      </c>
      <c r="C15" s="799"/>
      <c r="D15" s="800">
        <f>D14-SUM('Weather Adj'!D157:D159,'Weather Adj'!D161,'Weather Adj'!D165)</f>
        <v>0</v>
      </c>
      <c r="E15" s="800">
        <f>E14-SUM('Weather Adj'!E157:E159,'Weather Adj'!E161,'Weather Adj'!E165)</f>
        <v>0</v>
      </c>
      <c r="F15" s="800">
        <f>F14-SUM('Weather Adj'!F157:F159,'Weather Adj'!F161,'Weather Adj'!F165)</f>
        <v>0</v>
      </c>
      <c r="G15" s="800">
        <f>G14-SUM('Weather Adj'!G157:G159,'Weather Adj'!G161,'Weather Adj'!G165)</f>
        <v>0</v>
      </c>
      <c r="H15" s="800">
        <f>H14-SUM('Weather Adj'!H157:H159,'Weather Adj'!H161,'Weather Adj'!H165)</f>
        <v>0</v>
      </c>
      <c r="I15" s="800">
        <f>I14-SUM('Weather Adj'!I157:I159,'Weather Adj'!I161,'Weather Adj'!I165)</f>
        <v>0</v>
      </c>
      <c r="J15" s="800">
        <f>J14-SUM('Weather Adj'!J157:J159,'Weather Adj'!J161,'Weather Adj'!J165)</f>
        <v>0</v>
      </c>
      <c r="K15" s="800">
        <f>K14-SUM('Weather Adj'!K157:K159,'Weather Adj'!K161,'Weather Adj'!K165)</f>
        <v>0</v>
      </c>
      <c r="L15" s="800">
        <f>L14-SUM('Weather Adj'!L157:L159,'Weather Adj'!L161,'Weather Adj'!L165)</f>
        <v>0</v>
      </c>
      <c r="M15" s="800">
        <f>M14-SUM('Weather Adj'!M157:M159,'Weather Adj'!M161,'Weather Adj'!M165)</f>
        <v>0</v>
      </c>
      <c r="N15" s="800">
        <f>N14-SUM('Weather Adj'!N157:N159,'Weather Adj'!N161,'Weather Adj'!N165)</f>
        <v>0</v>
      </c>
      <c r="O15" s="800">
        <f>O14-SUM('Weather Adj'!O157:O159,'Weather Adj'!O161,'Weather Adj'!O165)</f>
        <v>0</v>
      </c>
      <c r="P15" s="800">
        <f>P14-SUM('Weather Adj'!P157:P159,'Weather Adj'!P161,'Weather Adj'!P165)</f>
        <v>0</v>
      </c>
    </row>
    <row r="16" spans="1:18" x14ac:dyDescent="0.25">
      <c r="A16" s="795"/>
      <c r="B16" s="786"/>
      <c r="C16" s="795"/>
      <c r="D16" s="801"/>
      <c r="E16" s="801"/>
      <c r="F16" s="801"/>
      <c r="G16" s="801"/>
      <c r="H16" s="801"/>
      <c r="I16" s="801"/>
      <c r="J16" s="801"/>
      <c r="K16" s="801"/>
      <c r="L16" s="801"/>
      <c r="M16" s="801"/>
      <c r="N16" s="801"/>
      <c r="O16" s="801"/>
      <c r="P16" s="801"/>
    </row>
    <row r="17" spans="1:17" x14ac:dyDescent="0.25">
      <c r="A17" s="783" t="s">
        <v>7</v>
      </c>
      <c r="B17" s="795"/>
      <c r="C17" s="795"/>
      <c r="D17" s="795"/>
      <c r="E17" s="795"/>
      <c r="F17" s="795"/>
      <c r="G17" s="795"/>
      <c r="H17" s="795"/>
      <c r="I17" s="795"/>
      <c r="J17" s="795"/>
      <c r="K17" s="795"/>
      <c r="L17" s="795"/>
      <c r="M17" s="795"/>
      <c r="N17" s="795"/>
      <c r="O17" s="795"/>
      <c r="P17" s="795"/>
    </row>
    <row r="18" spans="1:17" s="786" customFormat="1" ht="12.75" x14ac:dyDescent="0.2">
      <c r="A18" s="778" t="s">
        <v>260</v>
      </c>
      <c r="C18" s="787" t="s">
        <v>231</v>
      </c>
      <c r="D18" s="789"/>
      <c r="E18" s="789"/>
      <c r="F18" s="789"/>
      <c r="G18" s="789"/>
      <c r="H18" s="789"/>
      <c r="I18" s="789"/>
      <c r="J18" s="802"/>
      <c r="K18" s="789"/>
      <c r="L18" s="789"/>
      <c r="M18" s="789"/>
      <c r="N18" s="789"/>
      <c r="O18" s="789"/>
      <c r="P18" s="789"/>
      <c r="Q18" s="789"/>
    </row>
    <row r="19" spans="1:17" s="786" customFormat="1" ht="12.75" x14ac:dyDescent="0.2">
      <c r="A19" s="778"/>
      <c r="B19" s="786" t="s">
        <v>424</v>
      </c>
      <c r="C19" s="793"/>
      <c r="D19" s="803">
        <v>4.8320000000000002E-2</v>
      </c>
      <c r="E19" s="804">
        <f t="shared" ref="E19:I21" si="3">D19</f>
        <v>4.8320000000000002E-2</v>
      </c>
      <c r="F19" s="804">
        <f t="shared" si="3"/>
        <v>4.8320000000000002E-2</v>
      </c>
      <c r="G19" s="804">
        <f t="shared" si="3"/>
        <v>4.8320000000000002E-2</v>
      </c>
      <c r="H19" s="804">
        <f t="shared" si="3"/>
        <v>4.8320000000000002E-2</v>
      </c>
      <c r="I19" s="804">
        <f t="shared" si="3"/>
        <v>4.8320000000000002E-2</v>
      </c>
      <c r="J19" s="803">
        <v>5.0049999999999997E-2</v>
      </c>
      <c r="K19" s="804">
        <f t="shared" ref="K19:O21" si="4">J19</f>
        <v>5.0049999999999997E-2</v>
      </c>
      <c r="L19" s="804">
        <f t="shared" si="4"/>
        <v>5.0049999999999997E-2</v>
      </c>
      <c r="M19" s="804">
        <f t="shared" si="4"/>
        <v>5.0049999999999997E-2</v>
      </c>
      <c r="N19" s="804">
        <f t="shared" si="4"/>
        <v>5.0049999999999997E-2</v>
      </c>
      <c r="O19" s="804">
        <f t="shared" si="4"/>
        <v>5.0049999999999997E-2</v>
      </c>
      <c r="P19" s="789"/>
      <c r="Q19" s="789"/>
    </row>
    <row r="20" spans="1:17" s="786" customFormat="1" ht="12.75" x14ac:dyDescent="0.2">
      <c r="A20" s="778"/>
      <c r="B20" s="786" t="s">
        <v>565</v>
      </c>
      <c r="C20" s="793"/>
      <c r="D20" s="803">
        <v>-2.2000000000000001E-4</v>
      </c>
      <c r="E20" s="804">
        <f t="shared" si="3"/>
        <v>-2.2000000000000001E-4</v>
      </c>
      <c r="F20" s="804">
        <f t="shared" si="3"/>
        <v>-2.2000000000000001E-4</v>
      </c>
      <c r="G20" s="804">
        <f t="shared" si="3"/>
        <v>-2.2000000000000001E-4</v>
      </c>
      <c r="H20" s="804">
        <f t="shared" si="3"/>
        <v>-2.2000000000000001E-4</v>
      </c>
      <c r="I20" s="804">
        <f t="shared" si="3"/>
        <v>-2.2000000000000001E-4</v>
      </c>
      <c r="J20" s="803">
        <v>0</v>
      </c>
      <c r="K20" s="804">
        <f t="shared" si="4"/>
        <v>0</v>
      </c>
      <c r="L20" s="804">
        <f t="shared" si="4"/>
        <v>0</v>
      </c>
      <c r="M20" s="804">
        <f t="shared" si="4"/>
        <v>0</v>
      </c>
      <c r="N20" s="804">
        <f t="shared" si="4"/>
        <v>0</v>
      </c>
      <c r="O20" s="804">
        <f t="shared" si="4"/>
        <v>0</v>
      </c>
      <c r="P20" s="789"/>
      <c r="Q20" s="789"/>
    </row>
    <row r="21" spans="1:17" s="786" customFormat="1" ht="12.75" x14ac:dyDescent="0.2">
      <c r="A21" s="778"/>
      <c r="B21" s="786" t="s">
        <v>566</v>
      </c>
      <c r="C21" s="793"/>
      <c r="D21" s="805">
        <v>5.5300000000000002E-3</v>
      </c>
      <c r="E21" s="806">
        <f t="shared" si="3"/>
        <v>5.5300000000000002E-3</v>
      </c>
      <c r="F21" s="806">
        <f t="shared" si="3"/>
        <v>5.5300000000000002E-3</v>
      </c>
      <c r="G21" s="806">
        <f t="shared" si="3"/>
        <v>5.5300000000000002E-3</v>
      </c>
      <c r="H21" s="806">
        <f t="shared" si="3"/>
        <v>5.5300000000000002E-3</v>
      </c>
      <c r="I21" s="806">
        <f t="shared" si="3"/>
        <v>5.5300000000000002E-3</v>
      </c>
      <c r="J21" s="805">
        <v>0</v>
      </c>
      <c r="K21" s="807">
        <f>J21</f>
        <v>0</v>
      </c>
      <c r="L21" s="807">
        <f>K21</f>
        <v>0</v>
      </c>
      <c r="M21" s="807">
        <f t="shared" si="4"/>
        <v>0</v>
      </c>
      <c r="N21" s="807">
        <f t="shared" si="4"/>
        <v>0</v>
      </c>
      <c r="O21" s="807">
        <f t="shared" si="4"/>
        <v>0</v>
      </c>
      <c r="P21" s="789"/>
      <c r="Q21" s="789"/>
    </row>
    <row r="22" spans="1:17" s="786" customFormat="1" ht="12.75" x14ac:dyDescent="0.2">
      <c r="B22" s="778" t="s">
        <v>432</v>
      </c>
      <c r="C22" s="793"/>
      <c r="D22" s="804">
        <f t="shared" ref="D22:O22" si="5">SUM(D19:D21)</f>
        <v>5.3630000000000004E-2</v>
      </c>
      <c r="E22" s="804">
        <f t="shared" si="5"/>
        <v>5.3630000000000004E-2</v>
      </c>
      <c r="F22" s="804">
        <f t="shared" si="5"/>
        <v>5.3630000000000004E-2</v>
      </c>
      <c r="G22" s="804">
        <f t="shared" si="5"/>
        <v>5.3630000000000004E-2</v>
      </c>
      <c r="H22" s="804">
        <f t="shared" si="5"/>
        <v>5.3630000000000004E-2</v>
      </c>
      <c r="I22" s="804">
        <f t="shared" si="5"/>
        <v>5.3630000000000004E-2</v>
      </c>
      <c r="J22" s="804">
        <f t="shared" si="5"/>
        <v>5.0049999999999997E-2</v>
      </c>
      <c r="K22" s="804">
        <f t="shared" si="5"/>
        <v>5.0049999999999997E-2</v>
      </c>
      <c r="L22" s="804">
        <f t="shared" si="5"/>
        <v>5.0049999999999997E-2</v>
      </c>
      <c r="M22" s="804">
        <f t="shared" si="5"/>
        <v>5.0049999999999997E-2</v>
      </c>
      <c r="N22" s="804">
        <f t="shared" si="5"/>
        <v>5.0049999999999997E-2</v>
      </c>
      <c r="O22" s="804">
        <f t="shared" si="5"/>
        <v>5.0049999999999997E-2</v>
      </c>
      <c r="P22" s="789"/>
      <c r="Q22" s="789"/>
    </row>
    <row r="23" spans="1:17" s="786" customFormat="1" ht="12.75" x14ac:dyDescent="0.2">
      <c r="A23" s="778"/>
      <c r="C23" s="787"/>
      <c r="D23" s="789"/>
      <c r="E23" s="789"/>
      <c r="F23" s="789"/>
      <c r="G23" s="789"/>
      <c r="H23" s="789"/>
      <c r="I23" s="789"/>
      <c r="J23" s="802"/>
      <c r="K23" s="789"/>
      <c r="L23" s="789"/>
      <c r="M23" s="789"/>
      <c r="N23" s="789"/>
      <c r="O23" s="789"/>
      <c r="P23" s="789"/>
      <c r="Q23" s="789"/>
    </row>
    <row r="24" spans="1:17" s="786" customFormat="1" ht="12.75" x14ac:dyDescent="0.2">
      <c r="A24" s="778" t="s">
        <v>263</v>
      </c>
      <c r="C24" s="787" t="s">
        <v>232</v>
      </c>
      <c r="D24" s="789"/>
      <c r="E24" s="789"/>
      <c r="F24" s="789"/>
      <c r="G24" s="789"/>
      <c r="H24" s="789"/>
      <c r="I24" s="789"/>
      <c r="J24" s="802"/>
      <c r="K24" s="789"/>
      <c r="L24" s="789"/>
      <c r="M24" s="789"/>
      <c r="N24" s="789"/>
      <c r="O24" s="789"/>
      <c r="P24" s="789"/>
      <c r="Q24" s="789"/>
    </row>
    <row r="25" spans="1:17" s="786" customFormat="1" ht="12.75" x14ac:dyDescent="0.2">
      <c r="A25" s="778"/>
      <c r="B25" s="786" t="s">
        <v>424</v>
      </c>
      <c r="C25" s="793"/>
      <c r="D25" s="803">
        <v>1.9769999999999999E-2</v>
      </c>
      <c r="E25" s="804">
        <f t="shared" ref="E25:I27" si="6">D25</f>
        <v>1.9769999999999999E-2</v>
      </c>
      <c r="F25" s="804">
        <f t="shared" si="6"/>
        <v>1.9769999999999999E-2</v>
      </c>
      <c r="G25" s="804">
        <f t="shared" si="6"/>
        <v>1.9769999999999999E-2</v>
      </c>
      <c r="H25" s="804">
        <f t="shared" si="6"/>
        <v>1.9769999999999999E-2</v>
      </c>
      <c r="I25" s="804">
        <f t="shared" si="6"/>
        <v>1.9769999999999999E-2</v>
      </c>
      <c r="J25" s="803">
        <v>2.0250000000000001E-2</v>
      </c>
      <c r="K25" s="804">
        <f t="shared" ref="K25:O27" si="7">J25</f>
        <v>2.0250000000000001E-2</v>
      </c>
      <c r="L25" s="804">
        <f t="shared" si="7"/>
        <v>2.0250000000000001E-2</v>
      </c>
      <c r="M25" s="804">
        <f t="shared" si="7"/>
        <v>2.0250000000000001E-2</v>
      </c>
      <c r="N25" s="804">
        <f t="shared" si="7"/>
        <v>2.0250000000000001E-2</v>
      </c>
      <c r="O25" s="804">
        <f t="shared" si="7"/>
        <v>2.0250000000000001E-2</v>
      </c>
      <c r="P25" s="789"/>
      <c r="Q25" s="789"/>
    </row>
    <row r="26" spans="1:17" s="786" customFormat="1" ht="12.75" x14ac:dyDescent="0.2">
      <c r="A26" s="778"/>
      <c r="B26" s="786" t="s">
        <v>565</v>
      </c>
      <c r="C26" s="793"/>
      <c r="D26" s="803">
        <v>-1.2E-4</v>
      </c>
      <c r="E26" s="804">
        <f t="shared" si="6"/>
        <v>-1.2E-4</v>
      </c>
      <c r="F26" s="804">
        <f t="shared" si="6"/>
        <v>-1.2E-4</v>
      </c>
      <c r="G26" s="804">
        <f t="shared" si="6"/>
        <v>-1.2E-4</v>
      </c>
      <c r="H26" s="804">
        <f t="shared" si="6"/>
        <v>-1.2E-4</v>
      </c>
      <c r="I26" s="804">
        <f t="shared" si="6"/>
        <v>-1.2E-4</v>
      </c>
      <c r="J26" s="803">
        <v>0</v>
      </c>
      <c r="K26" s="804">
        <f t="shared" si="7"/>
        <v>0</v>
      </c>
      <c r="L26" s="804">
        <f t="shared" si="7"/>
        <v>0</v>
      </c>
      <c r="M26" s="804">
        <f t="shared" si="7"/>
        <v>0</v>
      </c>
      <c r="N26" s="804">
        <f t="shared" si="7"/>
        <v>0</v>
      </c>
      <c r="O26" s="804">
        <f t="shared" si="7"/>
        <v>0</v>
      </c>
      <c r="P26" s="789"/>
      <c r="Q26" s="789"/>
    </row>
    <row r="27" spans="1:17" s="786" customFormat="1" ht="12.75" x14ac:dyDescent="0.2">
      <c r="A27" s="778"/>
      <c r="B27" s="786" t="s">
        <v>566</v>
      </c>
      <c r="C27" s="793"/>
      <c r="D27" s="805">
        <v>2.2499999999999998E-3</v>
      </c>
      <c r="E27" s="807">
        <f t="shared" si="6"/>
        <v>2.2499999999999998E-3</v>
      </c>
      <c r="F27" s="807">
        <f t="shared" si="6"/>
        <v>2.2499999999999998E-3</v>
      </c>
      <c r="G27" s="807">
        <f t="shared" si="6"/>
        <v>2.2499999999999998E-3</v>
      </c>
      <c r="H27" s="807">
        <f t="shared" si="6"/>
        <v>2.2499999999999998E-3</v>
      </c>
      <c r="I27" s="807">
        <f t="shared" si="6"/>
        <v>2.2499999999999998E-3</v>
      </c>
      <c r="J27" s="805">
        <v>0</v>
      </c>
      <c r="K27" s="807">
        <f>J27</f>
        <v>0</v>
      </c>
      <c r="L27" s="807">
        <f>K27</f>
        <v>0</v>
      </c>
      <c r="M27" s="807">
        <f t="shared" si="7"/>
        <v>0</v>
      </c>
      <c r="N27" s="807">
        <f t="shared" si="7"/>
        <v>0</v>
      </c>
      <c r="O27" s="807">
        <f t="shared" si="7"/>
        <v>0</v>
      </c>
      <c r="P27" s="789"/>
      <c r="Q27" s="789"/>
    </row>
    <row r="28" spans="1:17" s="786" customFormat="1" ht="12.75" x14ac:dyDescent="0.2">
      <c r="B28" s="778" t="s">
        <v>432</v>
      </c>
      <c r="C28" s="793"/>
      <c r="D28" s="804">
        <f t="shared" ref="D28:O28" si="8">SUM(D25:D27)</f>
        <v>2.1899999999999999E-2</v>
      </c>
      <c r="E28" s="804">
        <f t="shared" si="8"/>
        <v>2.1899999999999999E-2</v>
      </c>
      <c r="F28" s="804">
        <f t="shared" si="8"/>
        <v>2.1899999999999999E-2</v>
      </c>
      <c r="G28" s="804">
        <f t="shared" si="8"/>
        <v>2.1899999999999999E-2</v>
      </c>
      <c r="H28" s="804">
        <f t="shared" si="8"/>
        <v>2.1899999999999999E-2</v>
      </c>
      <c r="I28" s="804">
        <f t="shared" si="8"/>
        <v>2.1899999999999999E-2</v>
      </c>
      <c r="J28" s="804">
        <f t="shared" si="8"/>
        <v>2.0250000000000001E-2</v>
      </c>
      <c r="K28" s="804">
        <f t="shared" si="8"/>
        <v>2.0250000000000001E-2</v>
      </c>
      <c r="L28" s="804">
        <f t="shared" si="8"/>
        <v>2.0250000000000001E-2</v>
      </c>
      <c r="M28" s="804">
        <f t="shared" si="8"/>
        <v>2.0250000000000001E-2</v>
      </c>
      <c r="N28" s="804">
        <f t="shared" si="8"/>
        <v>2.0250000000000001E-2</v>
      </c>
      <c r="O28" s="804">
        <f t="shared" si="8"/>
        <v>2.0250000000000001E-2</v>
      </c>
      <c r="P28" s="789"/>
      <c r="Q28" s="789"/>
    </row>
    <row r="29" spans="1:17" s="786" customFormat="1" ht="12.75" x14ac:dyDescent="0.2">
      <c r="A29" s="778"/>
      <c r="C29" s="787"/>
      <c r="D29" s="804"/>
      <c r="E29" s="804"/>
      <c r="F29" s="804"/>
      <c r="G29" s="804"/>
      <c r="H29" s="804"/>
      <c r="I29" s="804"/>
      <c r="J29" s="803"/>
      <c r="K29" s="804"/>
      <c r="L29" s="804"/>
      <c r="M29" s="804"/>
      <c r="N29" s="804"/>
      <c r="O29" s="804"/>
      <c r="P29" s="789"/>
      <c r="Q29" s="789"/>
    </row>
    <row r="30" spans="1:17" s="786" customFormat="1" ht="12.75" x14ac:dyDescent="0.2">
      <c r="A30" s="786" t="s">
        <v>103</v>
      </c>
      <c r="C30" s="786">
        <v>85</v>
      </c>
      <c r="D30" s="804"/>
      <c r="E30" s="804"/>
      <c r="F30" s="804"/>
      <c r="G30" s="804"/>
      <c r="H30" s="804"/>
      <c r="I30" s="804"/>
      <c r="J30" s="803"/>
      <c r="K30" s="804"/>
      <c r="L30" s="804"/>
      <c r="M30" s="804"/>
      <c r="N30" s="804"/>
      <c r="O30" s="804"/>
      <c r="P30" s="789"/>
      <c r="Q30" s="789"/>
    </row>
    <row r="31" spans="1:17" s="786" customFormat="1" ht="12.75" x14ac:dyDescent="0.2">
      <c r="A31" s="778"/>
      <c r="B31" s="786" t="s">
        <v>424</v>
      </c>
      <c r="C31" s="793"/>
      <c r="D31" s="803">
        <f>0.04832+0.00682</f>
        <v>5.5140000000000002E-2</v>
      </c>
      <c r="E31" s="804">
        <f t="shared" ref="E31:I33" si="9">D31</f>
        <v>5.5140000000000002E-2</v>
      </c>
      <c r="F31" s="804">
        <f t="shared" si="9"/>
        <v>5.5140000000000002E-2</v>
      </c>
      <c r="G31" s="804">
        <f t="shared" si="9"/>
        <v>5.5140000000000002E-2</v>
      </c>
      <c r="H31" s="804">
        <f t="shared" si="9"/>
        <v>5.5140000000000002E-2</v>
      </c>
      <c r="I31" s="804">
        <f t="shared" si="9"/>
        <v>5.5140000000000002E-2</v>
      </c>
      <c r="J31" s="803">
        <f>0.05005+0.00747</f>
        <v>5.7519999999999995E-2</v>
      </c>
      <c r="K31" s="804">
        <f t="shared" ref="K31:O33" si="10">J31</f>
        <v>5.7519999999999995E-2</v>
      </c>
      <c r="L31" s="804">
        <f t="shared" si="10"/>
        <v>5.7519999999999995E-2</v>
      </c>
      <c r="M31" s="804">
        <f t="shared" si="10"/>
        <v>5.7519999999999995E-2</v>
      </c>
      <c r="N31" s="804">
        <f t="shared" si="10"/>
        <v>5.7519999999999995E-2</v>
      </c>
      <c r="O31" s="804">
        <f t="shared" si="10"/>
        <v>5.7519999999999995E-2</v>
      </c>
      <c r="P31" s="789"/>
      <c r="Q31" s="789"/>
    </row>
    <row r="32" spans="1:17" s="786" customFormat="1" ht="12.75" x14ac:dyDescent="0.2">
      <c r="A32" s="778"/>
      <c r="B32" s="786" t="s">
        <v>565</v>
      </c>
      <c r="C32" s="793"/>
      <c r="D32" s="803">
        <f>-0.00022-0.00003</f>
        <v>-2.5000000000000001E-4</v>
      </c>
      <c r="E32" s="804">
        <f t="shared" si="9"/>
        <v>-2.5000000000000001E-4</v>
      </c>
      <c r="F32" s="804">
        <f t="shared" si="9"/>
        <v>-2.5000000000000001E-4</v>
      </c>
      <c r="G32" s="804">
        <f t="shared" si="9"/>
        <v>-2.5000000000000001E-4</v>
      </c>
      <c r="H32" s="804">
        <f t="shared" si="9"/>
        <v>-2.5000000000000001E-4</v>
      </c>
      <c r="I32" s="804">
        <f t="shared" si="9"/>
        <v>-2.5000000000000001E-4</v>
      </c>
      <c r="J32" s="803">
        <v>0</v>
      </c>
      <c r="K32" s="804">
        <f t="shared" si="10"/>
        <v>0</v>
      </c>
      <c r="L32" s="804">
        <f t="shared" si="10"/>
        <v>0</v>
      </c>
      <c r="M32" s="804">
        <f t="shared" si="10"/>
        <v>0</v>
      </c>
      <c r="N32" s="804">
        <f t="shared" si="10"/>
        <v>0</v>
      </c>
      <c r="O32" s="804">
        <f t="shared" si="10"/>
        <v>0</v>
      </c>
      <c r="P32" s="789"/>
      <c r="Q32" s="789"/>
    </row>
    <row r="33" spans="1:17" s="786" customFormat="1" ht="12.75" x14ac:dyDescent="0.2">
      <c r="A33" s="778"/>
      <c r="B33" s="786" t="s">
        <v>566</v>
      </c>
      <c r="C33" s="793"/>
      <c r="D33" s="805">
        <f>0.00553+0.00078</f>
        <v>6.3100000000000005E-3</v>
      </c>
      <c r="E33" s="807">
        <f t="shared" si="9"/>
        <v>6.3100000000000005E-3</v>
      </c>
      <c r="F33" s="807">
        <f t="shared" si="9"/>
        <v>6.3100000000000005E-3</v>
      </c>
      <c r="G33" s="807">
        <f t="shared" si="9"/>
        <v>6.3100000000000005E-3</v>
      </c>
      <c r="H33" s="807">
        <f t="shared" si="9"/>
        <v>6.3100000000000005E-3</v>
      </c>
      <c r="I33" s="807">
        <f t="shared" si="9"/>
        <v>6.3100000000000005E-3</v>
      </c>
      <c r="J33" s="805">
        <v>0</v>
      </c>
      <c r="K33" s="807">
        <f t="shared" si="10"/>
        <v>0</v>
      </c>
      <c r="L33" s="807">
        <f t="shared" si="10"/>
        <v>0</v>
      </c>
      <c r="M33" s="807">
        <f t="shared" si="10"/>
        <v>0</v>
      </c>
      <c r="N33" s="807">
        <f t="shared" si="10"/>
        <v>0</v>
      </c>
      <c r="O33" s="807">
        <f t="shared" si="10"/>
        <v>0</v>
      </c>
      <c r="P33" s="789"/>
      <c r="Q33" s="789"/>
    </row>
    <row r="34" spans="1:17" s="786" customFormat="1" ht="12.75" x14ac:dyDescent="0.2">
      <c r="B34" s="778" t="s">
        <v>432</v>
      </c>
      <c r="C34" s="793"/>
      <c r="D34" s="804">
        <f t="shared" ref="D34" si="11">SUM(D31:D33)</f>
        <v>6.1200000000000004E-2</v>
      </c>
      <c r="E34" s="804">
        <f t="shared" ref="E34:O34" si="12">SUM(E31:E33)</f>
        <v>6.1200000000000004E-2</v>
      </c>
      <c r="F34" s="804">
        <f t="shared" si="12"/>
        <v>6.1200000000000004E-2</v>
      </c>
      <c r="G34" s="804">
        <f t="shared" si="12"/>
        <v>6.1200000000000004E-2</v>
      </c>
      <c r="H34" s="804">
        <f t="shared" si="12"/>
        <v>6.1200000000000004E-2</v>
      </c>
      <c r="I34" s="804">
        <f t="shared" si="12"/>
        <v>6.1200000000000004E-2</v>
      </c>
      <c r="J34" s="804">
        <f t="shared" si="12"/>
        <v>5.7519999999999995E-2</v>
      </c>
      <c r="K34" s="804">
        <f t="shared" si="12"/>
        <v>5.7519999999999995E-2</v>
      </c>
      <c r="L34" s="804">
        <f t="shared" si="12"/>
        <v>5.7519999999999995E-2</v>
      </c>
      <c r="M34" s="804">
        <f t="shared" si="12"/>
        <v>5.7519999999999995E-2</v>
      </c>
      <c r="N34" s="804">
        <f t="shared" si="12"/>
        <v>5.7519999999999995E-2</v>
      </c>
      <c r="O34" s="804">
        <f t="shared" si="12"/>
        <v>5.7519999999999995E-2</v>
      </c>
      <c r="P34" s="789"/>
      <c r="Q34" s="789"/>
    </row>
    <row r="35" spans="1:17" s="786" customFormat="1" ht="12.75" x14ac:dyDescent="0.2">
      <c r="A35" s="778"/>
      <c r="C35" s="787"/>
      <c r="D35" s="804"/>
      <c r="E35" s="804"/>
      <c r="F35" s="804"/>
      <c r="G35" s="804"/>
      <c r="H35" s="804"/>
      <c r="I35" s="804"/>
      <c r="J35" s="803"/>
      <c r="K35" s="804"/>
      <c r="L35" s="804"/>
      <c r="M35" s="804"/>
      <c r="N35" s="804"/>
      <c r="O35" s="804"/>
      <c r="P35" s="789"/>
      <c r="Q35" s="789"/>
    </row>
    <row r="36" spans="1:17" s="786" customFormat="1" ht="12.75" x14ac:dyDescent="0.2">
      <c r="A36" s="786" t="s">
        <v>265</v>
      </c>
      <c r="C36" s="786">
        <v>87</v>
      </c>
      <c r="D36" s="804"/>
      <c r="E36" s="804"/>
      <c r="F36" s="804"/>
      <c r="G36" s="804"/>
      <c r="H36" s="804"/>
      <c r="I36" s="804"/>
      <c r="J36" s="803"/>
      <c r="K36" s="804"/>
      <c r="L36" s="804"/>
      <c r="M36" s="804"/>
      <c r="N36" s="804"/>
      <c r="O36" s="804"/>
      <c r="P36" s="789"/>
      <c r="Q36" s="789"/>
    </row>
    <row r="37" spans="1:17" s="786" customFormat="1" ht="12.75" x14ac:dyDescent="0.2">
      <c r="A37" s="778"/>
      <c r="B37" s="786" t="s">
        <v>424</v>
      </c>
      <c r="C37" s="793"/>
      <c r="D37" s="803">
        <f>0.01977+0.00539</f>
        <v>2.5159999999999998E-2</v>
      </c>
      <c r="E37" s="804">
        <f t="shared" ref="E37:I39" si="13">D37</f>
        <v>2.5159999999999998E-2</v>
      </c>
      <c r="F37" s="804">
        <f t="shared" si="13"/>
        <v>2.5159999999999998E-2</v>
      </c>
      <c r="G37" s="804">
        <f t="shared" si="13"/>
        <v>2.5159999999999998E-2</v>
      </c>
      <c r="H37" s="804">
        <f t="shared" si="13"/>
        <v>2.5159999999999998E-2</v>
      </c>
      <c r="I37" s="804">
        <f t="shared" si="13"/>
        <v>2.5159999999999998E-2</v>
      </c>
      <c r="J37" s="803">
        <f>0.02025+0.00594</f>
        <v>2.6190000000000001E-2</v>
      </c>
      <c r="K37" s="804">
        <f t="shared" ref="K37:O39" si="14">J37</f>
        <v>2.6190000000000001E-2</v>
      </c>
      <c r="L37" s="804">
        <f t="shared" si="14"/>
        <v>2.6190000000000001E-2</v>
      </c>
      <c r="M37" s="804">
        <f t="shared" si="14"/>
        <v>2.6190000000000001E-2</v>
      </c>
      <c r="N37" s="804">
        <f t="shared" si="14"/>
        <v>2.6190000000000001E-2</v>
      </c>
      <c r="O37" s="804">
        <f t="shared" si="14"/>
        <v>2.6190000000000001E-2</v>
      </c>
      <c r="P37" s="789"/>
      <c r="Q37" s="789"/>
    </row>
    <row r="38" spans="1:17" s="786" customFormat="1" ht="12.75" x14ac:dyDescent="0.2">
      <c r="A38" s="778"/>
      <c r="B38" s="786" t="s">
        <v>565</v>
      </c>
      <c r="C38" s="793"/>
      <c r="D38" s="803">
        <f>-0.00012-0.00003</f>
        <v>-1.5000000000000001E-4</v>
      </c>
      <c r="E38" s="804">
        <f t="shared" si="13"/>
        <v>-1.5000000000000001E-4</v>
      </c>
      <c r="F38" s="804">
        <f t="shared" si="13"/>
        <v>-1.5000000000000001E-4</v>
      </c>
      <c r="G38" s="804">
        <f t="shared" si="13"/>
        <v>-1.5000000000000001E-4</v>
      </c>
      <c r="H38" s="804">
        <f t="shared" si="13"/>
        <v>-1.5000000000000001E-4</v>
      </c>
      <c r="I38" s="804">
        <f t="shared" si="13"/>
        <v>-1.5000000000000001E-4</v>
      </c>
      <c r="J38" s="803">
        <v>0</v>
      </c>
      <c r="K38" s="804">
        <f t="shared" si="14"/>
        <v>0</v>
      </c>
      <c r="L38" s="804">
        <f t="shared" si="14"/>
        <v>0</v>
      </c>
      <c r="M38" s="804">
        <f t="shared" si="14"/>
        <v>0</v>
      </c>
      <c r="N38" s="804">
        <f t="shared" si="14"/>
        <v>0</v>
      </c>
      <c r="O38" s="804">
        <f t="shared" si="14"/>
        <v>0</v>
      </c>
      <c r="P38" s="789"/>
      <c r="Q38" s="789"/>
    </row>
    <row r="39" spans="1:17" s="786" customFormat="1" ht="12.75" x14ac:dyDescent="0.2">
      <c r="A39" s="778"/>
      <c r="B39" s="786" t="s">
        <v>566</v>
      </c>
      <c r="C39" s="793"/>
      <c r="D39" s="805">
        <f>0.00225+0.00062</f>
        <v>2.8699999999999997E-3</v>
      </c>
      <c r="E39" s="807">
        <f t="shared" si="13"/>
        <v>2.8699999999999997E-3</v>
      </c>
      <c r="F39" s="807">
        <f t="shared" si="13"/>
        <v>2.8699999999999997E-3</v>
      </c>
      <c r="G39" s="807">
        <f t="shared" si="13"/>
        <v>2.8699999999999997E-3</v>
      </c>
      <c r="H39" s="807">
        <f t="shared" si="13"/>
        <v>2.8699999999999997E-3</v>
      </c>
      <c r="I39" s="807">
        <f t="shared" si="13"/>
        <v>2.8699999999999997E-3</v>
      </c>
      <c r="J39" s="805">
        <v>0</v>
      </c>
      <c r="K39" s="807">
        <f t="shared" si="14"/>
        <v>0</v>
      </c>
      <c r="L39" s="807">
        <f t="shared" si="14"/>
        <v>0</v>
      </c>
      <c r="M39" s="807">
        <f t="shared" si="14"/>
        <v>0</v>
      </c>
      <c r="N39" s="807">
        <f t="shared" si="14"/>
        <v>0</v>
      </c>
      <c r="O39" s="807">
        <f t="shared" si="14"/>
        <v>0</v>
      </c>
      <c r="P39" s="789"/>
      <c r="Q39" s="789"/>
    </row>
    <row r="40" spans="1:17" s="786" customFormat="1" ht="12.75" x14ac:dyDescent="0.2">
      <c r="B40" s="778" t="s">
        <v>432</v>
      </c>
      <c r="C40" s="793"/>
      <c r="D40" s="804">
        <f t="shared" ref="D40" si="15">SUM(D37:D39)</f>
        <v>2.7879999999999999E-2</v>
      </c>
      <c r="E40" s="804">
        <f t="shared" ref="E40:O40" si="16">SUM(E37:E39)</f>
        <v>2.7879999999999999E-2</v>
      </c>
      <c r="F40" s="804">
        <f t="shared" si="16"/>
        <v>2.7879999999999999E-2</v>
      </c>
      <c r="G40" s="804">
        <f t="shared" si="16"/>
        <v>2.7879999999999999E-2</v>
      </c>
      <c r="H40" s="804">
        <f t="shared" si="16"/>
        <v>2.7879999999999999E-2</v>
      </c>
      <c r="I40" s="804">
        <f t="shared" si="16"/>
        <v>2.7879999999999999E-2</v>
      </c>
      <c r="J40" s="804">
        <f t="shared" si="16"/>
        <v>2.6190000000000001E-2</v>
      </c>
      <c r="K40" s="804">
        <f t="shared" si="16"/>
        <v>2.6190000000000001E-2</v>
      </c>
      <c r="L40" s="804">
        <f t="shared" si="16"/>
        <v>2.6190000000000001E-2</v>
      </c>
      <c r="M40" s="804">
        <f t="shared" si="16"/>
        <v>2.6190000000000001E-2</v>
      </c>
      <c r="N40" s="804">
        <f t="shared" si="16"/>
        <v>2.6190000000000001E-2</v>
      </c>
      <c r="O40" s="804">
        <f t="shared" si="16"/>
        <v>2.6190000000000001E-2</v>
      </c>
      <c r="P40" s="789"/>
      <c r="Q40" s="789"/>
    </row>
    <row r="41" spans="1:17" s="786" customFormat="1" ht="12.75" x14ac:dyDescent="0.2">
      <c r="A41" s="778"/>
      <c r="C41" s="787"/>
      <c r="D41" s="804"/>
      <c r="E41" s="804"/>
      <c r="F41" s="804"/>
      <c r="G41" s="804"/>
      <c r="H41" s="804"/>
      <c r="I41" s="804"/>
      <c r="J41" s="803"/>
      <c r="K41" s="804"/>
      <c r="L41" s="804"/>
      <c r="M41" s="804"/>
      <c r="N41" s="804"/>
      <c r="O41" s="804"/>
      <c r="P41" s="789"/>
      <c r="Q41" s="789"/>
    </row>
    <row r="42" spans="1:17" s="786" customFormat="1" x14ac:dyDescent="0.25">
      <c r="A42" s="904"/>
      <c r="B42" s="905"/>
      <c r="C42" s="906"/>
      <c r="D42" s="907"/>
      <c r="E42" s="907"/>
      <c r="F42" s="907"/>
      <c r="G42" s="907"/>
      <c r="H42" s="907"/>
      <c r="I42" s="907"/>
      <c r="J42" s="907"/>
      <c r="K42" s="907"/>
      <c r="L42" s="907"/>
      <c r="M42" s="907"/>
      <c r="N42" s="907"/>
      <c r="O42" s="908"/>
      <c r="P42" s="789"/>
      <c r="Q42" s="789"/>
    </row>
    <row r="43" spans="1:17" s="786" customFormat="1" ht="12.75" x14ac:dyDescent="0.2">
      <c r="A43" s="909"/>
      <c r="B43" s="910"/>
      <c r="C43" s="911"/>
      <c r="D43" s="912"/>
      <c r="E43" s="913"/>
      <c r="F43" s="913"/>
      <c r="G43" s="913"/>
      <c r="H43" s="913"/>
      <c r="I43" s="913"/>
      <c r="J43" s="913"/>
      <c r="K43" s="913"/>
      <c r="L43" s="913"/>
      <c r="M43" s="913"/>
      <c r="N43" s="913"/>
      <c r="O43" s="914"/>
      <c r="P43" s="789"/>
      <c r="Q43" s="789"/>
    </row>
    <row r="44" spans="1:17" s="786" customFormat="1" ht="20.25" x14ac:dyDescent="0.3">
      <c r="A44" s="909"/>
      <c r="B44" s="910"/>
      <c r="C44" s="911"/>
      <c r="D44" s="912"/>
      <c r="E44" s="913"/>
      <c r="F44" s="913"/>
      <c r="G44" s="923" t="s">
        <v>600</v>
      </c>
      <c r="H44" s="913"/>
      <c r="I44" s="913"/>
      <c r="J44" s="913"/>
      <c r="K44" s="913"/>
      <c r="L44" s="913"/>
      <c r="M44" s="913"/>
      <c r="N44" s="913"/>
      <c r="O44" s="914"/>
      <c r="P44" s="789"/>
      <c r="Q44" s="789"/>
    </row>
    <row r="45" spans="1:17" s="786" customFormat="1" ht="12.75" x14ac:dyDescent="0.2">
      <c r="A45" s="909"/>
      <c r="B45" s="910"/>
      <c r="C45" s="911"/>
      <c r="D45" s="915"/>
      <c r="E45" s="916"/>
      <c r="F45" s="916"/>
      <c r="G45" s="916"/>
      <c r="H45" s="916"/>
      <c r="I45" s="916"/>
      <c r="J45" s="916"/>
      <c r="K45" s="916"/>
      <c r="L45" s="916"/>
      <c r="M45" s="916"/>
      <c r="N45" s="916"/>
      <c r="O45" s="917"/>
      <c r="P45" s="789"/>
      <c r="Q45" s="789"/>
    </row>
    <row r="46" spans="1:17" s="786" customFormat="1" ht="12.75" x14ac:dyDescent="0.2">
      <c r="A46" s="918"/>
      <c r="B46" s="919"/>
      <c r="C46" s="920"/>
      <c r="D46" s="921"/>
      <c r="E46" s="921"/>
      <c r="F46" s="921"/>
      <c r="G46" s="921"/>
      <c r="H46" s="921"/>
      <c r="I46" s="921"/>
      <c r="J46" s="921"/>
      <c r="K46" s="921"/>
      <c r="L46" s="921"/>
      <c r="M46" s="921"/>
      <c r="N46" s="921"/>
      <c r="O46" s="922"/>
      <c r="P46" s="789"/>
      <c r="Q46" s="789"/>
    </row>
    <row r="47" spans="1:17" s="786" customFormat="1" ht="12.75" x14ac:dyDescent="0.2">
      <c r="A47" s="778"/>
      <c r="C47" s="787"/>
      <c r="D47" s="789"/>
      <c r="E47" s="789"/>
      <c r="F47" s="789"/>
      <c r="G47" s="789"/>
      <c r="H47" s="789"/>
      <c r="I47" s="789"/>
      <c r="J47" s="802"/>
      <c r="K47" s="789"/>
      <c r="L47" s="789"/>
      <c r="M47" s="789"/>
      <c r="N47" s="789"/>
      <c r="O47" s="789"/>
      <c r="P47" s="789"/>
      <c r="Q47" s="789"/>
    </row>
    <row r="48" spans="1:17" x14ac:dyDescent="0.25">
      <c r="A48" s="783" t="s">
        <v>567</v>
      </c>
      <c r="B48" s="795"/>
      <c r="C48" s="795"/>
      <c r="D48" s="795"/>
      <c r="E48" s="795"/>
      <c r="F48" s="795"/>
      <c r="G48" s="795"/>
      <c r="H48" s="795"/>
      <c r="I48" s="795"/>
      <c r="J48" s="795"/>
      <c r="K48" s="795"/>
      <c r="L48" s="795"/>
      <c r="M48" s="795"/>
      <c r="N48" s="795"/>
      <c r="O48" s="795"/>
      <c r="P48" s="795"/>
    </row>
    <row r="49" spans="1:17" s="786" customFormat="1" ht="12.75" x14ac:dyDescent="0.2">
      <c r="A49" s="778" t="s">
        <v>260</v>
      </c>
      <c r="C49" s="787" t="s">
        <v>231</v>
      </c>
      <c r="D49" s="808">
        <f t="shared" ref="D49:O49" si="17">D9*D22</f>
        <v>0</v>
      </c>
      <c r="E49" s="808">
        <f t="shared" si="17"/>
        <v>0</v>
      </c>
      <c r="F49" s="808">
        <f t="shared" si="17"/>
        <v>0</v>
      </c>
      <c r="G49" s="808">
        <f t="shared" si="17"/>
        <v>-86.237040000000007</v>
      </c>
      <c r="H49" s="808">
        <f t="shared" si="17"/>
        <v>983.25242000000003</v>
      </c>
      <c r="I49" s="808">
        <f t="shared" si="17"/>
        <v>-1144.3569400000001</v>
      </c>
      <c r="J49" s="808">
        <f t="shared" si="17"/>
        <v>4793.4386500000001</v>
      </c>
      <c r="K49" s="808">
        <f>K9*K22</f>
        <v>-2026.9749499999998</v>
      </c>
      <c r="L49" s="808">
        <f t="shared" si="17"/>
        <v>80.730649999999997</v>
      </c>
      <c r="M49" s="808">
        <f t="shared" si="17"/>
        <v>1046.2451999999998</v>
      </c>
      <c r="N49" s="808">
        <f t="shared" si="17"/>
        <v>3119.6164999999996</v>
      </c>
      <c r="O49" s="808">
        <f t="shared" si="17"/>
        <v>927.77684999999997</v>
      </c>
      <c r="P49" s="808">
        <f>SUM(SUMIF(D49:O49,{"&lt;0","&gt;0"}))</f>
        <v>7693.4913400000005</v>
      </c>
      <c r="Q49" s="789"/>
    </row>
    <row r="50" spans="1:17" s="786" customFormat="1" ht="12.75" x14ac:dyDescent="0.2">
      <c r="A50" s="778" t="s">
        <v>263</v>
      </c>
      <c r="C50" s="787" t="s">
        <v>232</v>
      </c>
      <c r="D50" s="808">
        <f t="shared" ref="D50:O50" si="18">D10*D28</f>
        <v>0</v>
      </c>
      <c r="E50" s="808">
        <f t="shared" si="18"/>
        <v>0</v>
      </c>
      <c r="F50" s="808">
        <f t="shared" si="18"/>
        <v>0</v>
      </c>
      <c r="G50" s="808">
        <f t="shared" si="18"/>
        <v>-48.18</v>
      </c>
      <c r="H50" s="808">
        <f t="shared" si="18"/>
        <v>719.69970000000001</v>
      </c>
      <c r="I50" s="808">
        <f t="shared" si="18"/>
        <v>-827.73239999999998</v>
      </c>
      <c r="J50" s="808">
        <f t="shared" si="18"/>
        <v>3399.1042500000003</v>
      </c>
      <c r="K50" s="808">
        <f t="shared" si="18"/>
        <v>-1822.19625</v>
      </c>
      <c r="L50" s="808">
        <f t="shared" si="18"/>
        <v>55.667250000000003</v>
      </c>
      <c r="M50" s="808">
        <f t="shared" si="18"/>
        <v>752.30775000000006</v>
      </c>
      <c r="N50" s="808">
        <f t="shared" si="18"/>
        <v>2219.1165000000001</v>
      </c>
      <c r="O50" s="808">
        <f t="shared" si="18"/>
        <v>505.17675000000003</v>
      </c>
      <c r="P50" s="808">
        <f>SUM(SUMIF(D50:O50,{"&lt;0","&gt;0"}))</f>
        <v>4952.9635500000004</v>
      </c>
      <c r="Q50" s="789"/>
    </row>
    <row r="51" spans="1:17" s="786" customFormat="1" ht="12.75" x14ac:dyDescent="0.2">
      <c r="A51" s="786" t="s">
        <v>103</v>
      </c>
      <c r="C51" s="786">
        <v>85</v>
      </c>
      <c r="D51" s="808">
        <f t="shared" ref="D51:O51" si="19">D11*D34</f>
        <v>0</v>
      </c>
      <c r="E51" s="808">
        <f t="shared" si="19"/>
        <v>0</v>
      </c>
      <c r="F51" s="808">
        <f t="shared" si="19"/>
        <v>0</v>
      </c>
      <c r="G51" s="808">
        <f t="shared" si="19"/>
        <v>-72.154800000000009</v>
      </c>
      <c r="H51" s="808">
        <f t="shared" si="19"/>
        <v>194.00400000000002</v>
      </c>
      <c r="I51" s="808">
        <f t="shared" si="19"/>
        <v>0</v>
      </c>
      <c r="J51" s="808">
        <f t="shared" si="19"/>
        <v>4044.1736799999994</v>
      </c>
      <c r="K51" s="808">
        <f t="shared" si="19"/>
        <v>-2493.89464</v>
      </c>
      <c r="L51" s="808">
        <f t="shared" si="19"/>
        <v>99.624639999999985</v>
      </c>
      <c r="M51" s="808">
        <f t="shared" si="19"/>
        <v>408.85215999999997</v>
      </c>
      <c r="N51" s="808">
        <f t="shared" si="19"/>
        <v>0</v>
      </c>
      <c r="O51" s="808">
        <f t="shared" si="19"/>
        <v>0</v>
      </c>
      <c r="P51" s="808">
        <f>SUM(SUMIF(D51:O51,{"&lt;0","&gt;0"}))</f>
        <v>2180.6050400000004</v>
      </c>
      <c r="Q51" s="789"/>
    </row>
    <row r="52" spans="1:17" s="786" customFormat="1" ht="12.75" x14ac:dyDescent="0.2">
      <c r="A52" s="786" t="s">
        <v>265</v>
      </c>
      <c r="C52" s="786">
        <v>87</v>
      </c>
      <c r="D52" s="808">
        <f t="shared" ref="D52:O52" si="20">D12*D40</f>
        <v>0</v>
      </c>
      <c r="E52" s="808">
        <f t="shared" si="20"/>
        <v>0</v>
      </c>
      <c r="F52" s="808">
        <f t="shared" si="20"/>
        <v>0</v>
      </c>
      <c r="G52" s="808">
        <f t="shared" si="20"/>
        <v>-40.816319999999997</v>
      </c>
      <c r="H52" s="808">
        <f t="shared" si="20"/>
        <v>116.51052</v>
      </c>
      <c r="I52" s="808">
        <f t="shared" si="20"/>
        <v>0</v>
      </c>
      <c r="J52" s="808">
        <f t="shared" si="20"/>
        <v>2462.4361800000001</v>
      </c>
      <c r="K52" s="808">
        <f t="shared" si="20"/>
        <v>-1366.4894400000001</v>
      </c>
      <c r="L52" s="808">
        <f t="shared" si="20"/>
        <v>54.370440000000002</v>
      </c>
      <c r="M52" s="808">
        <f t="shared" si="20"/>
        <v>220.49361000000002</v>
      </c>
      <c r="N52" s="808">
        <f t="shared" si="20"/>
        <v>0</v>
      </c>
      <c r="O52" s="808">
        <f t="shared" si="20"/>
        <v>0</v>
      </c>
      <c r="P52" s="808">
        <f>SUM(SUMIF(D52:O52,{"&lt;0","&gt;0"}))</f>
        <v>1446.5049900000001</v>
      </c>
      <c r="Q52" s="789"/>
    </row>
    <row r="53" spans="1:17" s="786" customFormat="1" ht="12.75" x14ac:dyDescent="0.2">
      <c r="A53" s="791" t="s">
        <v>270</v>
      </c>
      <c r="C53" s="793" t="s">
        <v>346</v>
      </c>
      <c r="D53" s="809">
        <v>0</v>
      </c>
      <c r="E53" s="809">
        <v>0</v>
      </c>
      <c r="F53" s="809">
        <v>1103.1695299999999</v>
      </c>
      <c r="G53" s="809">
        <v>-67.002799999999993</v>
      </c>
      <c r="H53" s="809">
        <v>777.50434999999982</v>
      </c>
      <c r="I53" s="809">
        <v>-733.70696999999984</v>
      </c>
      <c r="J53" s="809">
        <v>3703.4703999999997</v>
      </c>
      <c r="K53" s="809">
        <v>-2229.1821199999999</v>
      </c>
      <c r="L53" s="809">
        <v>66.746079999999992</v>
      </c>
      <c r="M53" s="809">
        <v>989.34304999999983</v>
      </c>
      <c r="N53" s="809">
        <v>2614.5037799999996</v>
      </c>
      <c r="O53" s="809">
        <v>784.48267999999996</v>
      </c>
      <c r="P53" s="809">
        <f>SUM(SUMIF(D53:O53,{"&lt;0","&gt;0"}))</f>
        <v>7009.3279799999973</v>
      </c>
      <c r="Q53" s="789"/>
    </row>
    <row r="54" spans="1:17" x14ac:dyDescent="0.25">
      <c r="A54" s="795"/>
      <c r="B54" s="795" t="s">
        <v>113</v>
      </c>
      <c r="C54" s="795"/>
      <c r="D54" s="810">
        <f t="shared" ref="D54:O54" si="21">SUM(D49:D53)</f>
        <v>0</v>
      </c>
      <c r="E54" s="810">
        <f t="shared" si="21"/>
        <v>0</v>
      </c>
      <c r="F54" s="810">
        <f t="shared" si="21"/>
        <v>1103.1695299999999</v>
      </c>
      <c r="G54" s="810">
        <f t="shared" si="21"/>
        <v>-314.39096000000001</v>
      </c>
      <c r="H54" s="810">
        <f t="shared" si="21"/>
        <v>2790.9709899999998</v>
      </c>
      <c r="I54" s="810">
        <f t="shared" si="21"/>
        <v>-2705.7963099999997</v>
      </c>
      <c r="J54" s="810">
        <f t="shared" si="21"/>
        <v>18402.623159999999</v>
      </c>
      <c r="K54" s="810">
        <f t="shared" si="21"/>
        <v>-9938.7374</v>
      </c>
      <c r="L54" s="810">
        <f t="shared" si="21"/>
        <v>357.13905999999997</v>
      </c>
      <c r="M54" s="810">
        <f t="shared" si="21"/>
        <v>3417.2417699999996</v>
      </c>
      <c r="N54" s="810">
        <f t="shared" si="21"/>
        <v>7953.2367799999993</v>
      </c>
      <c r="O54" s="810">
        <f t="shared" si="21"/>
        <v>2217.4362799999999</v>
      </c>
      <c r="P54" s="816">
        <f>SUM(SUMIF(D54:O54,{"&lt;0","&gt;0"}))</f>
        <v>23282.892900000006</v>
      </c>
    </row>
    <row r="55" spans="1:17" x14ac:dyDescent="0.25">
      <c r="B55" s="811"/>
      <c r="C55" s="811"/>
      <c r="D55" s="812"/>
      <c r="E55" s="812"/>
      <c r="F55" s="812"/>
      <c r="G55" s="812"/>
      <c r="H55" s="812"/>
      <c r="I55" s="812"/>
      <c r="J55" s="812"/>
      <c r="K55" s="812"/>
      <c r="L55" s="812"/>
      <c r="M55" s="812"/>
      <c r="N55" s="812"/>
      <c r="O55" s="812"/>
      <c r="P55" s="812"/>
    </row>
    <row r="56" spans="1:17" ht="18.75" x14ac:dyDescent="0.3">
      <c r="B56" s="814" t="s">
        <v>591</v>
      </c>
      <c r="D56" s="813"/>
      <c r="E56" s="813"/>
      <c r="F56" s="813"/>
      <c r="G56" s="813"/>
      <c r="H56" s="813"/>
      <c r="I56" s="813"/>
    </row>
    <row r="57" spans="1:17" x14ac:dyDescent="0.25">
      <c r="C57" s="815"/>
    </row>
  </sheetData>
  <mergeCells count="4">
    <mergeCell ref="A1:P1"/>
    <mergeCell ref="A2:P2"/>
    <mergeCell ref="A4:P4"/>
    <mergeCell ref="A3:P3"/>
  </mergeCells>
  <pageMargins left="0.7" right="0.7" top="0.75" bottom="0.75" header="0.3" footer="0.3"/>
  <pageSetup scale="62" orientation="landscape" r:id="rId1"/>
  <headerFooter>
    <oddFooter>&amp;L&amp;F
&amp;A&amp;C&amp;P&amp;R&amp;D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J61"/>
  <sheetViews>
    <sheetView zoomScaleNormal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F16" sqref="F16"/>
    </sheetView>
  </sheetViews>
  <sheetFormatPr defaultColWidth="9.140625" defaultRowHeight="12.75" outlineLevelCol="1" x14ac:dyDescent="0.2"/>
  <cols>
    <col min="1" max="1" width="7.42578125" style="818" customWidth="1"/>
    <col min="2" max="2" width="6.28515625" style="818" bestFit="1" customWidth="1"/>
    <col min="3" max="3" width="2.7109375" style="818" customWidth="1"/>
    <col min="4" max="4" width="13.7109375" style="818" bestFit="1" customWidth="1"/>
    <col min="5" max="5" width="11" style="818" customWidth="1"/>
    <col min="6" max="6" width="13.5703125" style="818" bestFit="1" customWidth="1"/>
    <col min="7" max="7" width="2.7109375" style="818" customWidth="1"/>
    <col min="8" max="8" width="11.140625" style="818" bestFit="1" customWidth="1"/>
    <col min="9" max="10" width="10" style="818" customWidth="1"/>
    <col min="11" max="11" width="2.7109375" style="818" customWidth="1"/>
    <col min="12" max="12" width="10.28515625" style="818" bestFit="1" customWidth="1"/>
    <col min="13" max="13" width="11.42578125" style="818" bestFit="1" customWidth="1"/>
    <col min="14" max="14" width="10.28515625" style="818" bestFit="1" customWidth="1"/>
    <col min="15" max="15" width="2.7109375" style="818" customWidth="1"/>
    <col min="16" max="16" width="7.5703125" style="818" bestFit="1" customWidth="1"/>
    <col min="17" max="17" width="6.5703125" style="818" customWidth="1" outlineLevel="1"/>
    <col min="18" max="18" width="9" style="818" customWidth="1" outlineLevel="1"/>
    <col min="19" max="19" width="2.7109375" style="818" customWidth="1" outlineLevel="1"/>
    <col min="20" max="20" width="7.7109375" style="818" customWidth="1" outlineLevel="1"/>
    <col min="21" max="21" width="11.42578125" style="818" customWidth="1" outlineLevel="1"/>
    <col min="22" max="22" width="11" style="818" bestFit="1" customWidth="1" outlineLevel="1"/>
    <col min="23" max="23" width="2.7109375" style="818" customWidth="1" outlineLevel="1"/>
    <col min="24" max="24" width="5.7109375" style="818" customWidth="1" outlineLevel="1"/>
    <col min="25" max="25" width="11.42578125" style="818" customWidth="1" outlineLevel="1"/>
    <col min="26" max="26" width="8.85546875" style="818" customWidth="1" outlineLevel="1"/>
    <col min="27" max="27" width="2.7109375" style="818" customWidth="1"/>
    <col min="28" max="28" width="6.85546875" style="818" bestFit="1" customWidth="1"/>
    <col min="29" max="29" width="6.5703125" style="818" customWidth="1" outlineLevel="1"/>
    <col min="30" max="30" width="9" style="818" customWidth="1" outlineLevel="1"/>
    <col min="31" max="31" width="2.7109375" style="818" customWidth="1" outlineLevel="1"/>
    <col min="32" max="32" width="9.7109375" style="818" customWidth="1" outlineLevel="1"/>
    <col min="33" max="33" width="2.7109375" style="818" customWidth="1" outlineLevel="1"/>
    <col min="34" max="34" width="17.42578125" style="818" customWidth="1" outlineLevel="1"/>
    <col min="35" max="35" width="2.7109375" style="818" customWidth="1"/>
    <col min="36" max="36" width="4.7109375" style="818" bestFit="1" customWidth="1"/>
    <col min="37" max="37" width="11.42578125" style="818" bestFit="1" customWidth="1"/>
    <col min="38" max="38" width="8.85546875" style="818" bestFit="1" customWidth="1"/>
    <col min="39" max="39" width="2.7109375" style="818" customWidth="1"/>
    <col min="40" max="40" width="10.28515625" style="818" bestFit="1" customWidth="1"/>
    <col min="41" max="41" width="12.28515625" style="818" bestFit="1" customWidth="1"/>
    <col min="42" max="42" width="13.85546875" style="818" bestFit="1" customWidth="1"/>
    <col min="43" max="43" width="2.7109375" style="818" customWidth="1"/>
    <col min="44" max="44" width="12.28515625" style="818" bestFit="1" customWidth="1"/>
    <col min="45" max="45" width="11" style="818" customWidth="1"/>
    <col min="46" max="46" width="12.28515625" style="818" bestFit="1" customWidth="1"/>
    <col min="47" max="47" width="2.7109375" style="818" customWidth="1"/>
    <col min="48" max="48" width="11.7109375" style="818" bestFit="1" customWidth="1"/>
    <col min="49" max="49" width="11.42578125" style="818" bestFit="1" customWidth="1"/>
    <col min="50" max="50" width="10.7109375" style="818" bestFit="1" customWidth="1"/>
    <col min="51" max="51" width="2.7109375" style="818" customWidth="1"/>
    <col min="52" max="52" width="9.28515625" style="818" bestFit="1" customWidth="1"/>
    <col min="53" max="54" width="9.28515625" style="818" customWidth="1"/>
    <col min="55" max="55" width="2.7109375" style="818" customWidth="1"/>
    <col min="56" max="58" width="10.7109375" style="818" customWidth="1"/>
    <col min="59" max="59" width="2.7109375" style="818" customWidth="1"/>
    <col min="60" max="60" width="14.28515625" style="818" customWidth="1"/>
    <col min="61" max="61" width="2.7109375" style="818" customWidth="1"/>
    <col min="62" max="62" width="9.5703125" style="818" bestFit="1" customWidth="1"/>
    <col min="63" max="16384" width="9.140625" style="818"/>
  </cols>
  <sheetData>
    <row r="1" spans="1:62" ht="18.75" x14ac:dyDescent="0.3">
      <c r="A1" s="817" t="s">
        <v>570</v>
      </c>
    </row>
    <row r="3" spans="1:62" x14ac:dyDescent="0.2">
      <c r="D3" s="851" t="s">
        <v>571</v>
      </c>
      <c r="E3" s="851"/>
      <c r="F3" s="851"/>
      <c r="G3" s="851"/>
      <c r="H3" s="851"/>
      <c r="I3" s="851"/>
      <c r="J3" s="851"/>
      <c r="K3" s="851"/>
      <c r="L3" s="851"/>
      <c r="M3" s="851"/>
      <c r="N3" s="851"/>
      <c r="P3" s="851" t="s">
        <v>572</v>
      </c>
      <c r="Q3" s="851"/>
      <c r="R3" s="851"/>
      <c r="S3" s="851"/>
      <c r="T3" s="851"/>
      <c r="U3" s="851"/>
      <c r="V3" s="851"/>
      <c r="W3" s="851"/>
      <c r="X3" s="851"/>
      <c r="Y3" s="851"/>
      <c r="Z3" s="851"/>
      <c r="AB3" s="851" t="s">
        <v>573</v>
      </c>
      <c r="AC3" s="851"/>
      <c r="AD3" s="851"/>
      <c r="AE3" s="851"/>
      <c r="AF3" s="851"/>
      <c r="AG3" s="851"/>
      <c r="AH3" s="851"/>
      <c r="AJ3" s="852" t="s">
        <v>113</v>
      </c>
      <c r="AK3" s="852"/>
      <c r="AL3" s="852"/>
      <c r="AN3" s="851" t="s">
        <v>343</v>
      </c>
      <c r="AO3" s="851"/>
      <c r="AP3" s="851"/>
      <c r="AQ3" s="851"/>
      <c r="AR3" s="851"/>
      <c r="AS3" s="851"/>
      <c r="AT3" s="851"/>
      <c r="AV3" s="851" t="s">
        <v>574</v>
      </c>
      <c r="AW3" s="851"/>
      <c r="AX3" s="851"/>
      <c r="AY3" s="851"/>
      <c r="AZ3" s="851"/>
      <c r="BA3" s="851"/>
      <c r="BB3" s="851"/>
      <c r="BG3" s="819"/>
      <c r="BH3" s="819"/>
    </row>
    <row r="4" spans="1:62" x14ac:dyDescent="0.2">
      <c r="D4" s="851" t="s">
        <v>575</v>
      </c>
      <c r="E4" s="851"/>
      <c r="F4" s="851"/>
      <c r="G4" s="820"/>
      <c r="H4" s="851" t="s">
        <v>576</v>
      </c>
      <c r="I4" s="851"/>
      <c r="J4" s="851"/>
      <c r="K4" s="820"/>
      <c r="L4" s="853" t="s">
        <v>577</v>
      </c>
      <c r="M4" s="853"/>
      <c r="N4" s="853"/>
      <c r="P4" s="820"/>
      <c r="Q4" s="820"/>
      <c r="R4" s="820"/>
      <c r="S4" s="820"/>
      <c r="T4" s="851" t="s">
        <v>578</v>
      </c>
      <c r="U4" s="851"/>
      <c r="V4" s="851"/>
      <c r="W4" s="820"/>
      <c r="X4" s="851" t="s">
        <v>579</v>
      </c>
      <c r="Y4" s="851"/>
      <c r="Z4" s="851"/>
      <c r="AB4" s="820"/>
      <c r="AC4" s="820"/>
      <c r="AD4" s="820"/>
      <c r="AE4" s="820"/>
      <c r="AF4" s="821" t="s">
        <v>578</v>
      </c>
      <c r="AG4" s="821"/>
      <c r="AH4" s="821" t="s">
        <v>579</v>
      </c>
      <c r="AJ4" s="851" t="s">
        <v>579</v>
      </c>
      <c r="AK4" s="851"/>
      <c r="AL4" s="851"/>
      <c r="AN4" s="851" t="s">
        <v>577</v>
      </c>
      <c r="AO4" s="851"/>
      <c r="AP4" s="851"/>
      <c r="AQ4" s="820"/>
      <c r="AR4" s="851" t="s">
        <v>580</v>
      </c>
      <c r="AS4" s="851"/>
      <c r="AT4" s="851"/>
      <c r="AV4" s="851" t="s">
        <v>580</v>
      </c>
      <c r="AW4" s="851"/>
      <c r="AX4" s="851"/>
      <c r="AY4" s="820"/>
      <c r="AZ4" s="851" t="s">
        <v>577</v>
      </c>
      <c r="BA4" s="851"/>
      <c r="BB4" s="851"/>
      <c r="BD4" s="851" t="s">
        <v>581</v>
      </c>
      <c r="BE4" s="851"/>
      <c r="BF4" s="851"/>
      <c r="BG4" s="820"/>
      <c r="BH4" s="820" t="s">
        <v>582</v>
      </c>
    </row>
    <row r="5" spans="1:62" ht="13.5" thickBot="1" x14ac:dyDescent="0.25">
      <c r="A5" s="822" t="s">
        <v>583</v>
      </c>
      <c r="B5" s="822" t="s">
        <v>584</v>
      </c>
      <c r="C5" s="823"/>
      <c r="D5" s="823" t="s">
        <v>124</v>
      </c>
      <c r="E5" s="823" t="s">
        <v>125</v>
      </c>
      <c r="F5" s="823" t="s">
        <v>585</v>
      </c>
      <c r="G5" s="823"/>
      <c r="H5" s="823" t="s">
        <v>124</v>
      </c>
      <c r="I5" s="823" t="s">
        <v>125</v>
      </c>
      <c r="J5" s="823" t="s">
        <v>585</v>
      </c>
      <c r="K5" s="823"/>
      <c r="L5" s="823" t="s">
        <v>124</v>
      </c>
      <c r="M5" s="823" t="s">
        <v>125</v>
      </c>
      <c r="N5" s="823" t="s">
        <v>585</v>
      </c>
      <c r="O5" s="823"/>
      <c r="P5" s="823" t="s">
        <v>586</v>
      </c>
      <c r="Q5" s="823" t="s">
        <v>549</v>
      </c>
      <c r="R5" s="823" t="s">
        <v>587</v>
      </c>
      <c r="S5" s="823"/>
      <c r="T5" s="823" t="s">
        <v>124</v>
      </c>
      <c r="U5" s="823" t="s">
        <v>125</v>
      </c>
      <c r="V5" s="823" t="s">
        <v>585</v>
      </c>
      <c r="W5" s="823"/>
      <c r="X5" s="823" t="s">
        <v>124</v>
      </c>
      <c r="Y5" s="823" t="s">
        <v>125</v>
      </c>
      <c r="Z5" s="823" t="s">
        <v>585</v>
      </c>
      <c r="AA5" s="823"/>
      <c r="AB5" s="823" t="s">
        <v>586</v>
      </c>
      <c r="AC5" s="823" t="s">
        <v>549</v>
      </c>
      <c r="AD5" s="823" t="s">
        <v>587</v>
      </c>
      <c r="AE5" s="823"/>
      <c r="AF5" s="823" t="s">
        <v>124</v>
      </c>
      <c r="AG5" s="823"/>
      <c r="AH5" s="823" t="s">
        <v>124</v>
      </c>
      <c r="AI5" s="823"/>
      <c r="AJ5" s="823" t="s">
        <v>124</v>
      </c>
      <c r="AK5" s="823" t="s">
        <v>125</v>
      </c>
      <c r="AL5" s="823" t="s">
        <v>585</v>
      </c>
      <c r="AM5" s="823"/>
      <c r="AN5" s="823" t="s">
        <v>124</v>
      </c>
      <c r="AO5" s="823" t="s">
        <v>125</v>
      </c>
      <c r="AP5" s="823" t="s">
        <v>585</v>
      </c>
      <c r="AQ5" s="823"/>
      <c r="AR5" s="823" t="s">
        <v>124</v>
      </c>
      <c r="AS5" s="823" t="s">
        <v>125</v>
      </c>
      <c r="AT5" s="823" t="s">
        <v>585</v>
      </c>
      <c r="AU5" s="824"/>
      <c r="AV5" s="823" t="s">
        <v>124</v>
      </c>
      <c r="AW5" s="823" t="s">
        <v>125</v>
      </c>
      <c r="AX5" s="823" t="s">
        <v>585</v>
      </c>
      <c r="AY5" s="823"/>
      <c r="AZ5" s="823" t="s">
        <v>124</v>
      </c>
      <c r="BA5" s="823" t="s">
        <v>125</v>
      </c>
      <c r="BB5" s="823" t="s">
        <v>585</v>
      </c>
      <c r="BC5" s="824"/>
      <c r="BD5" s="823" t="s">
        <v>124</v>
      </c>
      <c r="BE5" s="823" t="s">
        <v>125</v>
      </c>
      <c r="BF5" s="823" t="s">
        <v>585</v>
      </c>
      <c r="BG5" s="823"/>
      <c r="BH5" s="822" t="s">
        <v>588</v>
      </c>
      <c r="BI5" s="824"/>
    </row>
    <row r="6" spans="1:62" ht="3" customHeight="1" x14ac:dyDescent="0.2"/>
    <row r="7" spans="1:62" x14ac:dyDescent="0.2">
      <c r="A7" s="825">
        <v>2017</v>
      </c>
      <c r="B7" s="825"/>
      <c r="D7" s="826">
        <f>SUMIF($A$9:$A$33,$A7,D$9:D$33)</f>
        <v>932933810</v>
      </c>
      <c r="E7" s="826">
        <f>SUMIF($A$9:$A$33,$A7,E$9:E$33)</f>
        <v>43570670</v>
      </c>
      <c r="F7" s="826">
        <f>SUMIF($A$9:$A$33,$A7,F$9:F$33)</f>
        <v>231590170</v>
      </c>
      <c r="G7" s="826"/>
      <c r="H7" s="826">
        <f>AVERAGEIF($A$9:$A$33,$A7,H$9:H$33)</f>
        <v>818711.5</v>
      </c>
      <c r="I7" s="826">
        <f>AVERAGEIF($A$9:$A$33,$A7,I$9:I$33)</f>
        <v>264.91666666666669</v>
      </c>
      <c r="J7" s="826">
        <f>AVERAGEIF($A$9:$A$33,$A7,J$9:J$33)</f>
        <v>226.08333333333334</v>
      </c>
      <c r="K7" s="826"/>
      <c r="L7" s="826">
        <f t="shared" ref="L7:N7" si="0">D7/(H7)</f>
        <v>1139.5147252725776</v>
      </c>
      <c r="M7" s="826">
        <f t="shared" si="0"/>
        <v>164469.34256055363</v>
      </c>
      <c r="N7" s="826">
        <f t="shared" si="0"/>
        <v>1024357.5525248802</v>
      </c>
      <c r="P7" s="826">
        <f>SUMIF($A$9:$A$33,$A7,P$9:P$33)</f>
        <v>4800.1645833333332</v>
      </c>
      <c r="Q7" s="826">
        <f>SUMIF($A$9:$A$33,$A7,Q$9:Q$33)</f>
        <v>4813.0834999999997</v>
      </c>
      <c r="R7" s="827">
        <f t="shared" ref="R7" si="1">IF(Q7="","",P7-Q7)</f>
        <v>-12.918916666666519</v>
      </c>
      <c r="S7" s="827"/>
      <c r="T7" s="828">
        <f t="shared" ref="T7:V7" si="2">X7/$R7</f>
        <v>2.1218563625583733</v>
      </c>
      <c r="U7" s="828">
        <f t="shared" si="2"/>
        <v>135.77206154600046</v>
      </c>
      <c r="V7" s="828">
        <f t="shared" si="2"/>
        <v>339.93946564805714</v>
      </c>
      <c r="W7" s="828"/>
      <c r="X7" s="826">
        <f>SUMIF($A$9:$A$33,$A7,X$9:X$33)</f>
        <v>-27.412085526527761</v>
      </c>
      <c r="Y7" s="826">
        <f>SUMIF($A$9:$A$33,$A7,Y$9:Y$33)</f>
        <v>-1754.0279487742978</v>
      </c>
      <c r="Z7" s="826">
        <f>SUMIF($A$9:$A$33,$A7,Z$9:Z$33)</f>
        <v>-4391.6496284183959</v>
      </c>
      <c r="AB7" s="826">
        <f>SUMIF($A$9:$A$33,$A7,AB$9:AB$33)</f>
        <v>479.96319444444407</v>
      </c>
      <c r="AC7" s="826">
        <f>SUMIF($A$9:$A$33,$A7,AC$9:AC$33)</f>
        <v>599.12490000000003</v>
      </c>
      <c r="AD7" s="827">
        <f t="shared" ref="AD7" si="3">IF(AC7="","",AB7-AC7)</f>
        <v>-119.16170555555595</v>
      </c>
      <c r="AE7" s="827"/>
      <c r="AF7" s="828">
        <f t="shared" ref="AF7" si="4">IF(AD7=0,0,AH7/AD7)</f>
        <v>4.5631425710310453E-2</v>
      </c>
      <c r="AG7" s="828"/>
      <c r="AH7" s="826">
        <f>SUMIF($A$9:$A$33,$A7,AH$9:AH$33)</f>
        <v>-5.4375185145722398</v>
      </c>
      <c r="AJ7" s="826">
        <f t="shared" ref="AJ7" si="5">AH7+X7</f>
        <v>-32.849604041100001</v>
      </c>
      <c r="AK7" s="826">
        <f t="shared" ref="AK7:AL7" si="6">Y7</f>
        <v>-1754.0279487742978</v>
      </c>
      <c r="AL7" s="826">
        <f t="shared" si="6"/>
        <v>-4391.6496284183959</v>
      </c>
      <c r="AN7" s="826">
        <f t="shared" ref="AN7:AP7" si="7">AJ7+L7</f>
        <v>1106.6651212314775</v>
      </c>
      <c r="AO7" s="826">
        <f t="shared" si="7"/>
        <v>162715.31461177932</v>
      </c>
      <c r="AP7" s="826">
        <f t="shared" si="7"/>
        <v>1019965.9028964618</v>
      </c>
      <c r="AQ7" s="826"/>
      <c r="AR7" s="826">
        <f>SUMIF($A$9:$A$33,$A7,AR$9:AR$33)</f>
        <v>906144991.34048462</v>
      </c>
      <c r="AS7" s="826">
        <f>SUMIF($A$9:$A$33,$A7,AS$9:AS$33)</f>
        <v>43099340.400628589</v>
      </c>
      <c r="AT7" s="826">
        <f>SUMIF($A$9:$A$33,$A7,AT$9:AT$33)</f>
        <v>230587163.04393741</v>
      </c>
      <c r="AV7" s="826">
        <f t="shared" ref="AV7:AX7" si="8">AR7-D7</f>
        <v>-26788818.659515381</v>
      </c>
      <c r="AW7" s="826">
        <f t="shared" si="8"/>
        <v>-471329.59937141091</v>
      </c>
      <c r="AX7" s="826">
        <f t="shared" si="8"/>
        <v>-1003006.9560625851</v>
      </c>
      <c r="AY7" s="826"/>
      <c r="AZ7" s="826">
        <f t="shared" ref="AZ7:BB7" si="9">AN7-L7</f>
        <v>-32.849604041100065</v>
      </c>
      <c r="BA7" s="826">
        <f t="shared" si="9"/>
        <v>-1754.0279487743101</v>
      </c>
      <c r="BB7" s="826">
        <f t="shared" si="9"/>
        <v>-4391.6496284183813</v>
      </c>
      <c r="BD7" s="829">
        <f t="shared" ref="BD7:BF7" si="10">AR7/D7-1</f>
        <v>-2.8714597297653244E-2</v>
      </c>
      <c r="BE7" s="829">
        <f t="shared" si="10"/>
        <v>-1.0817588973761727E-2</v>
      </c>
      <c r="BF7" s="829">
        <f t="shared" si="10"/>
        <v>-4.3309565171206765E-3</v>
      </c>
      <c r="BG7" s="829"/>
      <c r="BH7" s="829">
        <f t="shared" ref="BH7" si="11">Q7/P7-1</f>
        <v>2.6913486907349515E-3</v>
      </c>
    </row>
    <row r="8" spans="1:62" ht="3" customHeight="1" x14ac:dyDescent="0.2">
      <c r="AJ8" s="826"/>
      <c r="AK8" s="826"/>
      <c r="AL8" s="826"/>
      <c r="BH8" s="829"/>
    </row>
    <row r="9" spans="1:62" x14ac:dyDescent="0.2">
      <c r="A9" s="825">
        <v>2017</v>
      </c>
      <c r="B9" s="825">
        <v>1</v>
      </c>
      <c r="D9" s="830">
        <v>158756520</v>
      </c>
      <c r="E9" s="830">
        <v>5619850</v>
      </c>
      <c r="F9" s="830">
        <v>21649550</v>
      </c>
      <c r="H9" s="831">
        <v>815018</v>
      </c>
      <c r="I9" s="831">
        <v>269</v>
      </c>
      <c r="J9" s="831">
        <v>228</v>
      </c>
      <c r="L9" s="826">
        <f t="shared" ref="L9:N24" si="12">IF(H9=0,"",D9/(H9))</f>
        <v>194.78897398585062</v>
      </c>
      <c r="M9" s="826">
        <f t="shared" si="12"/>
        <v>20891.635687732341</v>
      </c>
      <c r="N9" s="826">
        <f t="shared" si="12"/>
        <v>94954.166666666672</v>
      </c>
      <c r="P9" s="827">
        <v>723.21388888888896</v>
      </c>
      <c r="Q9" s="832">
        <v>845.54160000000002</v>
      </c>
      <c r="R9" s="827">
        <f t="shared" ref="R9:R26" si="13">IF(Q9="","",P9-Q9)</f>
        <v>-122.32771111111106</v>
      </c>
      <c r="T9" s="833">
        <v>0.17000499999999999</v>
      </c>
      <c r="U9" s="833">
        <v>9.5439469999999993</v>
      </c>
      <c r="V9" s="833">
        <v>33.673139999999997</v>
      </c>
      <c r="X9" s="826">
        <f t="shared" ref="X9:Z24" si="14">IF($R9="",0,T9*$R9)</f>
        <v>-20.796322527444435</v>
      </c>
      <c r="Y9" s="826">
        <f t="shared" si="14"/>
        <v>-1167.489191475755</v>
      </c>
      <c r="Z9" s="826">
        <f t="shared" si="14"/>
        <v>-4119.158142123998</v>
      </c>
      <c r="AB9" s="827">
        <v>131.923611111111</v>
      </c>
      <c r="AC9" s="832">
        <v>229.58330000000004</v>
      </c>
      <c r="AD9" s="827">
        <f t="shared" ref="AD9:AD32" si="15">IF(AC9="","",AB9-AC9)</f>
        <v>-97.659688888889036</v>
      </c>
      <c r="AF9" s="833">
        <v>4.3666999999999997E-2</v>
      </c>
      <c r="AH9" s="826">
        <f t="shared" ref="AH9:AH26" si="16">IF(AD9="",0,AF9*AD9)</f>
        <v>-4.2645056347111172</v>
      </c>
      <c r="AJ9" s="826">
        <f t="shared" ref="AJ9:AJ26" si="17">AH9+X9</f>
        <v>-25.060828162155552</v>
      </c>
      <c r="AK9" s="826">
        <f t="shared" ref="AK9:AL24" si="18">Y9</f>
        <v>-1167.489191475755</v>
      </c>
      <c r="AL9" s="826">
        <f t="shared" si="18"/>
        <v>-4119.158142123998</v>
      </c>
      <c r="AN9" s="834">
        <f t="shared" ref="AN9:AP24" si="19">IF(L9="","",AJ9+L9)</f>
        <v>169.72814582369506</v>
      </c>
      <c r="AO9" s="826">
        <f t="shared" si="19"/>
        <v>19724.146496256588</v>
      </c>
      <c r="AP9" s="826">
        <f t="shared" si="19"/>
        <v>90835.008524542674</v>
      </c>
      <c r="AR9" s="834">
        <f t="shared" ref="AR9:AT24" si="20">IF(AN9="",0,AN9*H9)</f>
        <v>138331493.95293629</v>
      </c>
      <c r="AS9" s="826">
        <f t="shared" si="20"/>
        <v>5305795.4074930223</v>
      </c>
      <c r="AT9" s="826">
        <f t="shared" si="20"/>
        <v>20710381.94359573</v>
      </c>
      <c r="AV9" s="843">
        <f t="shared" ref="AV9:AX24" si="21">AR9-D9</f>
        <v>-20425026.047063708</v>
      </c>
      <c r="AW9" s="844">
        <f t="shared" si="21"/>
        <v>-314054.59250697773</v>
      </c>
      <c r="AX9" s="845">
        <f t="shared" si="21"/>
        <v>-939168.05640427023</v>
      </c>
      <c r="AZ9" s="826">
        <f t="shared" ref="AZ9:BB24" si="22">IF(AN9="",0,AN9-L9)</f>
        <v>-25.060828162155559</v>
      </c>
      <c r="BA9" s="826">
        <f t="shared" si="22"/>
        <v>-1167.4891914757536</v>
      </c>
      <c r="BB9" s="826">
        <f t="shared" si="22"/>
        <v>-4119.1581421239971</v>
      </c>
      <c r="BD9" s="829">
        <f t="shared" ref="BD9:BF24" si="23">IF(AR9=0,0,AR9/D9-1)</f>
        <v>-0.12865629737325879</v>
      </c>
      <c r="BE9" s="829">
        <f t="shared" si="23"/>
        <v>-5.5883091631801163E-2</v>
      </c>
      <c r="BF9" s="829">
        <f t="shared" si="23"/>
        <v>-4.3380488573862785E-2</v>
      </c>
      <c r="BH9" s="829">
        <f t="shared" ref="BH9:BH26" si="24">IF(Q9=0,0,Q9/P9-1)</f>
        <v>0.16914458224668416</v>
      </c>
      <c r="BJ9" s="835"/>
    </row>
    <row r="10" spans="1:62" x14ac:dyDescent="0.2">
      <c r="A10" s="825">
        <f t="shared" ref="A10:A32" si="25">IF(B10=1,A9+1,A9)</f>
        <v>2017</v>
      </c>
      <c r="B10" s="825">
        <f t="shared" ref="B10:B32" si="26">IF(B9=12,1,B9+1)</f>
        <v>2</v>
      </c>
      <c r="D10" s="830">
        <v>121384930</v>
      </c>
      <c r="E10" s="830">
        <v>4983560</v>
      </c>
      <c r="F10" s="830">
        <v>19870850</v>
      </c>
      <c r="H10" s="831">
        <v>815983</v>
      </c>
      <c r="I10" s="831">
        <v>268</v>
      </c>
      <c r="J10" s="831">
        <v>227</v>
      </c>
      <c r="L10" s="826">
        <f t="shared" si="12"/>
        <v>148.75914081543365</v>
      </c>
      <c r="M10" s="826">
        <f t="shared" si="12"/>
        <v>18595.373134328358</v>
      </c>
      <c r="N10" s="826">
        <f t="shared" si="12"/>
        <v>87536.784140969161</v>
      </c>
      <c r="P10" s="842">
        <v>616.98611111111097</v>
      </c>
      <c r="Q10" s="832">
        <v>671.95839999999998</v>
      </c>
      <c r="R10" s="827">
        <f t="shared" si="13"/>
        <v>-54.972288888889011</v>
      </c>
      <c r="T10" s="833">
        <v>0.18637999999999999</v>
      </c>
      <c r="U10" s="833">
        <v>9.7854740000000007</v>
      </c>
      <c r="V10" s="833">
        <v>31.906300000000002</v>
      </c>
      <c r="X10" s="826">
        <f t="shared" si="14"/>
        <v>-10.245735203111133</v>
      </c>
      <c r="Y10" s="826">
        <f t="shared" si="14"/>
        <v>-537.92990364271236</v>
      </c>
      <c r="Z10" s="826">
        <f t="shared" si="14"/>
        <v>-1753.9623409755595</v>
      </c>
      <c r="AB10" s="827">
        <v>89.9930555555556</v>
      </c>
      <c r="AC10" s="832">
        <v>128.08340000000001</v>
      </c>
      <c r="AD10" s="827">
        <f>IF(AC10="","",AB10-AC10)</f>
        <v>-38.090344444444412</v>
      </c>
      <c r="AF10" s="833">
        <v>3.6380000000000003E-2</v>
      </c>
      <c r="AH10" s="826">
        <f t="shared" si="16"/>
        <v>-1.3857267308888879</v>
      </c>
      <c r="AJ10" s="826">
        <f t="shared" si="17"/>
        <v>-11.63146193400002</v>
      </c>
      <c r="AK10" s="826">
        <f t="shared" si="18"/>
        <v>-537.92990364271236</v>
      </c>
      <c r="AL10" s="826">
        <f t="shared" si="18"/>
        <v>-1753.9623409755595</v>
      </c>
      <c r="AN10" s="834">
        <f t="shared" si="19"/>
        <v>137.12767888143364</v>
      </c>
      <c r="AO10" s="826">
        <f t="shared" si="19"/>
        <v>18057.443230685647</v>
      </c>
      <c r="AP10" s="826">
        <f t="shared" si="19"/>
        <v>85782.821799993602</v>
      </c>
      <c r="AR10" s="834">
        <f t="shared" si="20"/>
        <v>111893854.79670887</v>
      </c>
      <c r="AS10" s="826">
        <f t="shared" si="20"/>
        <v>4839394.7858237531</v>
      </c>
      <c r="AT10" s="826">
        <f t="shared" si="20"/>
        <v>19472700.548598547</v>
      </c>
      <c r="AV10" s="843">
        <f t="shared" si="21"/>
        <v>-9491075.203291133</v>
      </c>
      <c r="AW10" s="844">
        <f t="shared" si="21"/>
        <v>-144165.2141762469</v>
      </c>
      <c r="AX10" s="845">
        <f t="shared" si="21"/>
        <v>-398149.45140145347</v>
      </c>
      <c r="AZ10" s="826">
        <f t="shared" si="22"/>
        <v>-11.631461934000015</v>
      </c>
      <c r="BA10" s="826">
        <f t="shared" si="22"/>
        <v>-537.929903642711</v>
      </c>
      <c r="BB10" s="826">
        <f t="shared" si="22"/>
        <v>-1753.9623409755586</v>
      </c>
      <c r="BD10" s="829">
        <f t="shared" si="23"/>
        <v>-7.8189897240877659E-2</v>
      </c>
      <c r="BE10" s="829">
        <f t="shared" si="23"/>
        <v>-2.8928158620794564E-2</v>
      </c>
      <c r="BF10" s="829">
        <f t="shared" si="23"/>
        <v>-2.0036860597380302E-2</v>
      </c>
      <c r="BH10" s="829">
        <f t="shared" si="24"/>
        <v>8.9098097832204237E-2</v>
      </c>
      <c r="BJ10" s="835"/>
    </row>
    <row r="11" spans="1:62" x14ac:dyDescent="0.2">
      <c r="A11" s="825">
        <f t="shared" si="25"/>
        <v>2017</v>
      </c>
      <c r="B11" s="825">
        <f t="shared" si="26"/>
        <v>3</v>
      </c>
      <c r="D11" s="830">
        <v>106632600</v>
      </c>
      <c r="E11" s="830">
        <v>4807890</v>
      </c>
      <c r="F11" s="830">
        <v>20403460</v>
      </c>
      <c r="H11" s="831">
        <v>816528</v>
      </c>
      <c r="I11" s="831">
        <v>267</v>
      </c>
      <c r="J11" s="831">
        <v>226</v>
      </c>
      <c r="L11" s="826">
        <f t="shared" si="12"/>
        <v>130.59270472047498</v>
      </c>
      <c r="M11" s="826">
        <f t="shared" si="12"/>
        <v>18007.078651685395</v>
      </c>
      <c r="N11" s="826">
        <f t="shared" si="12"/>
        <v>90280.796460176993</v>
      </c>
      <c r="P11" s="827">
        <v>592.16805555555595</v>
      </c>
      <c r="Q11" s="832">
        <v>602.62480000000005</v>
      </c>
      <c r="R11" s="827">
        <f t="shared" si="13"/>
        <v>-10.456744444444098</v>
      </c>
      <c r="T11" s="833">
        <v>0.15654499999999999</v>
      </c>
      <c r="U11" s="833">
        <v>6.8281080000000003</v>
      </c>
      <c r="V11" s="833">
        <v>17.693680000000001</v>
      </c>
      <c r="X11" s="826">
        <f t="shared" si="14"/>
        <v>-1.6369510590555012</v>
      </c>
      <c r="Y11" s="826">
        <f t="shared" si="14"/>
        <v>-71.399780395064298</v>
      </c>
      <c r="Z11" s="826">
        <f t="shared" si="14"/>
        <v>-185.01829004177165</v>
      </c>
      <c r="AB11" s="827">
        <v>42.775694444444397</v>
      </c>
      <c r="AC11" s="832">
        <v>40.666600000000003</v>
      </c>
      <c r="AD11" s="827">
        <f t="shared" si="15"/>
        <v>2.1090944444443949</v>
      </c>
      <c r="AF11" s="833">
        <v>2.5321E-2</v>
      </c>
      <c r="AH11" s="826">
        <f t="shared" si="16"/>
        <v>5.3404380427776524E-2</v>
      </c>
      <c r="AJ11" s="826">
        <f t="shared" si="17"/>
        <v>-1.5835466786277246</v>
      </c>
      <c r="AK11" s="826">
        <f t="shared" si="18"/>
        <v>-71.399780395064298</v>
      </c>
      <c r="AL11" s="826">
        <f t="shared" si="18"/>
        <v>-185.01829004177165</v>
      </c>
      <c r="AN11" s="834">
        <f t="shared" si="19"/>
        <v>129.00915804184726</v>
      </c>
      <c r="AO11" s="826">
        <f t="shared" si="19"/>
        <v>17935.678871290329</v>
      </c>
      <c r="AP11" s="826">
        <f t="shared" si="19"/>
        <v>90095.778170135221</v>
      </c>
      <c r="AR11" s="834">
        <f t="shared" si="20"/>
        <v>105339589.79759346</v>
      </c>
      <c r="AS11" s="826">
        <f t="shared" si="20"/>
        <v>4788826.2586345179</v>
      </c>
      <c r="AT11" s="826">
        <f t="shared" si="20"/>
        <v>20361645.866450559</v>
      </c>
      <c r="AV11" s="843">
        <f t="shared" si="21"/>
        <v>-1293010.2024065405</v>
      </c>
      <c r="AW11" s="844">
        <f t="shared" si="21"/>
        <v>-19063.741365482099</v>
      </c>
      <c r="AX11" s="845">
        <f t="shared" si="21"/>
        <v>-41814.133549440652</v>
      </c>
      <c r="AZ11" s="826">
        <f t="shared" si="22"/>
        <v>-1.5835466786277266</v>
      </c>
      <c r="BA11" s="826">
        <f t="shared" si="22"/>
        <v>-71.399780395066045</v>
      </c>
      <c r="BB11" s="826">
        <f t="shared" si="22"/>
        <v>-185.01829004177125</v>
      </c>
      <c r="BD11" s="829">
        <f t="shared" si="23"/>
        <v>-1.2125843338777642E-2</v>
      </c>
      <c r="BE11" s="829">
        <f t="shared" si="23"/>
        <v>-3.9650951593073192E-3</v>
      </c>
      <c r="BF11" s="829">
        <f t="shared" si="23"/>
        <v>-2.0493648405437437E-3</v>
      </c>
      <c r="BH11" s="829">
        <f t="shared" si="24"/>
        <v>1.7658406843026775E-2</v>
      </c>
      <c r="BJ11" s="835"/>
    </row>
    <row r="12" spans="1:62" x14ac:dyDescent="0.2">
      <c r="A12" s="825">
        <f t="shared" si="25"/>
        <v>2017</v>
      </c>
      <c r="B12" s="825">
        <f t="shared" si="26"/>
        <v>4</v>
      </c>
      <c r="D12" s="830">
        <v>74134070</v>
      </c>
      <c r="E12" s="830">
        <v>3813940</v>
      </c>
      <c r="F12" s="830">
        <v>19119190</v>
      </c>
      <c r="H12" s="831">
        <v>816988</v>
      </c>
      <c r="I12" s="831">
        <v>267</v>
      </c>
      <c r="J12" s="831">
        <v>226</v>
      </c>
      <c r="L12" s="826">
        <f t="shared" si="12"/>
        <v>90.740708553858809</v>
      </c>
      <c r="M12" s="826">
        <f t="shared" si="12"/>
        <v>14284.419475655432</v>
      </c>
      <c r="N12" s="826">
        <f t="shared" si="12"/>
        <v>84598.185840707971</v>
      </c>
      <c r="P12" s="827">
        <v>450.14722222222201</v>
      </c>
      <c r="Q12" s="832">
        <v>451.37509999999997</v>
      </c>
      <c r="R12" s="827">
        <f t="shared" si="13"/>
        <v>-1.2278777777779624</v>
      </c>
      <c r="T12" s="833">
        <v>0.12182999999999999</v>
      </c>
      <c r="U12" s="833">
        <v>2.8136559999999999</v>
      </c>
      <c r="V12" s="833">
        <v>25.107050000000001</v>
      </c>
      <c r="X12" s="826">
        <f t="shared" si="14"/>
        <v>-0.14959234966668913</v>
      </c>
      <c r="Y12" s="826">
        <f t="shared" si="14"/>
        <v>-3.4548256767116303</v>
      </c>
      <c r="Z12" s="826">
        <f t="shared" si="14"/>
        <v>-30.828388760560191</v>
      </c>
      <c r="AB12" s="827">
        <v>8.6638888888888896</v>
      </c>
      <c r="AC12" s="832">
        <v>0</v>
      </c>
      <c r="AD12" s="827">
        <f t="shared" si="15"/>
        <v>8.6638888888888896</v>
      </c>
      <c r="AF12" s="833">
        <v>0</v>
      </c>
      <c r="AH12" s="826">
        <f t="shared" si="16"/>
        <v>0</v>
      </c>
      <c r="AJ12" s="826">
        <f t="shared" si="17"/>
        <v>-0.14959234966668913</v>
      </c>
      <c r="AK12" s="826">
        <f t="shared" si="18"/>
        <v>-3.4548256767116303</v>
      </c>
      <c r="AL12" s="826">
        <f t="shared" si="18"/>
        <v>-30.828388760560191</v>
      </c>
      <c r="AN12" s="834">
        <f t="shared" si="19"/>
        <v>90.591116204192119</v>
      </c>
      <c r="AO12" s="826">
        <f t="shared" si="19"/>
        <v>14280.96464997872</v>
      </c>
      <c r="AP12" s="826">
        <f t="shared" si="19"/>
        <v>84567.357451947406</v>
      </c>
      <c r="AR12" s="834">
        <f t="shared" si="20"/>
        <v>74011854.845430508</v>
      </c>
      <c r="AS12" s="826">
        <f t="shared" si="20"/>
        <v>3813017.5615443182</v>
      </c>
      <c r="AT12" s="826">
        <f t="shared" si="20"/>
        <v>19112222.784140114</v>
      </c>
      <c r="AV12" s="843">
        <f t="shared" si="21"/>
        <v>-122215.15456949174</v>
      </c>
      <c r="AW12" s="844">
        <f t="shared" si="21"/>
        <v>-922.43845568178222</v>
      </c>
      <c r="AX12" s="845">
        <f t="shared" si="21"/>
        <v>-6967.2158598862588</v>
      </c>
      <c r="AZ12" s="826">
        <f t="shared" si="22"/>
        <v>-0.14959234966669044</v>
      </c>
      <c r="BA12" s="826">
        <f t="shared" si="22"/>
        <v>-3.454825676712062</v>
      </c>
      <c r="BB12" s="826">
        <f t="shared" si="22"/>
        <v>-30.828388760564849</v>
      </c>
      <c r="BD12" s="829">
        <f t="shared" si="23"/>
        <v>-1.6485693361971698E-3</v>
      </c>
      <c r="BE12" s="829">
        <f t="shared" si="23"/>
        <v>-2.4185971873746936E-4</v>
      </c>
      <c r="BF12" s="829">
        <f t="shared" si="23"/>
        <v>-3.6440957278449648E-4</v>
      </c>
      <c r="BH12" s="829">
        <f t="shared" si="24"/>
        <v>2.7277248801322873E-3</v>
      </c>
      <c r="BJ12" s="835"/>
    </row>
    <row r="13" spans="1:62" x14ac:dyDescent="0.2">
      <c r="A13" s="825">
        <f t="shared" si="25"/>
        <v>2017</v>
      </c>
      <c r="B13" s="825">
        <f t="shared" si="26"/>
        <v>5</v>
      </c>
      <c r="D13" s="830">
        <v>46753800</v>
      </c>
      <c r="E13" s="830">
        <v>3075490</v>
      </c>
      <c r="F13" s="830">
        <v>18654460</v>
      </c>
      <c r="H13" s="831">
        <v>817561</v>
      </c>
      <c r="I13" s="831">
        <v>266</v>
      </c>
      <c r="J13" s="831">
        <v>226</v>
      </c>
      <c r="L13" s="826">
        <f t="shared" si="12"/>
        <v>57.186925501583367</v>
      </c>
      <c r="M13" s="826">
        <f t="shared" si="12"/>
        <v>11561.992481203008</v>
      </c>
      <c r="N13" s="826">
        <f t="shared" si="12"/>
        <v>82541.85840707965</v>
      </c>
      <c r="P13" s="827">
        <v>296.66111111111098</v>
      </c>
      <c r="Q13" s="832">
        <v>257.58359999999999</v>
      </c>
      <c r="R13" s="827">
        <f t="shared" si="13"/>
        <v>39.077511111110994</v>
      </c>
      <c r="T13" s="833">
        <v>8.4381999999999999E-2</v>
      </c>
      <c r="U13" s="833">
        <v>0</v>
      </c>
      <c r="V13" s="833">
        <v>16.939910000000001</v>
      </c>
      <c r="X13" s="826">
        <f t="shared" si="14"/>
        <v>3.2974385425777677</v>
      </c>
      <c r="Y13" s="826">
        <f t="shared" si="14"/>
        <v>0</v>
      </c>
      <c r="Z13" s="826">
        <f t="shared" si="14"/>
        <v>661.96952124622032</v>
      </c>
      <c r="AB13" s="827">
        <v>0.41666666666666702</v>
      </c>
      <c r="AC13" s="832">
        <v>0</v>
      </c>
      <c r="AD13" s="827">
        <f t="shared" si="15"/>
        <v>0.41666666666666702</v>
      </c>
      <c r="AF13" s="833">
        <v>0</v>
      </c>
      <c r="AH13" s="826">
        <f t="shared" si="16"/>
        <v>0</v>
      </c>
      <c r="AJ13" s="826">
        <f t="shared" si="17"/>
        <v>3.2974385425777677</v>
      </c>
      <c r="AK13" s="826">
        <f t="shared" si="18"/>
        <v>0</v>
      </c>
      <c r="AL13" s="826">
        <f t="shared" si="18"/>
        <v>661.96952124622032</v>
      </c>
      <c r="AN13" s="834">
        <f t="shared" si="19"/>
        <v>60.484364044161133</v>
      </c>
      <c r="AO13" s="826">
        <f t="shared" si="19"/>
        <v>11561.992481203008</v>
      </c>
      <c r="AP13" s="826">
        <f t="shared" si="19"/>
        <v>83203.827928325874</v>
      </c>
      <c r="AR13" s="834">
        <f t="shared" si="20"/>
        <v>49449657.152308419</v>
      </c>
      <c r="AS13" s="826">
        <f t="shared" si="20"/>
        <v>3075490</v>
      </c>
      <c r="AT13" s="826">
        <f t="shared" si="20"/>
        <v>18804065.111801647</v>
      </c>
      <c r="AV13" s="843">
        <f t="shared" si="21"/>
        <v>2695857.1523084193</v>
      </c>
      <c r="AW13" s="844">
        <f t="shared" si="21"/>
        <v>0</v>
      </c>
      <c r="AX13" s="845">
        <f t="shared" si="21"/>
        <v>149605.11180164665</v>
      </c>
      <c r="AZ13" s="826">
        <f t="shared" si="22"/>
        <v>3.2974385425777655</v>
      </c>
      <c r="BA13" s="826">
        <f t="shared" si="22"/>
        <v>0</v>
      </c>
      <c r="BB13" s="826">
        <f t="shared" si="22"/>
        <v>661.96952124622476</v>
      </c>
      <c r="BD13" s="829">
        <f t="shared" si="23"/>
        <v>5.7660706772677761E-2</v>
      </c>
      <c r="BE13" s="829">
        <f t="shared" si="23"/>
        <v>0</v>
      </c>
      <c r="BF13" s="829">
        <f t="shared" si="23"/>
        <v>8.0198039397358922E-3</v>
      </c>
      <c r="BH13" s="829">
        <f t="shared" si="24"/>
        <v>-0.13172441431487447</v>
      </c>
      <c r="BJ13" s="835"/>
    </row>
    <row r="14" spans="1:62" x14ac:dyDescent="0.2">
      <c r="A14" s="825">
        <f t="shared" si="25"/>
        <v>2017</v>
      </c>
      <c r="B14" s="825">
        <f t="shared" si="26"/>
        <v>6</v>
      </c>
      <c r="D14" s="830">
        <v>30404050</v>
      </c>
      <c r="E14" s="830">
        <v>2390310</v>
      </c>
      <c r="F14" s="830">
        <v>16788560</v>
      </c>
      <c r="H14" s="831">
        <v>817712</v>
      </c>
      <c r="I14" s="831">
        <v>268</v>
      </c>
      <c r="J14" s="831">
        <v>224</v>
      </c>
      <c r="L14" s="826">
        <f t="shared" si="12"/>
        <v>37.181856203651165</v>
      </c>
      <c r="M14" s="826">
        <f t="shared" si="12"/>
        <v>8919.067164179105</v>
      </c>
      <c r="N14" s="826">
        <f t="shared" si="12"/>
        <v>74948.928571428565</v>
      </c>
      <c r="P14" s="827">
        <v>162.50833333333301</v>
      </c>
      <c r="Q14" s="832">
        <v>124.58319999999998</v>
      </c>
      <c r="R14" s="827">
        <f t="shared" si="13"/>
        <v>37.925133333333036</v>
      </c>
      <c r="T14" s="833">
        <v>5.4715E-2</v>
      </c>
      <c r="U14" s="833">
        <v>0</v>
      </c>
      <c r="V14" s="833">
        <v>14.62228</v>
      </c>
      <c r="X14" s="826">
        <f t="shared" si="14"/>
        <v>2.075073670333317</v>
      </c>
      <c r="Y14" s="826">
        <f t="shared" si="14"/>
        <v>0</v>
      </c>
      <c r="Z14" s="826">
        <f t="shared" si="14"/>
        <v>554.55191863732898</v>
      </c>
      <c r="AB14" s="827">
        <v>0</v>
      </c>
      <c r="AC14" s="832">
        <v>0</v>
      </c>
      <c r="AD14" s="827">
        <f t="shared" si="15"/>
        <v>0</v>
      </c>
      <c r="AF14" s="833">
        <v>0</v>
      </c>
      <c r="AH14" s="826">
        <f t="shared" si="16"/>
        <v>0</v>
      </c>
      <c r="AJ14" s="826">
        <f t="shared" si="17"/>
        <v>2.075073670333317</v>
      </c>
      <c r="AK14" s="826">
        <f t="shared" si="18"/>
        <v>0</v>
      </c>
      <c r="AL14" s="826">
        <f t="shared" si="18"/>
        <v>554.55191863732898</v>
      </c>
      <c r="AN14" s="834">
        <f t="shared" si="19"/>
        <v>39.256929873984483</v>
      </c>
      <c r="AO14" s="826">
        <f t="shared" si="19"/>
        <v>8919.067164179105</v>
      </c>
      <c r="AP14" s="826">
        <f t="shared" si="19"/>
        <v>75503.480490065893</v>
      </c>
      <c r="AR14" s="834">
        <f t="shared" si="20"/>
        <v>32100862.641115598</v>
      </c>
      <c r="AS14" s="826">
        <f t="shared" si="20"/>
        <v>2390310</v>
      </c>
      <c r="AT14" s="826">
        <f t="shared" si="20"/>
        <v>16912779.62977476</v>
      </c>
      <c r="AV14" s="843">
        <f t="shared" si="21"/>
        <v>1696812.6411155984</v>
      </c>
      <c r="AW14" s="844">
        <f t="shared" si="21"/>
        <v>0</v>
      </c>
      <c r="AX14" s="845">
        <f t="shared" si="21"/>
        <v>124219.62977476045</v>
      </c>
      <c r="AZ14" s="826">
        <f t="shared" si="22"/>
        <v>2.0750736703333175</v>
      </c>
      <c r="BA14" s="826">
        <f t="shared" si="22"/>
        <v>0</v>
      </c>
      <c r="BB14" s="826">
        <f t="shared" si="22"/>
        <v>554.55191863732762</v>
      </c>
      <c r="BD14" s="829">
        <f t="shared" si="23"/>
        <v>5.5808770249871298E-2</v>
      </c>
      <c r="BE14" s="829">
        <f t="shared" si="23"/>
        <v>0</v>
      </c>
      <c r="BF14" s="829">
        <f t="shared" si="23"/>
        <v>7.3990639920731294E-3</v>
      </c>
      <c r="BH14" s="829">
        <f t="shared" si="24"/>
        <v>-0.23337346802727932</v>
      </c>
      <c r="BJ14" s="835"/>
    </row>
    <row r="15" spans="1:62" x14ac:dyDescent="0.2">
      <c r="A15" s="825">
        <f t="shared" si="25"/>
        <v>2017</v>
      </c>
      <c r="B15" s="825">
        <f t="shared" si="26"/>
        <v>7</v>
      </c>
      <c r="D15" s="830">
        <v>24573840</v>
      </c>
      <c r="E15" s="830">
        <v>1892030</v>
      </c>
      <c r="F15" s="830">
        <v>17659830</v>
      </c>
      <c r="H15" s="831">
        <v>817654</v>
      </c>
      <c r="I15" s="831">
        <v>263</v>
      </c>
      <c r="J15" s="831">
        <v>225</v>
      </c>
      <c r="L15" s="826">
        <f t="shared" si="12"/>
        <v>30.054081555278884</v>
      </c>
      <c r="M15" s="826">
        <f t="shared" si="12"/>
        <v>7194.0304182509508</v>
      </c>
      <c r="N15" s="826">
        <f t="shared" si="12"/>
        <v>78488.133333333331</v>
      </c>
      <c r="P15" s="827">
        <v>57.0138888888889</v>
      </c>
      <c r="Q15" s="832">
        <v>18.916799999999999</v>
      </c>
      <c r="R15" s="827">
        <f t="shared" si="13"/>
        <v>38.097088888888905</v>
      </c>
      <c r="T15" s="833">
        <v>0</v>
      </c>
      <c r="U15" s="833">
        <v>0</v>
      </c>
      <c r="V15" s="833">
        <v>0</v>
      </c>
      <c r="X15" s="826">
        <f t="shared" si="14"/>
        <v>0</v>
      </c>
      <c r="Y15" s="826">
        <f t="shared" si="14"/>
        <v>0</v>
      </c>
      <c r="Z15" s="826">
        <f t="shared" si="14"/>
        <v>0</v>
      </c>
      <c r="AB15" s="827">
        <v>0</v>
      </c>
      <c r="AC15" s="836">
        <v>0</v>
      </c>
      <c r="AD15" s="827">
        <f t="shared" si="15"/>
        <v>0</v>
      </c>
      <c r="AF15" s="833">
        <v>0</v>
      </c>
      <c r="AH15" s="826">
        <f t="shared" si="16"/>
        <v>0</v>
      </c>
      <c r="AJ15" s="826">
        <f t="shared" si="17"/>
        <v>0</v>
      </c>
      <c r="AK15" s="826">
        <f t="shared" si="18"/>
        <v>0</v>
      </c>
      <c r="AL15" s="826">
        <f t="shared" si="18"/>
        <v>0</v>
      </c>
      <c r="AN15" s="834">
        <f t="shared" si="19"/>
        <v>30.054081555278884</v>
      </c>
      <c r="AO15" s="826">
        <f t="shared" si="19"/>
        <v>7194.0304182509508</v>
      </c>
      <c r="AP15" s="826">
        <f t="shared" si="19"/>
        <v>78488.133333333331</v>
      </c>
      <c r="AR15" s="834">
        <f t="shared" si="20"/>
        <v>24573840</v>
      </c>
      <c r="AS15" s="826">
        <f t="shared" si="20"/>
        <v>1892030</v>
      </c>
      <c r="AT15" s="826">
        <f t="shared" si="20"/>
        <v>17659830</v>
      </c>
      <c r="AV15" s="843">
        <f t="shared" si="21"/>
        <v>0</v>
      </c>
      <c r="AW15" s="844">
        <f t="shared" si="21"/>
        <v>0</v>
      </c>
      <c r="AX15" s="845">
        <f t="shared" si="21"/>
        <v>0</v>
      </c>
      <c r="AZ15" s="826">
        <f t="shared" si="22"/>
        <v>0</v>
      </c>
      <c r="BA15" s="826">
        <f t="shared" si="22"/>
        <v>0</v>
      </c>
      <c r="BB15" s="826">
        <f t="shared" si="22"/>
        <v>0</v>
      </c>
      <c r="BD15" s="829">
        <f t="shared" si="23"/>
        <v>0</v>
      </c>
      <c r="BE15" s="829">
        <f t="shared" si="23"/>
        <v>0</v>
      </c>
      <c r="BF15" s="829">
        <f t="shared" si="23"/>
        <v>0</v>
      </c>
      <c r="BH15" s="829">
        <f t="shared" si="24"/>
        <v>-0.66820716199756403</v>
      </c>
      <c r="BJ15" s="835"/>
    </row>
    <row r="16" spans="1:62" x14ac:dyDescent="0.2">
      <c r="A16" s="825">
        <f t="shared" si="25"/>
        <v>2017</v>
      </c>
      <c r="B16" s="825">
        <f t="shared" si="26"/>
        <v>8</v>
      </c>
      <c r="D16" s="830">
        <v>23434280</v>
      </c>
      <c r="E16" s="830">
        <v>1785080</v>
      </c>
      <c r="F16" s="830">
        <v>18250460</v>
      </c>
      <c r="H16" s="831">
        <v>818196</v>
      </c>
      <c r="I16" s="831">
        <v>263</v>
      </c>
      <c r="J16" s="831">
        <v>225</v>
      </c>
      <c r="L16" s="826">
        <f t="shared" si="12"/>
        <v>28.641401326821445</v>
      </c>
      <c r="M16" s="826">
        <f t="shared" si="12"/>
        <v>6787.3764258555129</v>
      </c>
      <c r="N16" s="826">
        <f t="shared" si="12"/>
        <v>81113.155555555553</v>
      </c>
      <c r="P16" s="827">
        <v>47.509722222222202</v>
      </c>
      <c r="Q16" s="832">
        <v>4.7084000000000001</v>
      </c>
      <c r="R16" s="827">
        <f t="shared" si="13"/>
        <v>42.801322222222204</v>
      </c>
      <c r="T16" s="833">
        <v>0</v>
      </c>
      <c r="U16" s="833">
        <v>0</v>
      </c>
      <c r="V16" s="833">
        <v>0</v>
      </c>
      <c r="X16" s="826">
        <f t="shared" si="14"/>
        <v>0</v>
      </c>
      <c r="Y16" s="826">
        <f t="shared" si="14"/>
        <v>0</v>
      </c>
      <c r="Z16" s="826">
        <f t="shared" si="14"/>
        <v>0</v>
      </c>
      <c r="AB16" s="827">
        <v>0</v>
      </c>
      <c r="AC16" s="836">
        <v>0</v>
      </c>
      <c r="AD16" s="827">
        <f t="shared" si="15"/>
        <v>0</v>
      </c>
      <c r="AF16" s="833">
        <v>0</v>
      </c>
      <c r="AH16" s="826">
        <f t="shared" si="16"/>
        <v>0</v>
      </c>
      <c r="AJ16" s="826">
        <f t="shared" si="17"/>
        <v>0</v>
      </c>
      <c r="AK16" s="826">
        <f t="shared" si="18"/>
        <v>0</v>
      </c>
      <c r="AL16" s="826">
        <f t="shared" si="18"/>
        <v>0</v>
      </c>
      <c r="AN16" s="834">
        <f t="shared" si="19"/>
        <v>28.641401326821445</v>
      </c>
      <c r="AO16" s="826">
        <f t="shared" si="19"/>
        <v>6787.3764258555129</v>
      </c>
      <c r="AP16" s="826">
        <f t="shared" si="19"/>
        <v>81113.155555555553</v>
      </c>
      <c r="AR16" s="834">
        <f t="shared" si="20"/>
        <v>23434280</v>
      </c>
      <c r="AS16" s="826">
        <f t="shared" si="20"/>
        <v>1785080</v>
      </c>
      <c r="AT16" s="826">
        <f t="shared" si="20"/>
        <v>18250460</v>
      </c>
      <c r="AV16" s="843">
        <f t="shared" si="21"/>
        <v>0</v>
      </c>
      <c r="AW16" s="844">
        <f t="shared" si="21"/>
        <v>0</v>
      </c>
      <c r="AX16" s="845">
        <f t="shared" si="21"/>
        <v>0</v>
      </c>
      <c r="AZ16" s="826">
        <f t="shared" si="22"/>
        <v>0</v>
      </c>
      <c r="BA16" s="826">
        <f t="shared" si="22"/>
        <v>0</v>
      </c>
      <c r="BB16" s="826">
        <f t="shared" si="22"/>
        <v>0</v>
      </c>
      <c r="BD16" s="829">
        <f t="shared" si="23"/>
        <v>0</v>
      </c>
      <c r="BE16" s="829">
        <f t="shared" si="23"/>
        <v>0</v>
      </c>
      <c r="BF16" s="829">
        <f t="shared" si="23"/>
        <v>0</v>
      </c>
      <c r="BH16" s="829">
        <f t="shared" si="24"/>
        <v>-0.9008960739030023</v>
      </c>
      <c r="BJ16" s="835"/>
    </row>
    <row r="17" spans="1:62" x14ac:dyDescent="0.2">
      <c r="A17" s="825">
        <f t="shared" si="25"/>
        <v>2017</v>
      </c>
      <c r="B17" s="825">
        <f t="shared" si="26"/>
        <v>9</v>
      </c>
      <c r="D17" s="830">
        <v>29798890</v>
      </c>
      <c r="E17" s="830">
        <v>2156320</v>
      </c>
      <c r="F17" s="830">
        <v>17563280</v>
      </c>
      <c r="H17" s="831">
        <v>819374</v>
      </c>
      <c r="I17" s="831">
        <v>262</v>
      </c>
      <c r="J17" s="831">
        <v>226</v>
      </c>
      <c r="L17" s="826">
        <f t="shared" si="12"/>
        <v>36.367873522957773</v>
      </c>
      <c r="M17" s="826">
        <f t="shared" si="12"/>
        <v>8230.2290076335885</v>
      </c>
      <c r="N17" s="826">
        <f t="shared" si="12"/>
        <v>77713.628318584073</v>
      </c>
      <c r="P17" s="827">
        <v>136.759722222222</v>
      </c>
      <c r="Q17" s="836">
        <v>102.2084</v>
      </c>
      <c r="R17" s="827">
        <f t="shared" si="13"/>
        <v>34.551322222221998</v>
      </c>
      <c r="T17" s="833">
        <v>6.3997999999999999E-2</v>
      </c>
      <c r="U17" s="833">
        <v>0</v>
      </c>
      <c r="V17" s="833">
        <v>16.112120000000001</v>
      </c>
      <c r="X17" s="826">
        <f t="shared" si="14"/>
        <v>2.2112155195777632</v>
      </c>
      <c r="Y17" s="826">
        <f t="shared" si="14"/>
        <v>0</v>
      </c>
      <c r="Z17" s="826">
        <f t="shared" si="14"/>
        <v>556.69504980310751</v>
      </c>
      <c r="AB17" s="827">
        <v>0</v>
      </c>
      <c r="AC17" s="836">
        <v>0</v>
      </c>
      <c r="AD17" s="827">
        <f t="shared" si="15"/>
        <v>0</v>
      </c>
      <c r="AF17" s="833">
        <v>0</v>
      </c>
      <c r="AH17" s="826">
        <f t="shared" si="16"/>
        <v>0</v>
      </c>
      <c r="AJ17" s="826">
        <f t="shared" si="17"/>
        <v>2.2112155195777632</v>
      </c>
      <c r="AK17" s="826">
        <f t="shared" si="18"/>
        <v>0</v>
      </c>
      <c r="AL17" s="826">
        <f t="shared" si="18"/>
        <v>556.69504980310751</v>
      </c>
      <c r="AN17" s="834">
        <f t="shared" si="19"/>
        <v>38.579089042535536</v>
      </c>
      <c r="AO17" s="826">
        <f t="shared" si="19"/>
        <v>8230.2290076335885</v>
      </c>
      <c r="AP17" s="826">
        <f t="shared" si="19"/>
        <v>78270.32336838718</v>
      </c>
      <c r="AR17" s="834">
        <f t="shared" si="20"/>
        <v>31610702.505138513</v>
      </c>
      <c r="AS17" s="826">
        <f t="shared" si="20"/>
        <v>2156320</v>
      </c>
      <c r="AT17" s="826">
        <f t="shared" si="20"/>
        <v>17689093.081255503</v>
      </c>
      <c r="AV17" s="843">
        <f t="shared" si="21"/>
        <v>1811812.5051385127</v>
      </c>
      <c r="AW17" s="844">
        <f t="shared" si="21"/>
        <v>0</v>
      </c>
      <c r="AX17" s="845">
        <f t="shared" si="21"/>
        <v>125813.081255503</v>
      </c>
      <c r="AZ17" s="826">
        <f t="shared" si="22"/>
        <v>2.2112155195777632</v>
      </c>
      <c r="BA17" s="826">
        <f t="shared" si="22"/>
        <v>0</v>
      </c>
      <c r="BB17" s="826">
        <f t="shared" si="22"/>
        <v>556.69504980310739</v>
      </c>
      <c r="BD17" s="829">
        <f t="shared" si="23"/>
        <v>6.0801342101618916E-2</v>
      </c>
      <c r="BE17" s="829">
        <f t="shared" si="23"/>
        <v>0</v>
      </c>
      <c r="BF17" s="829">
        <f t="shared" si="23"/>
        <v>7.1634160165698901E-3</v>
      </c>
      <c r="BH17" s="829">
        <f t="shared" si="24"/>
        <v>-0.25264252998466374</v>
      </c>
      <c r="BJ17" s="835"/>
    </row>
    <row r="18" spans="1:62" x14ac:dyDescent="0.2">
      <c r="A18" s="825">
        <f t="shared" si="25"/>
        <v>2017</v>
      </c>
      <c r="B18" s="825">
        <f t="shared" si="26"/>
        <v>10</v>
      </c>
      <c r="D18" s="830">
        <v>68460270</v>
      </c>
      <c r="E18" s="830">
        <v>3693380</v>
      </c>
      <c r="F18" s="830">
        <v>20008050</v>
      </c>
      <c r="H18" s="831">
        <v>821175</v>
      </c>
      <c r="I18" s="831">
        <v>262</v>
      </c>
      <c r="J18" s="831">
        <v>227</v>
      </c>
      <c r="L18" s="826">
        <f t="shared" si="12"/>
        <v>83.368672938167876</v>
      </c>
      <c r="M18" s="826">
        <f t="shared" si="12"/>
        <v>14096.870229007634</v>
      </c>
      <c r="N18" s="826">
        <f t="shared" si="12"/>
        <v>88141.189427312769</v>
      </c>
      <c r="P18" s="827">
        <v>386.027777777778</v>
      </c>
      <c r="Q18" s="836">
        <v>389.20829999999995</v>
      </c>
      <c r="R18" s="827">
        <f t="shared" si="13"/>
        <v>-3.1805222222219527</v>
      </c>
      <c r="T18" s="833">
        <v>0.132906</v>
      </c>
      <c r="U18" s="833">
        <v>4.8242659999999997</v>
      </c>
      <c r="V18" s="833">
        <v>17.120840000000001</v>
      </c>
      <c r="X18" s="826">
        <f t="shared" si="14"/>
        <v>-0.42271048646663084</v>
      </c>
      <c r="Y18" s="826">
        <f t="shared" si="14"/>
        <v>-15.34368521890981</v>
      </c>
      <c r="Z18" s="826">
        <f t="shared" si="14"/>
        <v>-54.4532120831065</v>
      </c>
      <c r="AB18" s="827">
        <v>2.8333333333333299</v>
      </c>
      <c r="AC18" s="836">
        <v>0</v>
      </c>
      <c r="AD18" s="827">
        <f t="shared" si="15"/>
        <v>2.8333333333333299</v>
      </c>
      <c r="AF18" s="833">
        <v>0</v>
      </c>
      <c r="AH18" s="826">
        <f t="shared" si="16"/>
        <v>0</v>
      </c>
      <c r="AJ18" s="826">
        <f t="shared" si="17"/>
        <v>-0.42271048646663084</v>
      </c>
      <c r="AK18" s="826">
        <f t="shared" si="18"/>
        <v>-15.34368521890981</v>
      </c>
      <c r="AL18" s="826">
        <f t="shared" si="18"/>
        <v>-54.4532120831065</v>
      </c>
      <c r="AN18" s="834">
        <f t="shared" si="19"/>
        <v>82.945962451701249</v>
      </c>
      <c r="AO18" s="826">
        <f t="shared" si="19"/>
        <v>14081.526543788725</v>
      </c>
      <c r="AP18" s="826">
        <f t="shared" si="19"/>
        <v>88086.736215229655</v>
      </c>
      <c r="AR18" s="834">
        <f t="shared" si="20"/>
        <v>68113150.716275766</v>
      </c>
      <c r="AS18" s="826">
        <f t="shared" si="20"/>
        <v>3689359.9544726457</v>
      </c>
      <c r="AT18" s="826">
        <f t="shared" si="20"/>
        <v>19995689.120857131</v>
      </c>
      <c r="AV18" s="843">
        <f t="shared" si="21"/>
        <v>-347119.28372423351</v>
      </c>
      <c r="AW18" s="844">
        <f t="shared" si="21"/>
        <v>-4020.0455273543485</v>
      </c>
      <c r="AX18" s="845">
        <f t="shared" si="21"/>
        <v>-12360.879142869264</v>
      </c>
      <c r="AZ18" s="826">
        <f t="shared" si="22"/>
        <v>-0.42271048646662734</v>
      </c>
      <c r="BA18" s="826">
        <f t="shared" si="22"/>
        <v>-15.343685218909741</v>
      </c>
      <c r="BB18" s="826">
        <f t="shared" si="22"/>
        <v>-54.453212083113613</v>
      </c>
      <c r="BD18" s="829">
        <f t="shared" si="23"/>
        <v>-5.0703756167516101E-3</v>
      </c>
      <c r="BE18" s="829">
        <f t="shared" si="23"/>
        <v>-1.0884462273998974E-3</v>
      </c>
      <c r="BF18" s="829">
        <f t="shared" si="23"/>
        <v>-6.1779529453742654E-4</v>
      </c>
      <c r="BH18" s="829">
        <f t="shared" si="24"/>
        <v>8.2391019644521002E-3</v>
      </c>
      <c r="BJ18" s="835"/>
    </row>
    <row r="19" spans="1:62" x14ac:dyDescent="0.2">
      <c r="A19" s="825">
        <f t="shared" si="25"/>
        <v>2017</v>
      </c>
      <c r="B19" s="825">
        <f t="shared" si="26"/>
        <v>11</v>
      </c>
      <c r="D19" s="830">
        <v>103857490</v>
      </c>
      <c r="E19" s="830">
        <v>4100720</v>
      </c>
      <c r="F19" s="830">
        <v>19483390</v>
      </c>
      <c r="H19" s="831">
        <v>823372</v>
      </c>
      <c r="I19" s="831">
        <v>262</v>
      </c>
      <c r="J19" s="831">
        <v>227</v>
      </c>
      <c r="L19" s="826">
        <f t="shared" si="12"/>
        <v>126.13677657243628</v>
      </c>
      <c r="M19" s="826">
        <f t="shared" si="12"/>
        <v>15651.603053435114</v>
      </c>
      <c r="N19" s="826">
        <f t="shared" si="12"/>
        <v>85829.911894273129</v>
      </c>
      <c r="P19" s="827">
        <v>583.59097222222204</v>
      </c>
      <c r="Q19" s="836">
        <v>563.87490000000003</v>
      </c>
      <c r="R19" s="827">
        <f t="shared" si="13"/>
        <v>19.71607222222201</v>
      </c>
      <c r="T19" s="833">
        <v>0.17032700000000001</v>
      </c>
      <c r="U19" s="833">
        <v>2.1094179999999998</v>
      </c>
      <c r="V19" s="833">
        <v>33.561230000000002</v>
      </c>
      <c r="X19" s="826">
        <f t="shared" si="14"/>
        <v>3.3581794333944086</v>
      </c>
      <c r="Y19" s="826">
        <f t="shared" si="14"/>
        <v>41.589437634855102</v>
      </c>
      <c r="Z19" s="826">
        <f t="shared" si="14"/>
        <v>661.69563454660408</v>
      </c>
      <c r="AB19" s="827">
        <v>54.622222222222199</v>
      </c>
      <c r="AC19" s="836">
        <v>34.999899999999997</v>
      </c>
      <c r="AD19" s="827">
        <f t="shared" si="15"/>
        <v>19.622322222222202</v>
      </c>
      <c r="AF19" s="833">
        <v>5.4553999999999998E-2</v>
      </c>
      <c r="AH19" s="826">
        <f t="shared" si="16"/>
        <v>1.07047616651111</v>
      </c>
      <c r="AJ19" s="826">
        <f t="shared" si="17"/>
        <v>4.4286555999055182</v>
      </c>
      <c r="AK19" s="826">
        <f t="shared" si="18"/>
        <v>41.589437634855102</v>
      </c>
      <c r="AL19" s="826">
        <f t="shared" si="18"/>
        <v>661.69563454660408</v>
      </c>
      <c r="AN19" s="834">
        <f t="shared" si="19"/>
        <v>130.56543217234179</v>
      </c>
      <c r="AO19" s="826">
        <f t="shared" si="19"/>
        <v>15693.192491069969</v>
      </c>
      <c r="AP19" s="826">
        <f t="shared" si="19"/>
        <v>86491.607528819732</v>
      </c>
      <c r="AR19" s="834">
        <f t="shared" si="20"/>
        <v>107503921.0186054</v>
      </c>
      <c r="AS19" s="826">
        <f t="shared" si="20"/>
        <v>4111616.4326603319</v>
      </c>
      <c r="AT19" s="826">
        <f t="shared" si="20"/>
        <v>19633594.909042079</v>
      </c>
      <c r="AV19" s="843">
        <f t="shared" si="21"/>
        <v>3646431.0186053962</v>
      </c>
      <c r="AW19" s="844">
        <f t="shared" si="21"/>
        <v>10896.43266033195</v>
      </c>
      <c r="AX19" s="845">
        <f t="shared" si="21"/>
        <v>150204.909042079</v>
      </c>
      <c r="AZ19" s="826">
        <f t="shared" si="22"/>
        <v>4.4286555999055111</v>
      </c>
      <c r="BA19" s="826">
        <f t="shared" si="22"/>
        <v>41.58943763485513</v>
      </c>
      <c r="BB19" s="826">
        <f t="shared" si="22"/>
        <v>661.69563454660238</v>
      </c>
      <c r="BD19" s="829">
        <f t="shared" si="23"/>
        <v>3.5109947473267455E-2</v>
      </c>
      <c r="BE19" s="829">
        <f t="shared" si="23"/>
        <v>2.6571998722986212E-3</v>
      </c>
      <c r="BF19" s="829">
        <f t="shared" si="23"/>
        <v>7.7093826609271332E-3</v>
      </c>
      <c r="BH19" s="829">
        <f t="shared" si="24"/>
        <v>-3.3784059659364374E-2</v>
      </c>
      <c r="BJ19" s="835"/>
    </row>
    <row r="20" spans="1:62" x14ac:dyDescent="0.2">
      <c r="A20" s="825">
        <f t="shared" si="25"/>
        <v>2017</v>
      </c>
      <c r="B20" s="825">
        <f t="shared" si="26"/>
        <v>12</v>
      </c>
      <c r="D20" s="830">
        <v>144743070</v>
      </c>
      <c r="E20" s="830">
        <v>5252100</v>
      </c>
      <c r="F20" s="830">
        <v>22139090</v>
      </c>
      <c r="H20" s="831">
        <v>824977</v>
      </c>
      <c r="I20" s="831">
        <v>262</v>
      </c>
      <c r="J20" s="831">
        <v>226</v>
      </c>
      <c r="L20" s="826">
        <f t="shared" si="12"/>
        <v>175.45103681678398</v>
      </c>
      <c r="M20" s="826">
        <f t="shared" si="12"/>
        <v>20046.183206106871</v>
      </c>
      <c r="N20" s="826">
        <f t="shared" si="12"/>
        <v>97960.575221238934</v>
      </c>
      <c r="P20" s="827">
        <v>747.57777777777801</v>
      </c>
      <c r="Q20" s="836">
        <v>780.5</v>
      </c>
      <c r="R20" s="827">
        <f t="shared" si="13"/>
        <v>-32.92222222222199</v>
      </c>
      <c r="T20" s="833">
        <v>0.15499199999999999</v>
      </c>
      <c r="U20" s="833">
        <v>0</v>
      </c>
      <c r="V20" s="833">
        <v>20.750160000000001</v>
      </c>
      <c r="X20" s="826">
        <f t="shared" si="14"/>
        <v>-5.10268106666663</v>
      </c>
      <c r="Y20" s="826">
        <f t="shared" si="14"/>
        <v>0</v>
      </c>
      <c r="Z20" s="826">
        <f t="shared" si="14"/>
        <v>-683.14137866666192</v>
      </c>
      <c r="AB20" s="827">
        <v>148.73472222222199</v>
      </c>
      <c r="AC20" s="836">
        <v>165.79169999999996</v>
      </c>
      <c r="AD20" s="827">
        <f t="shared" si="15"/>
        <v>-17.056977777777973</v>
      </c>
      <c r="AF20" s="833">
        <v>5.3419000000000001E-2</v>
      </c>
      <c r="AH20" s="826">
        <f t="shared" si="16"/>
        <v>-0.91116669591112154</v>
      </c>
      <c r="AJ20" s="826">
        <f t="shared" si="17"/>
        <v>-6.0138477625777513</v>
      </c>
      <c r="AK20" s="826">
        <f t="shared" si="18"/>
        <v>0</v>
      </c>
      <c r="AL20" s="826">
        <f t="shared" si="18"/>
        <v>-683.14137866666192</v>
      </c>
      <c r="AN20" s="834">
        <f t="shared" si="19"/>
        <v>169.43718905420624</v>
      </c>
      <c r="AO20" s="826">
        <f t="shared" si="19"/>
        <v>20046.183206106871</v>
      </c>
      <c r="AP20" s="826">
        <f t="shared" si="19"/>
        <v>97277.433842572267</v>
      </c>
      <c r="AR20" s="834">
        <f t="shared" si="20"/>
        <v>139781783.91437191</v>
      </c>
      <c r="AS20" s="826">
        <f t="shared" si="20"/>
        <v>5252100</v>
      </c>
      <c r="AT20" s="826">
        <f t="shared" si="20"/>
        <v>21984700.048421331</v>
      </c>
      <c r="AV20" s="843">
        <f t="shared" si="21"/>
        <v>-4961286.0856280923</v>
      </c>
      <c r="AW20" s="844">
        <f t="shared" si="21"/>
        <v>0</v>
      </c>
      <c r="AX20" s="845">
        <f t="shared" si="21"/>
        <v>-154389.95157866925</v>
      </c>
      <c r="AZ20" s="826">
        <f t="shared" si="22"/>
        <v>-6.0138477625777398</v>
      </c>
      <c r="BA20" s="826">
        <f t="shared" si="22"/>
        <v>0</v>
      </c>
      <c r="BB20" s="826">
        <f t="shared" si="22"/>
        <v>-683.14137866666715</v>
      </c>
      <c r="BD20" s="829">
        <f t="shared" si="23"/>
        <v>-3.4276501704904372E-2</v>
      </c>
      <c r="BE20" s="829">
        <f t="shared" si="23"/>
        <v>0</v>
      </c>
      <c r="BF20" s="829">
        <f t="shared" si="23"/>
        <v>-6.9736358440509738E-3</v>
      </c>
      <c r="BH20" s="829">
        <f t="shared" si="24"/>
        <v>4.4038524419606651E-2</v>
      </c>
      <c r="BJ20" s="835"/>
    </row>
    <row r="21" spans="1:62" x14ac:dyDescent="0.2">
      <c r="A21" s="825">
        <f t="shared" si="25"/>
        <v>2018</v>
      </c>
      <c r="B21" s="825">
        <f t="shared" si="26"/>
        <v>1</v>
      </c>
      <c r="D21" s="830">
        <v>120059570</v>
      </c>
      <c r="E21" s="830">
        <v>5872120</v>
      </c>
      <c r="F21" s="830">
        <v>19926430</v>
      </c>
      <c r="H21" s="831">
        <v>826065</v>
      </c>
      <c r="I21" s="831">
        <v>262</v>
      </c>
      <c r="J21" s="831">
        <v>229</v>
      </c>
      <c r="L21" s="826">
        <f t="shared" si="12"/>
        <v>145.33913190850598</v>
      </c>
      <c r="M21" s="826">
        <f t="shared" si="12"/>
        <v>22412.67175572519</v>
      </c>
      <c r="N21" s="826">
        <f t="shared" si="12"/>
        <v>87014.978165938868</v>
      </c>
      <c r="P21" s="827">
        <f>P9</f>
        <v>723.21388888888896</v>
      </c>
      <c r="Q21" s="836">
        <v>628.70833333333326</v>
      </c>
      <c r="R21" s="827">
        <f t="shared" si="13"/>
        <v>94.505555555555702</v>
      </c>
      <c r="T21" s="828">
        <f t="shared" ref="T21:V26" si="27">T9</f>
        <v>0.17000499999999999</v>
      </c>
      <c r="U21" s="828">
        <f t="shared" si="27"/>
        <v>9.5439469999999993</v>
      </c>
      <c r="V21" s="828">
        <f t="shared" si="27"/>
        <v>33.673139999999997</v>
      </c>
      <c r="X21" s="826">
        <f t="shared" si="14"/>
        <v>16.066416972222246</v>
      </c>
      <c r="Y21" s="826">
        <f t="shared" si="14"/>
        <v>901.95601342777911</v>
      </c>
      <c r="Z21" s="826">
        <f t="shared" si="14"/>
        <v>3182.2988030000047</v>
      </c>
      <c r="AB21" s="827">
        <f>AB9</f>
        <v>131.923611111111</v>
      </c>
      <c r="AC21" s="836">
        <v>49.499999999999993</v>
      </c>
      <c r="AD21" s="827">
        <f t="shared" si="15"/>
        <v>82.423611111111001</v>
      </c>
      <c r="AF21" s="828">
        <f t="shared" ref="AF21:AF26" si="28">AF9</f>
        <v>4.3666999999999997E-2</v>
      </c>
      <c r="AH21" s="826">
        <f t="shared" si="16"/>
        <v>3.5991918263888838</v>
      </c>
      <c r="AJ21" s="826">
        <f t="shared" si="17"/>
        <v>19.665608798611132</v>
      </c>
      <c r="AK21" s="826">
        <f t="shared" si="18"/>
        <v>901.95601342777911</v>
      </c>
      <c r="AL21" s="826">
        <f t="shared" si="18"/>
        <v>3182.2988030000047</v>
      </c>
      <c r="AN21" s="834">
        <f t="shared" si="19"/>
        <v>165.00474070711709</v>
      </c>
      <c r="AO21" s="826">
        <f t="shared" si="19"/>
        <v>23314.627769152969</v>
      </c>
      <c r="AP21" s="826">
        <f t="shared" si="19"/>
        <v>90197.276968938866</v>
      </c>
      <c r="AR21" s="834">
        <f t="shared" si="20"/>
        <v>136304641.13222468</v>
      </c>
      <c r="AS21" s="826">
        <f t="shared" si="20"/>
        <v>6108432.4755180776</v>
      </c>
      <c r="AT21" s="826">
        <f t="shared" si="20"/>
        <v>20655176.425887</v>
      </c>
      <c r="AV21" s="843">
        <f t="shared" si="21"/>
        <v>16245071.132224679</v>
      </c>
      <c r="AW21" s="844">
        <f t="shared" si="21"/>
        <v>236312.47551807761</v>
      </c>
      <c r="AX21" s="845">
        <f t="shared" si="21"/>
        <v>728746.42588699982</v>
      </c>
      <c r="AZ21" s="826">
        <f t="shared" si="22"/>
        <v>19.665608798611117</v>
      </c>
      <c r="BA21" s="826">
        <f t="shared" si="22"/>
        <v>901.95601342777809</v>
      </c>
      <c r="BB21" s="826">
        <f t="shared" si="22"/>
        <v>3182.2988029999979</v>
      </c>
      <c r="BD21" s="829">
        <f t="shared" si="23"/>
        <v>0.13530842341201699</v>
      </c>
      <c r="BE21" s="829">
        <f t="shared" si="23"/>
        <v>4.0243127783164745E-2</v>
      </c>
      <c r="BF21" s="829">
        <f t="shared" si="23"/>
        <v>3.6571850847693321E-2</v>
      </c>
      <c r="BH21" s="829">
        <f t="shared" si="24"/>
        <v>-0.13067442012313879</v>
      </c>
      <c r="BJ21" s="835"/>
    </row>
    <row r="22" spans="1:62" x14ac:dyDescent="0.2">
      <c r="A22" s="825">
        <f t="shared" si="25"/>
        <v>2018</v>
      </c>
      <c r="B22" s="825">
        <f t="shared" si="26"/>
        <v>2</v>
      </c>
      <c r="D22" s="830">
        <v>123710710</v>
      </c>
      <c r="E22" s="830">
        <v>5356100</v>
      </c>
      <c r="F22" s="830">
        <v>20288910</v>
      </c>
      <c r="H22" s="831">
        <v>827206</v>
      </c>
      <c r="I22" s="831">
        <v>262</v>
      </c>
      <c r="J22" s="831">
        <v>231</v>
      </c>
      <c r="L22" s="826">
        <f t="shared" si="12"/>
        <v>149.55248148586929</v>
      </c>
      <c r="M22" s="826">
        <f t="shared" si="12"/>
        <v>20443.129770992367</v>
      </c>
      <c r="N22" s="826">
        <f t="shared" si="12"/>
        <v>87830.779220779223</v>
      </c>
      <c r="P22" s="827">
        <f t="shared" ref="P22:P32" si="29">P10</f>
        <v>616.98611111111097</v>
      </c>
      <c r="Q22" s="836">
        <v>672.58333333333303</v>
      </c>
      <c r="R22" s="827">
        <f t="shared" si="13"/>
        <v>-55.597222222222058</v>
      </c>
      <c r="T22" s="828">
        <f t="shared" si="27"/>
        <v>0.18637999999999999</v>
      </c>
      <c r="U22" s="828">
        <f t="shared" si="27"/>
        <v>9.7854740000000007</v>
      </c>
      <c r="V22" s="828">
        <f t="shared" si="27"/>
        <v>31.906300000000002</v>
      </c>
      <c r="X22" s="826">
        <f t="shared" si="14"/>
        <v>-10.362210277777747</v>
      </c>
      <c r="Y22" s="826">
        <f t="shared" si="14"/>
        <v>-544.04517252777623</v>
      </c>
      <c r="Z22" s="826">
        <f t="shared" si="14"/>
        <v>-1773.9016513888837</v>
      </c>
      <c r="AB22" s="827">
        <f>AB10</f>
        <v>89.9930555555556</v>
      </c>
      <c r="AC22" s="836">
        <v>140.583333333333</v>
      </c>
      <c r="AD22" s="827">
        <f t="shared" si="15"/>
        <v>-50.590277777777402</v>
      </c>
      <c r="AF22" s="828">
        <f t="shared" si="28"/>
        <v>3.6380000000000003E-2</v>
      </c>
      <c r="AH22" s="826">
        <f t="shared" si="16"/>
        <v>-1.8404743055555419</v>
      </c>
      <c r="AJ22" s="826">
        <f t="shared" si="17"/>
        <v>-12.202684583333289</v>
      </c>
      <c r="AK22" s="826">
        <f t="shared" si="18"/>
        <v>-544.04517252777623</v>
      </c>
      <c r="AL22" s="826">
        <f t="shared" si="18"/>
        <v>-1773.9016513888837</v>
      </c>
      <c r="AN22" s="834">
        <f t="shared" si="19"/>
        <v>137.34979690253601</v>
      </c>
      <c r="AO22" s="826">
        <f t="shared" si="19"/>
        <v>19899.084598464593</v>
      </c>
      <c r="AP22" s="826">
        <f t="shared" si="19"/>
        <v>86056.877569390344</v>
      </c>
      <c r="AR22" s="834">
        <f t="shared" si="20"/>
        <v>113616576.09655921</v>
      </c>
      <c r="AS22" s="826">
        <f t="shared" si="20"/>
        <v>5213560.1647977233</v>
      </c>
      <c r="AT22" s="826">
        <f t="shared" si="20"/>
        <v>19879138.718529169</v>
      </c>
      <c r="AV22" s="843">
        <f t="shared" si="21"/>
        <v>-10094133.903440788</v>
      </c>
      <c r="AW22" s="844">
        <f t="shared" si="21"/>
        <v>-142539.83520227671</v>
      </c>
      <c r="AX22" s="845">
        <f t="shared" si="21"/>
        <v>-409771.28147083148</v>
      </c>
      <c r="AZ22" s="826">
        <f t="shared" si="22"/>
        <v>-12.20268458333328</v>
      </c>
      <c r="BA22" s="826">
        <f t="shared" si="22"/>
        <v>-544.04517252777441</v>
      </c>
      <c r="BB22" s="826">
        <f t="shared" si="22"/>
        <v>-1773.9016513888782</v>
      </c>
      <c r="BD22" s="829">
        <f t="shared" si="23"/>
        <v>-8.1594664709634168E-2</v>
      </c>
      <c r="BE22" s="829">
        <f t="shared" si="23"/>
        <v>-2.6612616493769115E-2</v>
      </c>
      <c r="BF22" s="829">
        <f t="shared" si="23"/>
        <v>-2.0196811039668083E-2</v>
      </c>
      <c r="BH22" s="829">
        <f t="shared" si="24"/>
        <v>9.0110978547148779E-2</v>
      </c>
      <c r="BJ22" s="835"/>
    </row>
    <row r="23" spans="1:62" x14ac:dyDescent="0.2">
      <c r="A23" s="825">
        <f t="shared" si="25"/>
        <v>2018</v>
      </c>
      <c r="B23" s="825">
        <f t="shared" si="26"/>
        <v>3</v>
      </c>
      <c r="D23" s="830">
        <v>104958540</v>
      </c>
      <c r="E23" s="830">
        <v>5043210</v>
      </c>
      <c r="F23" s="830">
        <v>21711660</v>
      </c>
      <c r="H23" s="831">
        <v>828008</v>
      </c>
      <c r="I23" s="831">
        <v>262</v>
      </c>
      <c r="J23" s="831">
        <v>231</v>
      </c>
      <c r="L23" s="826">
        <f t="shared" si="12"/>
        <v>126.76029700196133</v>
      </c>
      <c r="M23" s="826">
        <f t="shared" si="12"/>
        <v>19248.893129770993</v>
      </c>
      <c r="N23" s="826">
        <f t="shared" si="12"/>
        <v>93989.870129870134</v>
      </c>
      <c r="P23" s="827">
        <f t="shared" si="29"/>
        <v>592.16805555555595</v>
      </c>
      <c r="Q23" s="836">
        <v>589.02083333333303</v>
      </c>
      <c r="R23" s="827">
        <f t="shared" si="13"/>
        <v>3.147222222222922</v>
      </c>
      <c r="T23" s="828">
        <f t="shared" si="27"/>
        <v>0.15654499999999999</v>
      </c>
      <c r="U23" s="828">
        <f t="shared" si="27"/>
        <v>6.8281080000000003</v>
      </c>
      <c r="V23" s="828">
        <f t="shared" si="27"/>
        <v>17.693680000000001</v>
      </c>
      <c r="X23" s="826">
        <f t="shared" si="14"/>
        <v>0.49268190277788732</v>
      </c>
      <c r="Y23" s="826">
        <f t="shared" si="14"/>
        <v>21.489573233338113</v>
      </c>
      <c r="Z23" s="826">
        <f t="shared" si="14"/>
        <v>55.685942888901273</v>
      </c>
      <c r="AB23" s="827">
        <f t="shared" ref="AB23:AB32" si="30">AB11</f>
        <v>42.775694444444397</v>
      </c>
      <c r="AC23" s="836">
        <v>32.1666666666667</v>
      </c>
      <c r="AD23" s="827">
        <f t="shared" si="15"/>
        <v>10.609027777777698</v>
      </c>
      <c r="AF23" s="828">
        <f t="shared" si="28"/>
        <v>2.5321E-2</v>
      </c>
      <c r="AH23" s="826">
        <f t="shared" si="16"/>
        <v>0.26863119236110905</v>
      </c>
      <c r="AJ23" s="826">
        <f t="shared" si="17"/>
        <v>0.76131309513899637</v>
      </c>
      <c r="AK23" s="826">
        <f t="shared" si="18"/>
        <v>21.489573233338113</v>
      </c>
      <c r="AL23" s="826">
        <f t="shared" si="18"/>
        <v>55.685942888901273</v>
      </c>
      <c r="AN23" s="834">
        <f t="shared" si="19"/>
        <v>127.52161009710034</v>
      </c>
      <c r="AO23" s="826">
        <f t="shared" si="19"/>
        <v>19270.382703004332</v>
      </c>
      <c r="AP23" s="826">
        <f t="shared" si="19"/>
        <v>94045.556072759035</v>
      </c>
      <c r="AR23" s="834">
        <f t="shared" si="20"/>
        <v>105588913.33327985</v>
      </c>
      <c r="AS23" s="826">
        <f t="shared" si="20"/>
        <v>5048840.2681871355</v>
      </c>
      <c r="AT23" s="826">
        <f t="shared" si="20"/>
        <v>21724523.452807337</v>
      </c>
      <c r="AV23" s="843">
        <f t="shared" si="21"/>
        <v>630373.3332798481</v>
      </c>
      <c r="AW23" s="844">
        <f t="shared" si="21"/>
        <v>5630.268187135458</v>
      </c>
      <c r="AX23" s="845">
        <f t="shared" si="21"/>
        <v>12863.452807337046</v>
      </c>
      <c r="AZ23" s="826">
        <f t="shared" si="22"/>
        <v>0.76131309513900192</v>
      </c>
      <c r="BA23" s="826">
        <f t="shared" si="22"/>
        <v>21.489573233338888</v>
      </c>
      <c r="BB23" s="826">
        <f t="shared" si="22"/>
        <v>55.685942888900172</v>
      </c>
      <c r="BD23" s="829">
        <f t="shared" si="23"/>
        <v>6.0059270382366581E-3</v>
      </c>
      <c r="BE23" s="829">
        <f t="shared" si="23"/>
        <v>1.1164056597159355E-3</v>
      </c>
      <c r="BF23" s="829">
        <f t="shared" si="23"/>
        <v>5.9246749476260518E-4</v>
      </c>
      <c r="BH23" s="829">
        <f t="shared" si="24"/>
        <v>-5.3147450165481613E-3</v>
      </c>
      <c r="BJ23" s="835"/>
    </row>
    <row r="24" spans="1:62" x14ac:dyDescent="0.2">
      <c r="A24" s="825">
        <f t="shared" si="25"/>
        <v>2018</v>
      </c>
      <c r="B24" s="825">
        <f t="shared" si="26"/>
        <v>4</v>
      </c>
      <c r="D24" s="830">
        <v>74655970</v>
      </c>
      <c r="E24" s="830">
        <v>4059980</v>
      </c>
      <c r="F24" s="830">
        <v>18924870</v>
      </c>
      <c r="H24" s="831">
        <v>828363</v>
      </c>
      <c r="I24" s="831">
        <v>262</v>
      </c>
      <c r="J24" s="831">
        <v>231</v>
      </c>
      <c r="L24" s="826">
        <f t="shared" si="12"/>
        <v>90.124703783244783</v>
      </c>
      <c r="M24" s="826">
        <f t="shared" si="12"/>
        <v>15496.106870229007</v>
      </c>
      <c r="N24" s="826">
        <f t="shared" si="12"/>
        <v>81925.844155844155</v>
      </c>
      <c r="P24" s="827">
        <f t="shared" si="29"/>
        <v>450.14722222222201</v>
      </c>
      <c r="Q24" s="836">
        <v>419.04166666666703</v>
      </c>
      <c r="R24" s="827">
        <f t="shared" si="13"/>
        <v>31.105555555554986</v>
      </c>
      <c r="T24" s="828">
        <f t="shared" si="27"/>
        <v>0.12182999999999999</v>
      </c>
      <c r="U24" s="828">
        <f t="shared" si="27"/>
        <v>2.8136559999999999</v>
      </c>
      <c r="V24" s="828">
        <f t="shared" si="27"/>
        <v>25.107050000000001</v>
      </c>
      <c r="X24" s="826">
        <f t="shared" si="14"/>
        <v>3.7895898333332636</v>
      </c>
      <c r="Y24" s="826">
        <f t="shared" si="14"/>
        <v>87.520333022220612</v>
      </c>
      <c r="Z24" s="826">
        <f t="shared" si="14"/>
        <v>780.9687386110968</v>
      </c>
      <c r="AB24" s="827">
        <f t="shared" si="30"/>
        <v>8.6638888888888896</v>
      </c>
      <c r="AC24" s="836">
        <v>2.9166666666666701</v>
      </c>
      <c r="AD24" s="827">
        <f t="shared" si="15"/>
        <v>5.74722222222222</v>
      </c>
      <c r="AF24" s="828">
        <f t="shared" si="28"/>
        <v>0</v>
      </c>
      <c r="AH24" s="826">
        <f t="shared" si="16"/>
        <v>0</v>
      </c>
      <c r="AJ24" s="826">
        <f t="shared" si="17"/>
        <v>3.7895898333332636</v>
      </c>
      <c r="AK24" s="826">
        <f t="shared" si="18"/>
        <v>87.520333022220612</v>
      </c>
      <c r="AL24" s="826">
        <f t="shared" si="18"/>
        <v>780.9687386110968</v>
      </c>
      <c r="AN24" s="834">
        <f t="shared" si="19"/>
        <v>93.91429361657805</v>
      </c>
      <c r="AO24" s="826">
        <f t="shared" si="19"/>
        <v>15583.627203251228</v>
      </c>
      <c r="AP24" s="826">
        <f t="shared" si="19"/>
        <v>82706.812894455259</v>
      </c>
      <c r="AR24" s="834">
        <f t="shared" si="20"/>
        <v>77795126.00310944</v>
      </c>
      <c r="AS24" s="826">
        <f t="shared" si="20"/>
        <v>4082910.3272518218</v>
      </c>
      <c r="AT24" s="826">
        <f t="shared" si="20"/>
        <v>19105273.778619166</v>
      </c>
      <c r="AV24" s="843">
        <f>AR24-D24</f>
        <v>3139156.0031094402</v>
      </c>
      <c r="AW24" s="844">
        <f t="shared" si="21"/>
        <v>22930.327251821756</v>
      </c>
      <c r="AX24" s="845">
        <f t="shared" si="21"/>
        <v>180403.77861916646</v>
      </c>
      <c r="AZ24" s="826">
        <f t="shared" si="22"/>
        <v>3.7895898333332667</v>
      </c>
      <c r="BA24" s="826">
        <f t="shared" si="22"/>
        <v>87.520333022221166</v>
      </c>
      <c r="BB24" s="826">
        <f t="shared" si="22"/>
        <v>780.96873861110362</v>
      </c>
      <c r="BD24" s="829">
        <f t="shared" si="23"/>
        <v>4.2048291692003303E-2</v>
      </c>
      <c r="BE24" s="829">
        <f t="shared" si="23"/>
        <v>5.6478916772551013E-3</v>
      </c>
      <c r="BF24" s="829">
        <f t="shared" si="23"/>
        <v>9.5326297416662431E-3</v>
      </c>
      <c r="BH24" s="829">
        <f t="shared" si="24"/>
        <v>-6.9100849722003255E-2</v>
      </c>
      <c r="BJ24" s="835"/>
    </row>
    <row r="25" spans="1:62" x14ac:dyDescent="0.2">
      <c r="A25" s="825">
        <f t="shared" si="25"/>
        <v>2018</v>
      </c>
      <c r="B25" s="825">
        <f t="shared" si="26"/>
        <v>5</v>
      </c>
      <c r="D25" s="830">
        <v>35758340</v>
      </c>
      <c r="E25" s="830">
        <v>3145740</v>
      </c>
      <c r="F25" s="830">
        <v>17825720</v>
      </c>
      <c r="H25" s="831">
        <v>828991</v>
      </c>
      <c r="I25" s="831">
        <v>261</v>
      </c>
      <c r="J25" s="831">
        <v>232</v>
      </c>
      <c r="L25" s="826">
        <f t="shared" ref="L25:N26" si="31">IF(H25=0,"",D25/(H25))</f>
        <v>43.134774683922984</v>
      </c>
      <c r="M25" s="826">
        <f t="shared" si="31"/>
        <v>12052.643678160919</v>
      </c>
      <c r="N25" s="826">
        <f t="shared" si="31"/>
        <v>76835</v>
      </c>
      <c r="P25" s="827">
        <f t="shared" si="29"/>
        <v>296.66111111111098</v>
      </c>
      <c r="Q25" s="836">
        <v>172.458333333333</v>
      </c>
      <c r="R25" s="827">
        <f t="shared" si="13"/>
        <v>124.20277777777798</v>
      </c>
      <c r="T25" s="828">
        <f t="shared" si="27"/>
        <v>8.4381999999999999E-2</v>
      </c>
      <c r="U25" s="828">
        <f t="shared" si="27"/>
        <v>0</v>
      </c>
      <c r="V25" s="828">
        <f t="shared" si="27"/>
        <v>16.939910000000001</v>
      </c>
      <c r="X25" s="826">
        <f t="shared" ref="X25:Z26" si="32">IF($R25="",0,T25*$R25)</f>
        <v>10.480478794444462</v>
      </c>
      <c r="Y25" s="826">
        <f t="shared" si="32"/>
        <v>0</v>
      </c>
      <c r="Z25" s="826">
        <f t="shared" si="32"/>
        <v>2103.983877305559</v>
      </c>
      <c r="AB25" s="827">
        <f t="shared" si="30"/>
        <v>0.41666666666666702</v>
      </c>
      <c r="AC25" s="836">
        <v>0</v>
      </c>
      <c r="AD25" s="827">
        <f t="shared" si="15"/>
        <v>0.41666666666666702</v>
      </c>
      <c r="AF25" s="828">
        <f t="shared" si="28"/>
        <v>0</v>
      </c>
      <c r="AH25" s="826">
        <f t="shared" si="16"/>
        <v>0</v>
      </c>
      <c r="AJ25" s="826">
        <f t="shared" si="17"/>
        <v>10.480478794444462</v>
      </c>
      <c r="AK25" s="826">
        <f t="shared" ref="AK25:AL26" si="33">Y25</f>
        <v>0</v>
      </c>
      <c r="AL25" s="826">
        <f t="shared" si="33"/>
        <v>2103.983877305559</v>
      </c>
      <c r="AN25" s="834">
        <f t="shared" ref="AN25:AP26" si="34">IF(L25="","",AJ25+L25)</f>
        <v>53.61525347836745</v>
      </c>
      <c r="AO25" s="826">
        <f t="shared" si="34"/>
        <v>12052.643678160919</v>
      </c>
      <c r="AP25" s="826">
        <f t="shared" si="34"/>
        <v>78938.983877305553</v>
      </c>
      <c r="AR25" s="834">
        <f t="shared" ref="AR25:AT26" si="35">IF(AN25="",0,AN25*H25)</f>
        <v>44446562.596285313</v>
      </c>
      <c r="AS25" s="826">
        <f t="shared" si="35"/>
        <v>3145740</v>
      </c>
      <c r="AT25" s="826">
        <f t="shared" si="35"/>
        <v>18313844.259534888</v>
      </c>
      <c r="AV25" s="843">
        <f t="shared" ref="AV25:AX26" si="36">AR25-D25</f>
        <v>8688222.5962853134</v>
      </c>
      <c r="AW25" s="844">
        <f t="shared" si="36"/>
        <v>0</v>
      </c>
      <c r="AX25" s="845">
        <f t="shared" si="36"/>
        <v>488124.25953488797</v>
      </c>
      <c r="AZ25" s="826">
        <f t="shared" ref="AZ25:BB26" si="37">IF(AN25="",0,AN25-L25)</f>
        <v>10.480478794444466</v>
      </c>
      <c r="BA25" s="826">
        <f t="shared" si="37"/>
        <v>0</v>
      </c>
      <c r="BB25" s="826">
        <f t="shared" si="37"/>
        <v>2103.9838773055526</v>
      </c>
      <c r="BD25" s="829">
        <f t="shared" ref="BD25:BF26" si="38">IF(AR25=0,0,AR25/D25-1)</f>
        <v>0.24297052369559968</v>
      </c>
      <c r="BE25" s="829">
        <f t="shared" si="38"/>
        <v>0</v>
      </c>
      <c r="BF25" s="829">
        <f t="shared" si="38"/>
        <v>2.7383144104972335E-2</v>
      </c>
      <c r="BH25" s="829">
        <f t="shared" si="24"/>
        <v>-0.41866888893050513</v>
      </c>
      <c r="BJ25" s="835"/>
    </row>
    <row r="26" spans="1:62" x14ac:dyDescent="0.2">
      <c r="A26" s="825">
        <f t="shared" si="25"/>
        <v>2018</v>
      </c>
      <c r="B26" s="825">
        <f t="shared" si="26"/>
        <v>6</v>
      </c>
      <c r="D26" s="830">
        <v>31916550</v>
      </c>
      <c r="E26" s="830">
        <v>2394950</v>
      </c>
      <c r="F26" s="830">
        <v>16729740</v>
      </c>
      <c r="H26" s="831">
        <v>829224</v>
      </c>
      <c r="I26" s="831">
        <v>260</v>
      </c>
      <c r="J26" s="831">
        <v>237</v>
      </c>
      <c r="L26" s="826">
        <f t="shared" si="31"/>
        <v>38.489660212439581</v>
      </c>
      <c r="M26" s="826">
        <f t="shared" si="31"/>
        <v>9211.3461538461543</v>
      </c>
      <c r="N26" s="826">
        <f t="shared" si="31"/>
        <v>70589.620253164554</v>
      </c>
      <c r="P26" s="827">
        <f t="shared" si="29"/>
        <v>162.50833333333301</v>
      </c>
      <c r="Q26" s="836">
        <v>124.833333333333</v>
      </c>
      <c r="R26" s="827">
        <f t="shared" si="13"/>
        <v>37.675000000000011</v>
      </c>
      <c r="T26" s="828">
        <f t="shared" si="27"/>
        <v>5.4715E-2</v>
      </c>
      <c r="U26" s="828">
        <f t="shared" si="27"/>
        <v>0</v>
      </c>
      <c r="V26" s="828">
        <f t="shared" si="27"/>
        <v>14.62228</v>
      </c>
      <c r="X26" s="826">
        <f t="shared" si="32"/>
        <v>2.0613876250000005</v>
      </c>
      <c r="Y26" s="826">
        <f t="shared" si="32"/>
        <v>0</v>
      </c>
      <c r="Z26" s="826">
        <f t="shared" si="32"/>
        <v>550.89439900000013</v>
      </c>
      <c r="AB26" s="827">
        <f t="shared" si="30"/>
        <v>0</v>
      </c>
      <c r="AC26" s="836">
        <v>0</v>
      </c>
      <c r="AD26" s="827">
        <f t="shared" si="15"/>
        <v>0</v>
      </c>
      <c r="AF26" s="828">
        <f t="shared" si="28"/>
        <v>0</v>
      </c>
      <c r="AH26" s="826">
        <f t="shared" si="16"/>
        <v>0</v>
      </c>
      <c r="AJ26" s="826">
        <f t="shared" si="17"/>
        <v>2.0613876250000005</v>
      </c>
      <c r="AK26" s="826">
        <f t="shared" si="33"/>
        <v>0</v>
      </c>
      <c r="AL26" s="826">
        <f t="shared" si="33"/>
        <v>550.89439900000013</v>
      </c>
      <c r="AN26" s="834">
        <f t="shared" si="34"/>
        <v>40.551047837439583</v>
      </c>
      <c r="AO26" s="826">
        <f t="shared" si="34"/>
        <v>9211.3461538461543</v>
      </c>
      <c r="AP26" s="826">
        <f t="shared" si="34"/>
        <v>71140.514652164551</v>
      </c>
      <c r="AR26" s="834">
        <f t="shared" si="35"/>
        <v>33625902.091953002</v>
      </c>
      <c r="AS26" s="826">
        <f t="shared" si="35"/>
        <v>2394950</v>
      </c>
      <c r="AT26" s="826">
        <f t="shared" si="35"/>
        <v>16860301.972562999</v>
      </c>
      <c r="AV26" s="843">
        <f t="shared" si="36"/>
        <v>1709352.0919530019</v>
      </c>
      <c r="AW26" s="844">
        <f t="shared" si="36"/>
        <v>0</v>
      </c>
      <c r="AX26" s="845">
        <f t="shared" si="36"/>
        <v>130561.97256299853</v>
      </c>
      <c r="AZ26" s="826">
        <f t="shared" si="37"/>
        <v>2.0613876250000018</v>
      </c>
      <c r="BA26" s="826">
        <f t="shared" si="37"/>
        <v>0</v>
      </c>
      <c r="BB26" s="826">
        <f t="shared" si="37"/>
        <v>550.89439899999707</v>
      </c>
      <c r="BD26" s="829">
        <f t="shared" si="38"/>
        <v>5.3556919277083503E-2</v>
      </c>
      <c r="BE26" s="829">
        <f t="shared" si="38"/>
        <v>0</v>
      </c>
      <c r="BF26" s="829">
        <f t="shared" si="38"/>
        <v>7.8041841990967864E-3</v>
      </c>
      <c r="BH26" s="829">
        <f t="shared" si="24"/>
        <v>-0.23183426490949233</v>
      </c>
      <c r="BJ26" s="835"/>
    </row>
    <row r="27" spans="1:62" x14ac:dyDescent="0.2">
      <c r="A27" s="825">
        <f t="shared" si="25"/>
        <v>2018</v>
      </c>
      <c r="B27" s="825">
        <f t="shared" si="26"/>
        <v>7</v>
      </c>
      <c r="D27" s="830"/>
      <c r="E27" s="830"/>
      <c r="F27" s="830"/>
      <c r="H27" s="831"/>
      <c r="I27" s="831"/>
      <c r="J27" s="831"/>
      <c r="P27" s="827">
        <f t="shared" si="29"/>
        <v>57.0138888888889</v>
      </c>
      <c r="Q27" s="836"/>
      <c r="T27" s="828"/>
      <c r="U27" s="828"/>
      <c r="V27" s="828"/>
      <c r="X27" s="826"/>
      <c r="Y27" s="826"/>
      <c r="Z27" s="826"/>
      <c r="AB27" s="827">
        <f t="shared" si="30"/>
        <v>0</v>
      </c>
      <c r="AC27" s="836"/>
      <c r="AD27" s="827" t="str">
        <f t="shared" si="15"/>
        <v/>
      </c>
      <c r="AF27" s="828"/>
      <c r="AJ27" s="826"/>
      <c r="AK27" s="826"/>
      <c r="AL27" s="826"/>
      <c r="AN27" s="834"/>
      <c r="AO27" s="826"/>
      <c r="AP27" s="826"/>
      <c r="AR27" s="834"/>
      <c r="AS27" s="826"/>
      <c r="AT27" s="826"/>
      <c r="AV27" s="844"/>
      <c r="AW27" s="844"/>
      <c r="AX27" s="844"/>
      <c r="AZ27" s="826"/>
      <c r="BA27" s="826"/>
      <c r="BB27" s="826"/>
      <c r="BD27" s="829"/>
      <c r="BE27" s="829"/>
      <c r="BF27" s="829"/>
      <c r="BH27" s="829"/>
      <c r="BJ27" s="835"/>
    </row>
    <row r="28" spans="1:62" x14ac:dyDescent="0.2">
      <c r="A28" s="825">
        <f t="shared" si="25"/>
        <v>2018</v>
      </c>
      <c r="B28" s="825">
        <f t="shared" si="26"/>
        <v>8</v>
      </c>
      <c r="D28" s="830"/>
      <c r="E28" s="830"/>
      <c r="F28" s="830"/>
      <c r="H28" s="831"/>
      <c r="I28" s="831"/>
      <c r="J28" s="831"/>
      <c r="P28" s="827">
        <f t="shared" si="29"/>
        <v>47.509722222222202</v>
      </c>
      <c r="Q28" s="836"/>
      <c r="T28" s="828"/>
      <c r="U28" s="828"/>
      <c r="V28" s="828"/>
      <c r="X28" s="826"/>
      <c r="Y28" s="826"/>
      <c r="Z28" s="826"/>
      <c r="AB28" s="827">
        <f t="shared" si="30"/>
        <v>0</v>
      </c>
      <c r="AC28" s="836"/>
      <c r="AD28" s="827" t="str">
        <f t="shared" si="15"/>
        <v/>
      </c>
      <c r="AF28" s="828"/>
      <c r="AJ28" s="826"/>
      <c r="AK28" s="826"/>
      <c r="AL28" s="826"/>
      <c r="AN28" s="834"/>
      <c r="AO28" s="826"/>
      <c r="AP28" s="826"/>
      <c r="AR28" s="834"/>
      <c r="AS28" s="826"/>
      <c r="AT28" s="826"/>
      <c r="AV28" s="844"/>
      <c r="AW28" s="844"/>
      <c r="AX28" s="844"/>
      <c r="AZ28" s="826"/>
      <c r="BA28" s="826"/>
      <c r="BB28" s="826"/>
      <c r="BD28" s="829"/>
      <c r="BE28" s="829"/>
      <c r="BF28" s="829"/>
      <c r="BH28" s="829"/>
      <c r="BJ28" s="835"/>
    </row>
    <row r="29" spans="1:62" x14ac:dyDescent="0.2">
      <c r="A29" s="825">
        <f t="shared" si="25"/>
        <v>2018</v>
      </c>
      <c r="B29" s="825">
        <f t="shared" si="26"/>
        <v>9</v>
      </c>
      <c r="D29" s="830"/>
      <c r="E29" s="830"/>
      <c r="F29" s="830"/>
      <c r="H29" s="831"/>
      <c r="I29" s="831"/>
      <c r="J29" s="831"/>
      <c r="P29" s="827">
        <f t="shared" si="29"/>
        <v>136.759722222222</v>
      </c>
      <c r="Q29" s="836"/>
      <c r="T29" s="828"/>
      <c r="U29" s="828"/>
      <c r="V29" s="828"/>
      <c r="X29" s="826"/>
      <c r="Y29" s="826"/>
      <c r="Z29" s="826"/>
      <c r="AB29" s="827">
        <f t="shared" si="30"/>
        <v>0</v>
      </c>
      <c r="AC29" s="836"/>
      <c r="AD29" s="827" t="str">
        <f t="shared" si="15"/>
        <v/>
      </c>
      <c r="AF29" s="828"/>
      <c r="AJ29" s="826"/>
      <c r="AK29" s="826"/>
      <c r="AL29" s="826"/>
      <c r="AN29" s="834"/>
      <c r="AO29" s="826"/>
      <c r="AP29" s="826"/>
      <c r="AR29" s="834"/>
      <c r="AS29" s="826"/>
      <c r="AT29" s="826"/>
      <c r="AV29" s="844"/>
      <c r="AW29" s="844"/>
      <c r="AX29" s="844"/>
      <c r="AZ29" s="826"/>
      <c r="BA29" s="826"/>
      <c r="BB29" s="826"/>
      <c r="BD29" s="829"/>
      <c r="BE29" s="829"/>
      <c r="BF29" s="829"/>
      <c r="BH29" s="829"/>
      <c r="BJ29" s="835"/>
    </row>
    <row r="30" spans="1:62" x14ac:dyDescent="0.2">
      <c r="A30" s="825">
        <f t="shared" si="25"/>
        <v>2018</v>
      </c>
      <c r="B30" s="825">
        <f t="shared" si="26"/>
        <v>10</v>
      </c>
      <c r="D30" s="830"/>
      <c r="E30" s="830"/>
      <c r="F30" s="830"/>
      <c r="H30" s="831"/>
      <c r="I30" s="831"/>
      <c r="J30" s="831"/>
      <c r="P30" s="827">
        <f t="shared" si="29"/>
        <v>386.027777777778</v>
      </c>
      <c r="Q30" s="836"/>
      <c r="T30" s="828"/>
      <c r="U30" s="828"/>
      <c r="V30" s="828"/>
      <c r="X30" s="826"/>
      <c r="Y30" s="826"/>
      <c r="Z30" s="826"/>
      <c r="AB30" s="827">
        <f t="shared" si="30"/>
        <v>2.8333333333333299</v>
      </c>
      <c r="AC30" s="836"/>
      <c r="AD30" s="827" t="str">
        <f t="shared" si="15"/>
        <v/>
      </c>
      <c r="AF30" s="828"/>
      <c r="AJ30" s="826"/>
      <c r="AK30" s="826"/>
      <c r="AL30" s="826"/>
      <c r="AN30" s="834"/>
      <c r="AO30" s="826"/>
      <c r="AP30" s="826"/>
      <c r="AR30" s="834"/>
      <c r="AS30" s="826"/>
      <c r="AT30" s="826"/>
      <c r="AV30" s="844"/>
      <c r="AW30" s="844"/>
      <c r="AX30" s="844"/>
      <c r="AZ30" s="826"/>
      <c r="BA30" s="826"/>
      <c r="BB30" s="826"/>
      <c r="BD30" s="829"/>
      <c r="BE30" s="829"/>
      <c r="BF30" s="829"/>
      <c r="BH30" s="829"/>
      <c r="BJ30" s="835"/>
    </row>
    <row r="31" spans="1:62" x14ac:dyDescent="0.2">
      <c r="A31" s="825">
        <f t="shared" si="25"/>
        <v>2018</v>
      </c>
      <c r="B31" s="825">
        <f t="shared" si="26"/>
        <v>11</v>
      </c>
      <c r="D31" s="830"/>
      <c r="E31" s="830"/>
      <c r="F31" s="830"/>
      <c r="H31" s="831"/>
      <c r="I31" s="831"/>
      <c r="J31" s="831"/>
      <c r="P31" s="827">
        <f t="shared" si="29"/>
        <v>583.59097222222204</v>
      </c>
      <c r="Q31" s="836"/>
      <c r="T31" s="828"/>
      <c r="U31" s="828"/>
      <c r="V31" s="828"/>
      <c r="X31" s="826"/>
      <c r="Y31" s="826"/>
      <c r="Z31" s="826"/>
      <c r="AB31" s="827">
        <f t="shared" si="30"/>
        <v>54.622222222222199</v>
      </c>
      <c r="AC31" s="836"/>
      <c r="AD31" s="827" t="str">
        <f t="shared" si="15"/>
        <v/>
      </c>
      <c r="AF31" s="828"/>
      <c r="AJ31" s="826"/>
      <c r="AK31" s="826"/>
      <c r="AL31" s="826"/>
      <c r="AN31" s="834"/>
      <c r="AO31" s="826"/>
      <c r="AP31" s="826"/>
      <c r="AR31" s="834"/>
      <c r="AS31" s="826"/>
      <c r="AT31" s="826"/>
      <c r="AV31" s="844"/>
      <c r="AW31" s="844"/>
      <c r="AX31" s="844"/>
      <c r="AZ31" s="826"/>
      <c r="BA31" s="826"/>
      <c r="BB31" s="826"/>
      <c r="BD31" s="829"/>
      <c r="BE31" s="829"/>
      <c r="BF31" s="829"/>
      <c r="BH31" s="829"/>
      <c r="BJ31" s="835"/>
    </row>
    <row r="32" spans="1:62" x14ac:dyDescent="0.2">
      <c r="A32" s="825">
        <f t="shared" si="25"/>
        <v>2018</v>
      </c>
      <c r="B32" s="825">
        <f t="shared" si="26"/>
        <v>12</v>
      </c>
      <c r="H32" s="831"/>
      <c r="I32" s="831"/>
      <c r="J32" s="831"/>
      <c r="P32" s="827">
        <f t="shared" si="29"/>
        <v>747.57777777777801</v>
      </c>
      <c r="Q32" s="836"/>
      <c r="AB32" s="827">
        <f t="shared" si="30"/>
        <v>148.73472222222199</v>
      </c>
      <c r="AD32" s="827" t="str">
        <f t="shared" si="15"/>
        <v/>
      </c>
      <c r="BJ32" s="835"/>
    </row>
    <row r="33" spans="1:62" x14ac:dyDescent="0.2">
      <c r="BJ33" s="835"/>
    </row>
    <row r="34" spans="1:62" x14ac:dyDescent="0.2">
      <c r="A34" s="837" t="s">
        <v>589</v>
      </c>
      <c r="B34" s="825"/>
      <c r="D34" s="838"/>
      <c r="BJ34" s="835"/>
    </row>
    <row r="35" spans="1:62" x14ac:dyDescent="0.2">
      <c r="A35" s="839" t="s">
        <v>590</v>
      </c>
      <c r="B35" s="825"/>
      <c r="D35" s="838"/>
      <c r="BJ35" s="835"/>
    </row>
    <row r="36" spans="1:62" x14ac:dyDescent="0.2">
      <c r="BJ36" s="835"/>
    </row>
    <row r="37" spans="1:62" x14ac:dyDescent="0.2">
      <c r="BJ37" s="835"/>
    </row>
    <row r="38" spans="1:62" x14ac:dyDescent="0.2">
      <c r="BJ38" s="835"/>
    </row>
    <row r="39" spans="1:62" x14ac:dyDescent="0.2">
      <c r="BJ39" s="835"/>
    </row>
    <row r="40" spans="1:62" x14ac:dyDescent="0.2">
      <c r="BJ40" s="835"/>
    </row>
    <row r="41" spans="1:62" x14ac:dyDescent="0.2">
      <c r="BJ41" s="835"/>
    </row>
    <row r="42" spans="1:62" x14ac:dyDescent="0.2">
      <c r="BJ42" s="835"/>
    </row>
    <row r="43" spans="1:62" x14ac:dyDescent="0.2">
      <c r="BJ43" s="835"/>
    </row>
    <row r="44" spans="1:62" x14ac:dyDescent="0.2">
      <c r="BJ44" s="835"/>
    </row>
    <row r="45" spans="1:62" x14ac:dyDescent="0.2">
      <c r="BJ45" s="835"/>
    </row>
    <row r="46" spans="1:62" x14ac:dyDescent="0.2">
      <c r="BJ46" s="835"/>
    </row>
    <row r="47" spans="1:62" x14ac:dyDescent="0.2">
      <c r="BJ47" s="835"/>
    </row>
    <row r="48" spans="1:62" x14ac:dyDescent="0.2">
      <c r="BJ48" s="835"/>
    </row>
    <row r="49" spans="48:62" x14ac:dyDescent="0.2">
      <c r="BJ49" s="835"/>
    </row>
    <row r="50" spans="48:62" x14ac:dyDescent="0.2">
      <c r="AV50" s="826"/>
      <c r="AW50" s="826"/>
      <c r="AX50" s="826"/>
      <c r="BJ50" s="835"/>
    </row>
    <row r="51" spans="48:62" x14ac:dyDescent="0.2">
      <c r="AV51" s="826"/>
      <c r="AW51" s="826"/>
      <c r="AX51" s="826"/>
      <c r="BJ51" s="835"/>
    </row>
    <row r="52" spans="48:62" x14ac:dyDescent="0.2">
      <c r="AV52" s="826"/>
      <c r="AW52" s="826"/>
      <c r="AX52" s="826"/>
      <c r="BJ52" s="835"/>
    </row>
    <row r="53" spans="48:62" x14ac:dyDescent="0.2">
      <c r="AV53" s="826"/>
      <c r="AW53" s="826"/>
      <c r="AX53" s="826"/>
      <c r="BJ53" s="835"/>
    </row>
    <row r="54" spans="48:62" x14ac:dyDescent="0.2">
      <c r="AV54" s="826"/>
      <c r="AW54" s="826"/>
      <c r="AX54" s="826"/>
      <c r="BJ54" s="835"/>
    </row>
    <row r="55" spans="48:62" x14ac:dyDescent="0.2">
      <c r="AV55" s="826"/>
      <c r="AW55" s="826"/>
      <c r="AX55" s="826"/>
      <c r="BJ55" s="835"/>
    </row>
    <row r="56" spans="48:62" x14ac:dyDescent="0.2">
      <c r="AV56" s="826"/>
      <c r="AW56" s="826"/>
      <c r="AX56" s="826"/>
    </row>
    <row r="57" spans="48:62" x14ac:dyDescent="0.2">
      <c r="AV57" s="826"/>
      <c r="AW57" s="826"/>
      <c r="AX57" s="826"/>
    </row>
    <row r="58" spans="48:62" x14ac:dyDescent="0.2">
      <c r="AV58" s="826"/>
      <c r="AW58" s="826"/>
      <c r="AX58" s="826"/>
    </row>
    <row r="59" spans="48:62" x14ac:dyDescent="0.2">
      <c r="AV59" s="826"/>
      <c r="AW59" s="826"/>
      <c r="AX59" s="826"/>
    </row>
    <row r="60" spans="48:62" x14ac:dyDescent="0.2">
      <c r="AV60" s="826"/>
      <c r="AW60" s="826"/>
      <c r="AX60" s="826"/>
    </row>
    <row r="61" spans="48:62" x14ac:dyDescent="0.2">
      <c r="AV61" s="826"/>
      <c r="AW61" s="826"/>
      <c r="AX61" s="826"/>
    </row>
  </sheetData>
  <mergeCells count="17">
    <mergeCell ref="D3:N3"/>
    <mergeCell ref="P3:Z3"/>
    <mergeCell ref="AB3:AH3"/>
    <mergeCell ref="AJ3:AL3"/>
    <mergeCell ref="D4:F4"/>
    <mergeCell ref="H4:J4"/>
    <mergeCell ref="L4:N4"/>
    <mergeCell ref="T4:V4"/>
    <mergeCell ref="X4:Z4"/>
    <mergeCell ref="AZ4:BB4"/>
    <mergeCell ref="BD4:BF4"/>
    <mergeCell ref="AN3:AT3"/>
    <mergeCell ref="AV3:BB3"/>
    <mergeCell ref="AJ4:AL4"/>
    <mergeCell ref="AN4:AP4"/>
    <mergeCell ref="AR4:AT4"/>
    <mergeCell ref="AV4:AX4"/>
  </mergeCells>
  <pageMargins left="0.7" right="0.7" top="0.75" bottom="0.75" header="0.3" footer="0.3"/>
  <pageSetup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71"/>
  <sheetViews>
    <sheetView zoomScaleNormal="100" workbookViewId="0">
      <selection activeCell="D38" sqref="D38"/>
    </sheetView>
  </sheetViews>
  <sheetFormatPr defaultRowHeight="12.75" x14ac:dyDescent="0.2"/>
  <cols>
    <col min="1" max="1" width="2.42578125" customWidth="1"/>
    <col min="2" max="2" width="4.85546875" customWidth="1"/>
    <col min="3" max="3" width="40.7109375" customWidth="1"/>
    <col min="4" max="4" width="16.28515625" style="30" customWidth="1"/>
    <col min="5" max="7" width="16.28515625" customWidth="1"/>
    <col min="8" max="9" width="9.140625" customWidth="1"/>
    <col min="10" max="10" width="11.28515625" bestFit="1" customWidth="1"/>
    <col min="11" max="11" width="9.140625" customWidth="1"/>
    <col min="12" max="14" width="9.140625" style="30" customWidth="1"/>
    <col min="15" max="18" width="9.140625" customWidth="1"/>
    <col min="19" max="24" width="9.140625" style="50" customWidth="1"/>
    <col min="25" max="25" width="9.140625" customWidth="1"/>
    <col min="26" max="26" width="9.140625" style="502" customWidth="1"/>
    <col min="27" max="27" width="9.140625" customWidth="1"/>
  </cols>
  <sheetData>
    <row r="1" spans="1:26" x14ac:dyDescent="0.2">
      <c r="A1" s="61"/>
      <c r="B1" s="846" t="s">
        <v>1</v>
      </c>
      <c r="C1" s="846"/>
      <c r="D1" s="846"/>
      <c r="E1" s="846"/>
      <c r="F1" s="846"/>
      <c r="G1" s="846"/>
      <c r="H1" s="90"/>
      <c r="I1" s="71"/>
      <c r="J1" s="90"/>
      <c r="K1" s="90"/>
      <c r="L1"/>
      <c r="M1" s="502"/>
      <c r="N1"/>
      <c r="S1"/>
      <c r="T1"/>
      <c r="U1"/>
      <c r="V1"/>
      <c r="W1"/>
      <c r="X1"/>
      <c r="Z1"/>
    </row>
    <row r="2" spans="1:26" x14ac:dyDescent="0.2">
      <c r="A2" s="61"/>
      <c r="B2" s="846" t="s">
        <v>397</v>
      </c>
      <c r="C2" s="846"/>
      <c r="D2" s="846"/>
      <c r="E2" s="846"/>
      <c r="F2" s="846"/>
      <c r="G2" s="846"/>
      <c r="H2" s="90"/>
      <c r="I2" s="71"/>
      <c r="J2" s="90"/>
      <c r="K2" s="90"/>
      <c r="L2"/>
      <c r="M2" s="502"/>
      <c r="N2"/>
      <c r="S2"/>
      <c r="T2"/>
      <c r="U2"/>
      <c r="V2"/>
      <c r="W2"/>
      <c r="X2"/>
      <c r="Z2"/>
    </row>
    <row r="3" spans="1:26" x14ac:dyDescent="0.2">
      <c r="B3" s="846" t="s">
        <v>548</v>
      </c>
      <c r="C3" s="846"/>
      <c r="D3" s="846"/>
      <c r="E3" s="846"/>
      <c r="F3" s="846"/>
      <c r="G3" s="846"/>
      <c r="H3" s="90"/>
      <c r="I3" s="71"/>
      <c r="J3" s="90"/>
      <c r="K3" s="90"/>
      <c r="L3"/>
      <c r="M3" s="502"/>
      <c r="N3"/>
      <c r="S3"/>
      <c r="T3"/>
      <c r="U3"/>
      <c r="V3"/>
      <c r="W3"/>
      <c r="X3"/>
      <c r="Z3"/>
    </row>
    <row r="4" spans="1:26" x14ac:dyDescent="0.2">
      <c r="B4" s="846" t="s">
        <v>542</v>
      </c>
      <c r="C4" s="846"/>
      <c r="D4" s="846"/>
      <c r="E4" s="846"/>
      <c r="F4" s="846"/>
      <c r="G4" s="846"/>
      <c r="H4" s="90"/>
      <c r="I4" s="71"/>
      <c r="J4" s="90"/>
      <c r="K4" s="90"/>
      <c r="L4"/>
      <c r="M4" s="502"/>
      <c r="N4"/>
      <c r="S4"/>
      <c r="T4"/>
      <c r="U4"/>
      <c r="V4"/>
      <c r="W4"/>
      <c r="X4"/>
      <c r="Z4"/>
    </row>
    <row r="5" spans="1:26" x14ac:dyDescent="0.2">
      <c r="B5" s="61"/>
      <c r="C5" s="61"/>
      <c r="D5" s="61"/>
      <c r="E5" s="71"/>
      <c r="F5" s="71"/>
      <c r="G5" s="71"/>
      <c r="H5" s="71"/>
      <c r="I5" s="71"/>
      <c r="J5" s="71"/>
      <c r="K5" s="71"/>
      <c r="L5"/>
      <c r="M5" s="502"/>
      <c r="N5"/>
      <c r="S5"/>
      <c r="T5"/>
      <c r="U5"/>
      <c r="V5"/>
      <c r="W5"/>
      <c r="X5"/>
      <c r="Z5"/>
    </row>
    <row r="6" spans="1:26" x14ac:dyDescent="0.2">
      <c r="B6" s="69"/>
      <c r="D6" s="60"/>
      <c r="E6" s="71"/>
      <c r="F6" s="71"/>
      <c r="G6" s="174"/>
      <c r="H6" s="174"/>
      <c r="I6" s="174"/>
      <c r="J6" s="50"/>
      <c r="K6" s="71"/>
      <c r="L6"/>
      <c r="M6" s="502"/>
      <c r="N6"/>
      <c r="S6"/>
      <c r="T6"/>
      <c r="U6"/>
      <c r="V6"/>
      <c r="W6"/>
      <c r="X6"/>
      <c r="Z6"/>
    </row>
    <row r="7" spans="1:26" x14ac:dyDescent="0.2">
      <c r="C7" s="30"/>
      <c r="D7" s="27" t="s">
        <v>342</v>
      </c>
      <c r="E7" s="27" t="s">
        <v>342</v>
      </c>
      <c r="F7" s="27" t="s">
        <v>342</v>
      </c>
      <c r="G7" s="27" t="s">
        <v>564</v>
      </c>
      <c r="H7" s="50"/>
      <c r="I7" s="50"/>
      <c r="J7" s="50"/>
      <c r="K7" s="50"/>
      <c r="L7"/>
      <c r="M7" s="502"/>
      <c r="N7"/>
      <c r="S7"/>
      <c r="T7"/>
      <c r="U7"/>
      <c r="V7"/>
      <c r="W7"/>
      <c r="X7"/>
      <c r="Z7"/>
    </row>
    <row r="8" spans="1:26" x14ac:dyDescent="0.2">
      <c r="C8" s="41"/>
      <c r="D8" s="27" t="s">
        <v>343</v>
      </c>
      <c r="E8" s="38" t="s">
        <v>343</v>
      </c>
      <c r="F8" s="38" t="s">
        <v>343</v>
      </c>
      <c r="G8" s="38" t="s">
        <v>342</v>
      </c>
      <c r="H8" s="50"/>
      <c r="I8" s="50"/>
      <c r="J8" s="50"/>
      <c r="K8" s="27"/>
      <c r="L8" s="50"/>
      <c r="M8" s="399"/>
      <c r="N8" s="90"/>
      <c r="O8" s="50"/>
      <c r="S8"/>
      <c r="T8"/>
      <c r="U8"/>
      <c r="V8"/>
      <c r="W8"/>
      <c r="X8"/>
      <c r="Z8"/>
    </row>
    <row r="9" spans="1:26" ht="13.5" thickBot="1" x14ac:dyDescent="0.25">
      <c r="B9" s="27"/>
      <c r="C9" s="41"/>
      <c r="D9" s="27" t="s">
        <v>560</v>
      </c>
      <c r="E9" s="579" t="s">
        <v>169</v>
      </c>
      <c r="F9" s="652" t="s">
        <v>556</v>
      </c>
      <c r="G9" s="652" t="s">
        <v>343</v>
      </c>
      <c r="H9" s="50"/>
      <c r="I9" s="50"/>
      <c r="J9" s="50"/>
      <c r="K9" s="27"/>
      <c r="L9" s="50"/>
      <c r="M9" s="579"/>
      <c r="N9" s="673"/>
      <c r="O9" s="50"/>
      <c r="Q9" s="30"/>
      <c r="S9"/>
      <c r="T9"/>
      <c r="U9"/>
      <c r="V9"/>
      <c r="W9"/>
      <c r="X9"/>
      <c r="Z9"/>
    </row>
    <row r="10" spans="1:26" x14ac:dyDescent="0.2">
      <c r="B10" s="16" t="s">
        <v>112</v>
      </c>
      <c r="C10" s="16" t="s">
        <v>117</v>
      </c>
      <c r="D10" s="16" t="s">
        <v>559</v>
      </c>
      <c r="E10" s="764" t="s">
        <v>562</v>
      </c>
      <c r="F10" s="764" t="s">
        <v>563</v>
      </c>
      <c r="G10" s="764" t="s">
        <v>111</v>
      </c>
      <c r="H10" s="50"/>
      <c r="I10" s="50"/>
      <c r="J10" s="674" t="s">
        <v>114</v>
      </c>
      <c r="K10" s="27"/>
      <c r="L10" s="41"/>
      <c r="M10" s="41"/>
      <c r="N10" s="41"/>
      <c r="O10" s="50"/>
      <c r="Q10" s="30"/>
      <c r="S10"/>
      <c r="T10"/>
      <c r="U10"/>
      <c r="V10"/>
      <c r="W10"/>
      <c r="X10"/>
      <c r="Z10"/>
    </row>
    <row r="11" spans="1:26" x14ac:dyDescent="0.2">
      <c r="B11" s="27"/>
      <c r="C11" s="27" t="s">
        <v>173</v>
      </c>
      <c r="D11" s="41" t="s">
        <v>174</v>
      </c>
      <c r="E11" s="652" t="s">
        <v>175</v>
      </c>
      <c r="F11" s="652" t="s">
        <v>176</v>
      </c>
      <c r="G11" s="193" t="s">
        <v>557</v>
      </c>
      <c r="H11" s="50"/>
      <c r="I11" s="50"/>
      <c r="J11" s="675"/>
      <c r="K11" s="27"/>
      <c r="L11" s="41"/>
      <c r="M11" s="579"/>
      <c r="N11" s="673"/>
      <c r="O11" s="50"/>
      <c r="S11"/>
      <c r="T11"/>
      <c r="U11"/>
      <c r="V11"/>
      <c r="W11"/>
      <c r="X11"/>
      <c r="Z11"/>
    </row>
    <row r="12" spans="1:26" x14ac:dyDescent="0.2">
      <c r="B12" s="27">
        <v>1</v>
      </c>
      <c r="C12" s="188" t="s">
        <v>183</v>
      </c>
      <c r="D12" s="653">
        <f>SUM('(R) Restated Norm Revenue'!R995:R997)</f>
        <v>311324127.60569382</v>
      </c>
      <c r="E12" s="653">
        <f>SUM('(R) Restated Norm Revenue'!R1013:R1015)</f>
        <v>197008983.53210199</v>
      </c>
      <c r="F12" s="653">
        <f>SUM('(R) Restated Norm Revenue'!R1031:R1033)</f>
        <v>6760922.5757735744</v>
      </c>
      <c r="G12" s="659">
        <f>SUM(D12:F12)</f>
        <v>515094033.7135694</v>
      </c>
      <c r="H12" s="50"/>
      <c r="I12" s="50"/>
      <c r="J12" s="676">
        <f>G12-SUM('(R) Restated Norm Revenue'!R1049:R1051)</f>
        <v>0</v>
      </c>
      <c r="K12" s="84"/>
      <c r="L12" s="66"/>
      <c r="M12" s="66"/>
      <c r="N12" s="66"/>
      <c r="O12" s="50"/>
      <c r="S12"/>
      <c r="T12"/>
      <c r="U12"/>
      <c r="V12"/>
      <c r="W12"/>
      <c r="X12"/>
      <c r="Z12"/>
    </row>
    <row r="13" spans="1:26" x14ac:dyDescent="0.2">
      <c r="B13" s="38">
        <f t="shared" ref="B13:B29" si="0">B12+1</f>
        <v>2</v>
      </c>
      <c r="C13" s="173" t="s">
        <v>154</v>
      </c>
      <c r="D13" s="653">
        <f>'(R) Restated Norm Revenue'!R998</f>
        <v>91578256.92346701</v>
      </c>
      <c r="E13" s="653">
        <f>'(R) Restated Norm Revenue'!R1016</f>
        <v>72863186.380163103</v>
      </c>
      <c r="F13" s="653">
        <f>'(R) Restated Norm Revenue'!R1034</f>
        <v>2487219.4892736003</v>
      </c>
      <c r="G13" s="659">
        <f t="shared" ref="G13:G23" si="1">SUM(D13:F13)</f>
        <v>166928662.79290372</v>
      </c>
      <c r="H13" s="50"/>
      <c r="I13" s="50"/>
      <c r="J13" s="676">
        <f>G13-'(R) Restated Norm Revenue'!R1052</f>
        <v>0</v>
      </c>
      <c r="K13" s="85"/>
      <c r="L13" s="66"/>
      <c r="M13" s="66"/>
      <c r="N13" s="66"/>
      <c r="O13" s="50"/>
      <c r="S13"/>
      <c r="T13"/>
      <c r="U13"/>
      <c r="V13"/>
      <c r="W13"/>
      <c r="X13"/>
      <c r="Z13"/>
    </row>
    <row r="14" spans="1:26" x14ac:dyDescent="0.2">
      <c r="B14" s="38">
        <f t="shared" si="0"/>
        <v>3</v>
      </c>
      <c r="C14" s="80" t="s">
        <v>392</v>
      </c>
      <c r="D14" s="653">
        <f>'(R) Restated Norm Revenue'!R1003</f>
        <v>25885.709759820398</v>
      </c>
      <c r="E14" s="653">
        <f>'(R) Restated Norm Revenue'!R1021</f>
        <v>30.389638999999999</v>
      </c>
      <c r="F14" s="653">
        <f>'(R) Restated Norm Revenue'!R1039</f>
        <v>472.34181760000001</v>
      </c>
      <c r="G14" s="659">
        <f t="shared" si="1"/>
        <v>26388.4412164204</v>
      </c>
      <c r="H14" s="50"/>
      <c r="I14" s="50"/>
      <c r="J14" s="676">
        <f>G14-'(R) Restated Norm Revenue'!R1057</f>
        <v>0</v>
      </c>
      <c r="K14" s="85"/>
      <c r="L14" s="66"/>
      <c r="M14" s="66"/>
      <c r="N14" s="66"/>
      <c r="O14" s="50"/>
      <c r="S14"/>
      <c r="T14"/>
      <c r="U14"/>
      <c r="V14"/>
      <c r="W14"/>
      <c r="X14"/>
      <c r="Z14"/>
    </row>
    <row r="15" spans="1:26" x14ac:dyDescent="0.2">
      <c r="B15" s="38">
        <f t="shared" si="0"/>
        <v>4</v>
      </c>
      <c r="C15" s="188" t="s">
        <v>153</v>
      </c>
      <c r="D15" s="653">
        <f>'(R) Restated Norm Revenue'!R999</f>
        <v>14456233.31830545</v>
      </c>
      <c r="E15" s="653">
        <f>'(R) Restated Norm Revenue'!R1017</f>
        <v>18624424.888310701</v>
      </c>
      <c r="F15" s="653">
        <f>'(R) Restated Norm Revenue'!R1035</f>
        <v>397873.91906574002</v>
      </c>
      <c r="G15" s="659">
        <f t="shared" si="1"/>
        <v>33478532.125681888</v>
      </c>
      <c r="H15" s="50"/>
      <c r="I15" s="50"/>
      <c r="J15" s="676">
        <f>G15-'(R) Restated Norm Revenue'!R1053</f>
        <v>0</v>
      </c>
      <c r="K15" s="85"/>
      <c r="L15" s="66"/>
      <c r="M15" s="66"/>
      <c r="N15" s="66"/>
      <c r="O15" s="50"/>
      <c r="S15"/>
      <c r="T15"/>
      <c r="U15"/>
      <c r="V15"/>
      <c r="W15"/>
      <c r="X15"/>
      <c r="Z15"/>
    </row>
    <row r="16" spans="1:26" x14ac:dyDescent="0.2">
      <c r="B16" s="38">
        <f t="shared" si="0"/>
        <v>5</v>
      </c>
      <c r="C16" s="189" t="s">
        <v>272</v>
      </c>
      <c r="D16" s="653">
        <f>'(R) Restated Norm Revenue'!R1004</f>
        <v>3995567.7266982314</v>
      </c>
      <c r="E16" s="653">
        <f>'(R) Restated Norm Revenue'!R1022</f>
        <v>13477.9746633</v>
      </c>
      <c r="F16" s="653">
        <f>'(R) Restated Norm Revenue'!R1040</f>
        <v>119761.43200818</v>
      </c>
      <c r="G16" s="659">
        <f t="shared" si="1"/>
        <v>4128807.1333697112</v>
      </c>
      <c r="H16" s="50"/>
      <c r="I16" s="50"/>
      <c r="J16" s="676">
        <f>G16-'(R) Restated Norm Revenue'!R1058</f>
        <v>0</v>
      </c>
      <c r="K16" s="85"/>
      <c r="L16" s="66"/>
      <c r="M16" s="66"/>
      <c r="N16" s="66"/>
      <c r="O16" s="50"/>
      <c r="S16"/>
      <c r="T16"/>
      <c r="U16"/>
      <c r="V16"/>
      <c r="W16"/>
      <c r="X16"/>
      <c r="Z16"/>
    </row>
    <row r="17" spans="2:26" x14ac:dyDescent="0.2">
      <c r="B17" s="38">
        <f t="shared" si="0"/>
        <v>6</v>
      </c>
      <c r="C17" s="188" t="s">
        <v>156</v>
      </c>
      <c r="D17" s="653">
        <f>'(R) Restated Norm Revenue'!R1000</f>
        <v>1589956.2565282346</v>
      </c>
      <c r="E17" s="653">
        <f>'(R) Restated Norm Revenue'!R1018</f>
        <v>4494980.4766552001</v>
      </c>
      <c r="F17" s="653">
        <f>'(R) Restated Norm Revenue'!R1036</f>
        <v>53978.783000060008</v>
      </c>
      <c r="G17" s="659">
        <f t="shared" si="1"/>
        <v>6138915.5161834946</v>
      </c>
      <c r="H17" s="50"/>
      <c r="I17" s="50"/>
      <c r="J17" s="676">
        <f>G17-'(R) Restated Norm Revenue'!R1054</f>
        <v>0</v>
      </c>
      <c r="K17" s="85"/>
      <c r="L17" s="66"/>
      <c r="M17" s="66"/>
      <c r="N17" s="66"/>
      <c r="O17" s="50"/>
      <c r="S17"/>
      <c r="T17"/>
      <c r="U17"/>
      <c r="V17"/>
      <c r="W17"/>
      <c r="X17"/>
      <c r="Z17"/>
    </row>
    <row r="18" spans="2:26" x14ac:dyDescent="0.2">
      <c r="B18" s="38">
        <f t="shared" si="0"/>
        <v>7</v>
      </c>
      <c r="C18" s="189" t="s">
        <v>279</v>
      </c>
      <c r="D18" s="653">
        <f>'(R) Restated Norm Revenue'!R1005</f>
        <v>7037315.1964751901</v>
      </c>
      <c r="E18" s="653">
        <f>'(R) Restated Norm Revenue'!R1023</f>
        <v>53607.810984000011</v>
      </c>
      <c r="F18" s="653">
        <f>'(R) Restated Norm Revenue'!R1041</f>
        <v>253488.36336719999</v>
      </c>
      <c r="G18" s="659">
        <f t="shared" si="1"/>
        <v>7344411.3708263896</v>
      </c>
      <c r="H18" s="50"/>
      <c r="I18" s="50"/>
      <c r="J18" s="676">
        <f>G18-'(R) Restated Norm Revenue'!R1059</f>
        <v>0</v>
      </c>
      <c r="K18" s="85"/>
      <c r="L18" s="66"/>
      <c r="M18" s="66"/>
      <c r="N18" s="66"/>
      <c r="O18" s="50"/>
      <c r="S18"/>
      <c r="T18"/>
      <c r="U18"/>
      <c r="V18"/>
      <c r="W18"/>
      <c r="X18"/>
      <c r="Z18"/>
    </row>
    <row r="19" spans="2:26" x14ac:dyDescent="0.2">
      <c r="B19" s="38">
        <f t="shared" si="0"/>
        <v>8</v>
      </c>
      <c r="C19" s="188" t="s">
        <v>157</v>
      </c>
      <c r="D19" s="653">
        <f>'(R) Restated Norm Revenue'!R1001</f>
        <v>1944724.1433509393</v>
      </c>
      <c r="E19" s="653">
        <f>'(R) Restated Norm Revenue'!R1019</f>
        <v>2526653.7291643196</v>
      </c>
      <c r="F19" s="653">
        <f>'(R) Restated Norm Revenue'!R1037</f>
        <v>37795.164449299999</v>
      </c>
      <c r="G19" s="659">
        <f t="shared" si="1"/>
        <v>4509173.036964559</v>
      </c>
      <c r="H19" s="50"/>
      <c r="I19" s="50"/>
      <c r="J19" s="676">
        <f>G19-'(R) Restated Norm Revenue'!R1055</f>
        <v>0</v>
      </c>
      <c r="K19" s="85"/>
      <c r="L19" s="66"/>
      <c r="M19" s="66"/>
      <c r="N19" s="66"/>
      <c r="O19" s="50"/>
      <c r="S19"/>
      <c r="T19"/>
      <c r="U19"/>
      <c r="V19"/>
      <c r="W19"/>
      <c r="X19"/>
      <c r="Z19"/>
    </row>
    <row r="20" spans="2:26" x14ac:dyDescent="0.2">
      <c r="B20" s="38">
        <f t="shared" si="0"/>
        <v>9</v>
      </c>
      <c r="C20" s="80" t="s">
        <v>323</v>
      </c>
      <c r="D20" s="653">
        <f>'(R) Restated Norm Revenue'!R1006</f>
        <v>84408.74029168782</v>
      </c>
      <c r="E20" s="653">
        <f>'(R) Restated Norm Revenue'!R1024</f>
        <v>248.24569000000002</v>
      </c>
      <c r="F20" s="653">
        <f>'(R) Restated Norm Revenue'!R1042</f>
        <v>1471.7423049999998</v>
      </c>
      <c r="G20" s="659">
        <f t="shared" si="1"/>
        <v>86128.728286687809</v>
      </c>
      <c r="H20" s="50"/>
      <c r="I20" s="50"/>
      <c r="J20" s="676">
        <f>G20-'(R) Restated Norm Revenue'!R1060</f>
        <v>0</v>
      </c>
      <c r="K20" s="85"/>
      <c r="L20" s="66"/>
      <c r="M20" s="66"/>
      <c r="N20" s="66"/>
      <c r="O20" s="50"/>
      <c r="S20"/>
      <c r="T20"/>
      <c r="U20"/>
      <c r="V20"/>
      <c r="W20"/>
      <c r="X20"/>
      <c r="Z20"/>
    </row>
    <row r="21" spans="2:26" x14ac:dyDescent="0.2">
      <c r="B21" s="38">
        <f t="shared" si="0"/>
        <v>10</v>
      </c>
      <c r="C21" s="188" t="s">
        <v>158</v>
      </c>
      <c r="D21" s="653">
        <f>'(R) Restated Norm Revenue'!R1002</f>
        <v>1093496.3989577971</v>
      </c>
      <c r="E21" s="653">
        <f>'(R) Restated Norm Revenue'!R1020</f>
        <v>6293993.0193563206</v>
      </c>
      <c r="F21" s="653">
        <f>'(R) Restated Norm Revenue'!R1038</f>
        <v>47011.780428560007</v>
      </c>
      <c r="G21" s="659">
        <f t="shared" si="1"/>
        <v>7434501.1987426784</v>
      </c>
      <c r="H21" s="50"/>
      <c r="I21" s="50"/>
      <c r="J21" s="676">
        <f>G21-'(R) Restated Norm Revenue'!R1056</f>
        <v>0</v>
      </c>
      <c r="K21" s="85"/>
      <c r="L21" s="66"/>
      <c r="M21" s="66"/>
      <c r="N21" s="66"/>
      <c r="O21" s="50"/>
      <c r="S21"/>
      <c r="T21"/>
      <c r="U21"/>
      <c r="V21"/>
      <c r="W21"/>
      <c r="X21"/>
      <c r="Z21"/>
    </row>
    <row r="22" spans="2:26" x14ac:dyDescent="0.2">
      <c r="B22" s="38">
        <f t="shared" si="0"/>
        <v>11</v>
      </c>
      <c r="C22" s="189" t="s">
        <v>280</v>
      </c>
      <c r="D22" s="653">
        <f>'(R) Restated Norm Revenue'!R1007</f>
        <v>3564358.6664720275</v>
      </c>
      <c r="E22" s="653">
        <f>'(R) Restated Norm Revenue'!R1025</f>
        <v>72719.024875000003</v>
      </c>
      <c r="F22" s="653">
        <f>'(R) Restated Norm Revenue'!R1043</f>
        <v>209846.32892499998</v>
      </c>
      <c r="G22" s="659">
        <f t="shared" si="1"/>
        <v>3846924.0202720277</v>
      </c>
      <c r="H22" s="50"/>
      <c r="I22" s="50"/>
      <c r="J22" s="676">
        <f>G22-'(R) Restated Norm Revenue'!R1061</f>
        <v>0</v>
      </c>
      <c r="K22" s="85"/>
      <c r="L22" s="66"/>
      <c r="M22" s="66"/>
      <c r="N22" s="66"/>
      <c r="O22" s="50"/>
      <c r="S22"/>
      <c r="T22"/>
      <c r="U22"/>
      <c r="V22"/>
      <c r="W22"/>
      <c r="X22"/>
      <c r="Z22"/>
    </row>
    <row r="23" spans="2:26" x14ac:dyDescent="0.2">
      <c r="B23" s="38">
        <f t="shared" si="0"/>
        <v>12</v>
      </c>
      <c r="C23" s="188" t="s">
        <v>238</v>
      </c>
      <c r="D23" s="653">
        <v>1726553.2512827553</v>
      </c>
      <c r="E23" s="653">
        <v>0</v>
      </c>
      <c r="F23" s="653">
        <v>92070.958449600002</v>
      </c>
      <c r="G23" s="659">
        <f t="shared" si="1"/>
        <v>1818624.2097323553</v>
      </c>
      <c r="H23" s="50"/>
      <c r="I23" s="50"/>
      <c r="J23" s="676"/>
      <c r="K23" s="85"/>
      <c r="L23" s="66"/>
      <c r="M23" s="66"/>
      <c r="N23" s="66"/>
      <c r="O23" s="50"/>
      <c r="S23"/>
      <c r="T23"/>
      <c r="U23"/>
      <c r="V23"/>
      <c r="W23"/>
      <c r="X23"/>
      <c r="Z23"/>
    </row>
    <row r="24" spans="2:26" x14ac:dyDescent="0.2">
      <c r="B24" s="38">
        <f t="shared" si="0"/>
        <v>13</v>
      </c>
      <c r="C24" s="80" t="s">
        <v>167</v>
      </c>
      <c r="D24" s="654">
        <f>SUM(D12:D23)</f>
        <v>438420883.93728304</v>
      </c>
      <c r="E24" s="654">
        <f>SUM(E12:E23)</f>
        <v>301952305.47160286</v>
      </c>
      <c r="F24" s="654">
        <f t="shared" ref="F24:G24" si="2">SUM(F12:F23)</f>
        <v>10461912.878863417</v>
      </c>
      <c r="G24" s="654">
        <f t="shared" si="2"/>
        <v>750835102.28774929</v>
      </c>
      <c r="H24" s="50"/>
      <c r="I24" s="50"/>
      <c r="J24" s="676"/>
      <c r="K24" s="40"/>
      <c r="L24" s="66"/>
      <c r="M24" s="66"/>
      <c r="N24" s="66"/>
      <c r="O24" s="50"/>
      <c r="S24"/>
      <c r="T24"/>
      <c r="U24"/>
      <c r="V24"/>
      <c r="W24"/>
      <c r="X24"/>
      <c r="Z24"/>
    </row>
    <row r="25" spans="2:26" x14ac:dyDescent="0.2">
      <c r="B25" s="38">
        <f t="shared" si="0"/>
        <v>14</v>
      </c>
      <c r="C25" s="80"/>
      <c r="D25" s="23"/>
      <c r="E25" s="23"/>
      <c r="F25" s="23"/>
      <c r="G25" s="23"/>
      <c r="H25" s="50"/>
      <c r="I25" s="50"/>
      <c r="J25" s="676"/>
      <c r="K25" s="40"/>
      <c r="L25" s="50"/>
      <c r="M25" s="66"/>
      <c r="N25" s="50"/>
      <c r="O25" s="50"/>
      <c r="S25"/>
      <c r="T25"/>
      <c r="U25"/>
      <c r="V25"/>
      <c r="W25"/>
      <c r="X25"/>
      <c r="Z25"/>
    </row>
    <row r="26" spans="2:26" ht="13.5" thickBot="1" x14ac:dyDescent="0.25">
      <c r="B26" s="38">
        <f t="shared" si="0"/>
        <v>15</v>
      </c>
      <c r="C26" s="188" t="s">
        <v>184</v>
      </c>
      <c r="D26" s="655">
        <f>'Restated Rental Revenue'!R96</f>
        <v>5364365.7215311108</v>
      </c>
      <c r="E26" s="656"/>
      <c r="F26" s="656"/>
      <c r="G26" s="659">
        <f>SUM(D26:F26)</f>
        <v>5364365.7215311108</v>
      </c>
      <c r="H26" s="50"/>
      <c r="I26" s="50"/>
      <c r="J26" s="677">
        <f>G26-'Restated Rental Revenue'!R96</f>
        <v>0</v>
      </c>
      <c r="K26" s="36"/>
      <c r="L26" s="66"/>
      <c r="M26" s="66"/>
      <c r="N26" s="36"/>
      <c r="O26" s="50"/>
      <c r="S26"/>
      <c r="T26"/>
      <c r="U26"/>
      <c r="V26"/>
      <c r="W26"/>
      <c r="X26"/>
      <c r="Z26"/>
    </row>
    <row r="27" spans="2:26" x14ac:dyDescent="0.2">
      <c r="B27" s="38">
        <f t="shared" si="0"/>
        <v>16</v>
      </c>
      <c r="C27" s="188" t="s">
        <v>161</v>
      </c>
      <c r="D27" s="657">
        <v>5090448.3099999996</v>
      </c>
      <c r="E27" s="657">
        <v>980025</v>
      </c>
      <c r="F27" s="657"/>
      <c r="G27" s="659">
        <f>SUM(D27:F27)</f>
        <v>6070473.3099999996</v>
      </c>
      <c r="H27" s="50"/>
      <c r="I27" s="50"/>
      <c r="J27" s="40"/>
      <c r="K27" s="40"/>
      <c r="L27" s="66"/>
      <c r="M27" s="66"/>
      <c r="N27" s="36"/>
      <c r="O27" s="50"/>
      <c r="S27"/>
      <c r="T27"/>
      <c r="U27"/>
      <c r="V27"/>
      <c r="W27"/>
      <c r="X27"/>
      <c r="Z27"/>
    </row>
    <row r="28" spans="2:26" x14ac:dyDescent="0.2">
      <c r="B28" s="38">
        <f t="shared" si="0"/>
        <v>17</v>
      </c>
      <c r="C28" s="188" t="s">
        <v>202</v>
      </c>
      <c r="D28" s="658">
        <f>SUM(D26:D27)</f>
        <v>10454814.03153111</v>
      </c>
      <c r="E28" s="658">
        <f t="shared" ref="E28:G28" si="3">SUM(E26:E27)</f>
        <v>980025</v>
      </c>
      <c r="F28" s="658">
        <f t="shared" si="3"/>
        <v>0</v>
      </c>
      <c r="G28" s="658">
        <f t="shared" si="3"/>
        <v>11434839.03153111</v>
      </c>
      <c r="H28" s="50"/>
      <c r="I28" s="50"/>
      <c r="J28" s="40"/>
      <c r="K28" s="40"/>
      <c r="L28" s="66"/>
      <c r="M28" s="66"/>
      <c r="N28" s="36"/>
      <c r="O28" s="50"/>
      <c r="S28"/>
      <c r="T28"/>
      <c r="U28"/>
      <c r="V28"/>
      <c r="W28"/>
      <c r="X28"/>
      <c r="Z28"/>
    </row>
    <row r="29" spans="2:26" x14ac:dyDescent="0.2">
      <c r="B29" s="38">
        <f t="shared" si="0"/>
        <v>18</v>
      </c>
      <c r="C29" s="188" t="s">
        <v>172</v>
      </c>
      <c r="D29" s="658">
        <f>D24+D28</f>
        <v>448875697.96881413</v>
      </c>
      <c r="E29" s="658">
        <f t="shared" ref="E29:G29" si="4">E24+E28</f>
        <v>302932330.47160286</v>
      </c>
      <c r="F29" s="658">
        <f t="shared" si="4"/>
        <v>10461912.878863417</v>
      </c>
      <c r="G29" s="658">
        <f t="shared" si="4"/>
        <v>762269941.31928039</v>
      </c>
      <c r="H29" s="50"/>
      <c r="I29" s="50"/>
      <c r="J29" s="40"/>
      <c r="K29" s="40"/>
      <c r="L29" s="66"/>
      <c r="M29" s="66"/>
      <c r="N29" s="36"/>
      <c r="O29" s="50"/>
      <c r="S29"/>
      <c r="T29"/>
      <c r="U29"/>
      <c r="V29"/>
      <c r="W29"/>
      <c r="X29"/>
      <c r="Z29"/>
    </row>
    <row r="30" spans="2:26" x14ac:dyDescent="0.2">
      <c r="C30" s="188"/>
      <c r="D30" s="40"/>
      <c r="E30" s="40"/>
      <c r="F30" s="40"/>
      <c r="G30" s="40"/>
      <c r="H30" s="40"/>
      <c r="I30" s="40"/>
      <c r="J30" s="40"/>
      <c r="K30" s="40"/>
      <c r="L30" s="50"/>
      <c r="M30" s="66"/>
      <c r="N30" s="31"/>
      <c r="O30" s="50"/>
      <c r="S30"/>
      <c r="T30"/>
      <c r="U30"/>
      <c r="V30"/>
      <c r="W30"/>
      <c r="X30"/>
      <c r="Z30"/>
    </row>
    <row r="31" spans="2:26" x14ac:dyDescent="0.2">
      <c r="B31" s="765" t="s">
        <v>547</v>
      </c>
      <c r="C31" s="80" t="s">
        <v>592</v>
      </c>
      <c r="E31" s="79"/>
      <c r="F31" s="79"/>
      <c r="H31" s="79"/>
      <c r="I31" s="79"/>
      <c r="J31" s="79"/>
      <c r="K31" s="79"/>
      <c r="L31" s="66"/>
      <c r="M31" s="66"/>
      <c r="N31" s="31"/>
      <c r="O31" s="50"/>
      <c r="S31"/>
      <c r="T31"/>
      <c r="U31"/>
      <c r="V31"/>
      <c r="W31"/>
      <c r="X31"/>
      <c r="Z31"/>
    </row>
    <row r="32" spans="2:26" x14ac:dyDescent="0.2">
      <c r="B32" s="765" t="s">
        <v>558</v>
      </c>
      <c r="C32" s="80" t="s">
        <v>593</v>
      </c>
      <c r="D32" s="87"/>
      <c r="E32" s="79"/>
      <c r="F32" s="79"/>
      <c r="G32" s="79"/>
      <c r="H32" s="79"/>
      <c r="I32" s="79"/>
      <c r="J32" s="79"/>
      <c r="K32" s="79"/>
      <c r="L32" s="50"/>
      <c r="M32" s="460"/>
      <c r="N32" s="31"/>
      <c r="O32" s="50"/>
      <c r="S32"/>
      <c r="T32"/>
      <c r="U32"/>
      <c r="V32"/>
      <c r="W32"/>
      <c r="X32"/>
      <c r="Z32"/>
    </row>
    <row r="33" spans="1:30" x14ac:dyDescent="0.2">
      <c r="B33" s="765" t="s">
        <v>561</v>
      </c>
      <c r="C33" s="80" t="s">
        <v>594</v>
      </c>
      <c r="D33" s="40"/>
      <c r="E33" s="40"/>
      <c r="F33" s="40"/>
      <c r="G33" s="40"/>
      <c r="H33" s="128"/>
      <c r="I33" s="40"/>
      <c r="J33" s="40"/>
      <c r="K33" s="40"/>
      <c r="L33" s="50"/>
      <c r="M33" s="399"/>
      <c r="N33" s="50"/>
      <c r="O33" s="50"/>
      <c r="S33"/>
      <c r="T33"/>
      <c r="U33"/>
      <c r="V33"/>
      <c r="W33"/>
      <c r="X33"/>
      <c r="Z33"/>
    </row>
    <row r="34" spans="1:30" x14ac:dyDescent="0.2">
      <c r="A34" s="50"/>
      <c r="B34" s="50"/>
      <c r="C34" s="50"/>
      <c r="D34" s="40"/>
      <c r="E34" s="75"/>
      <c r="F34" s="75"/>
      <c r="G34" s="40"/>
      <c r="H34" s="23"/>
      <c r="I34" s="23"/>
      <c r="J34" s="23"/>
      <c r="K34" s="40"/>
      <c r="L34" s="36"/>
      <c r="M34" s="36"/>
      <c r="N34" s="36"/>
      <c r="O34" s="36"/>
      <c r="P34" s="34"/>
      <c r="Q34" s="34"/>
      <c r="R34" s="55"/>
      <c r="S34" s="75"/>
      <c r="T34" s="75"/>
      <c r="U34" s="75"/>
      <c r="V34" s="75"/>
      <c r="W34" s="75"/>
      <c r="X34" s="75"/>
      <c r="Y34" s="88"/>
    </row>
    <row r="35" spans="1:30" x14ac:dyDescent="0.2">
      <c r="A35" s="50"/>
      <c r="B35" s="668"/>
      <c r="C35" s="50"/>
      <c r="D35" s="668"/>
      <c r="E35" s="668"/>
      <c r="F35" s="668"/>
      <c r="G35" s="40"/>
      <c r="H35" s="23"/>
      <c r="I35" s="23"/>
      <c r="J35" s="23"/>
      <c r="K35" s="40"/>
      <c r="L35" s="36"/>
      <c r="M35" s="36"/>
      <c r="N35" s="36"/>
      <c r="O35" s="36"/>
      <c r="P35" s="34"/>
      <c r="Q35" s="34"/>
      <c r="R35" s="55"/>
      <c r="S35" s="75"/>
      <c r="T35" s="75"/>
      <c r="U35" s="75"/>
      <c r="V35" s="75"/>
      <c r="W35" s="75"/>
      <c r="X35" s="75"/>
      <c r="Y35" s="88"/>
    </row>
    <row r="36" spans="1:30" x14ac:dyDescent="0.2">
      <c r="A36" s="50"/>
      <c r="B36" s="50"/>
      <c r="C36" s="669"/>
      <c r="D36" s="50"/>
      <c r="E36" s="50"/>
      <c r="F36" s="50"/>
      <c r="G36" s="40"/>
      <c r="H36" s="23"/>
      <c r="I36" s="23"/>
      <c r="J36" s="23"/>
      <c r="K36" s="23"/>
      <c r="L36" s="34"/>
      <c r="M36" s="34"/>
      <c r="N36" s="34"/>
      <c r="O36" s="34"/>
      <c r="P36" s="34"/>
      <c r="Q36" s="34"/>
      <c r="R36" s="55"/>
      <c r="S36" s="75"/>
      <c r="T36" s="75"/>
      <c r="U36" s="75"/>
      <c r="V36" s="75"/>
      <c r="W36" s="75"/>
      <c r="X36" s="75"/>
      <c r="Y36" s="88"/>
    </row>
    <row r="37" spans="1:30" x14ac:dyDescent="0.2">
      <c r="A37" s="50"/>
      <c r="B37" s="50"/>
      <c r="C37" s="50"/>
      <c r="D37" s="27"/>
      <c r="E37" s="27"/>
      <c r="F37" s="27"/>
      <c r="G37" s="40"/>
      <c r="H37" s="23"/>
      <c r="I37" s="23"/>
      <c r="J37" s="23"/>
      <c r="K37" s="23"/>
      <c r="L37" s="34"/>
      <c r="M37" s="34"/>
      <c r="N37" s="34"/>
      <c r="O37" s="34"/>
      <c r="P37" s="34"/>
      <c r="Q37" s="34"/>
      <c r="R37" s="55"/>
      <c r="S37" s="75"/>
      <c r="T37" s="75"/>
      <c r="U37" s="75"/>
      <c r="V37" s="75"/>
      <c r="W37" s="75"/>
      <c r="X37" s="75"/>
      <c r="Y37" s="88"/>
    </row>
    <row r="38" spans="1:30" x14ac:dyDescent="0.2">
      <c r="A38" s="50"/>
      <c r="B38" s="50"/>
      <c r="C38" s="50"/>
      <c r="D38" s="579"/>
      <c r="E38" s="579"/>
      <c r="F38" s="579"/>
      <c r="G38" s="40"/>
      <c r="H38" s="23"/>
      <c r="I38" s="23"/>
      <c r="J38" s="23"/>
      <c r="K38" s="23"/>
      <c r="L38" s="34"/>
      <c r="M38" s="34"/>
      <c r="N38" s="34"/>
      <c r="O38" s="34"/>
      <c r="P38" s="34"/>
      <c r="Q38" s="34"/>
      <c r="R38" s="55"/>
      <c r="S38" s="75"/>
      <c r="T38" s="75"/>
      <c r="U38" s="75"/>
      <c r="V38" s="75"/>
      <c r="W38" s="75"/>
      <c r="X38" s="75"/>
      <c r="Y38" s="88"/>
    </row>
    <row r="39" spans="1:30" x14ac:dyDescent="0.2">
      <c r="A39" s="50"/>
      <c r="B39" s="27"/>
      <c r="C39" s="27"/>
      <c r="D39" s="579"/>
      <c r="E39" s="579"/>
      <c r="F39" s="579"/>
      <c r="G39" s="40"/>
      <c r="H39" s="23"/>
      <c r="I39" s="23"/>
      <c r="J39" s="23"/>
      <c r="K39" s="23"/>
      <c r="L39" s="34"/>
      <c r="M39" s="34"/>
      <c r="N39" s="34"/>
      <c r="O39" s="34"/>
      <c r="P39" s="34"/>
      <c r="Q39" s="34"/>
      <c r="R39" s="55"/>
      <c r="S39" s="75"/>
      <c r="T39" s="75"/>
      <c r="U39" s="75"/>
      <c r="V39" s="75"/>
      <c r="W39" s="75"/>
      <c r="X39" s="75"/>
      <c r="Y39" s="88"/>
    </row>
    <row r="40" spans="1:30" x14ac:dyDescent="0.2">
      <c r="A40" s="50"/>
      <c r="B40" s="50"/>
      <c r="C40" s="41"/>
      <c r="D40" s="41"/>
      <c r="E40" s="41"/>
      <c r="F40" s="41"/>
      <c r="G40" s="40"/>
      <c r="H40" s="23"/>
      <c r="I40" s="23"/>
      <c r="J40" s="23"/>
      <c r="K40" s="23"/>
      <c r="L40" s="34"/>
      <c r="M40" s="34"/>
      <c r="N40" s="34"/>
      <c r="O40" s="34"/>
      <c r="P40" s="34"/>
      <c r="Q40" s="34"/>
      <c r="R40" s="55"/>
      <c r="S40" s="75"/>
      <c r="T40" s="75"/>
      <c r="U40" s="75"/>
      <c r="V40" s="75"/>
      <c r="W40" s="75"/>
      <c r="X40" s="75"/>
      <c r="Y40" s="88"/>
    </row>
    <row r="41" spans="1:30" x14ac:dyDescent="0.2">
      <c r="A41" s="50"/>
      <c r="B41" s="399"/>
      <c r="C41" s="175"/>
      <c r="D41" s="86"/>
      <c r="E41" s="84"/>
      <c r="F41" s="84"/>
      <c r="G41" s="40"/>
      <c r="H41" s="23"/>
      <c r="I41" s="23"/>
      <c r="J41" s="23"/>
      <c r="K41" s="23"/>
      <c r="L41" s="34"/>
      <c r="M41" s="34"/>
      <c r="N41" s="34"/>
      <c r="O41" s="34"/>
      <c r="P41" s="34"/>
      <c r="Q41" s="34"/>
      <c r="R41" s="55"/>
      <c r="S41" s="75"/>
      <c r="T41" s="75"/>
      <c r="U41" s="75"/>
      <c r="V41" s="75"/>
      <c r="W41" s="75"/>
      <c r="X41" s="75"/>
      <c r="Y41" s="88"/>
    </row>
    <row r="42" spans="1:30" x14ac:dyDescent="0.2">
      <c r="A42" s="50"/>
      <c r="B42" s="50"/>
      <c r="C42" s="173"/>
      <c r="D42" s="94"/>
      <c r="E42" s="85"/>
      <c r="F42" s="85"/>
      <c r="G42" s="40"/>
      <c r="H42" s="23"/>
      <c r="I42" s="23"/>
      <c r="J42" s="23"/>
      <c r="K42" s="23"/>
      <c r="L42" s="34"/>
      <c r="M42" s="34"/>
      <c r="N42" s="34"/>
      <c r="O42" s="34"/>
      <c r="P42" s="34"/>
      <c r="Q42" s="34"/>
      <c r="R42" s="55"/>
      <c r="S42" s="75"/>
      <c r="T42" s="75"/>
      <c r="U42" s="75"/>
      <c r="V42" s="75"/>
      <c r="W42" s="75"/>
      <c r="X42" s="75"/>
      <c r="Y42" s="88"/>
    </row>
    <row r="43" spans="1:30" x14ac:dyDescent="0.2">
      <c r="A43" s="50"/>
      <c r="B43" s="50"/>
      <c r="C43" s="175"/>
      <c r="D43" s="94"/>
      <c r="E43" s="85"/>
      <c r="F43" s="85"/>
      <c r="G43" s="40"/>
      <c r="H43" s="23"/>
      <c r="I43" s="23"/>
      <c r="J43" s="23"/>
      <c r="K43" s="23"/>
      <c r="L43" s="34"/>
      <c r="M43" s="34"/>
      <c r="N43" s="34"/>
      <c r="O43" s="34"/>
      <c r="P43" s="34"/>
      <c r="Q43" s="34"/>
      <c r="R43" s="55"/>
      <c r="S43" s="75"/>
      <c r="T43" s="75"/>
      <c r="U43" s="75"/>
      <c r="V43" s="75"/>
      <c r="W43" s="75"/>
      <c r="X43" s="75"/>
      <c r="Y43" s="88"/>
    </row>
    <row r="44" spans="1:30" x14ac:dyDescent="0.2">
      <c r="A44" s="50"/>
      <c r="B44" s="50"/>
      <c r="C44" s="175"/>
      <c r="D44" s="94"/>
      <c r="E44" s="85"/>
      <c r="F44" s="85"/>
      <c r="G44" s="40"/>
      <c r="H44" s="23"/>
      <c r="I44" s="23"/>
      <c r="J44" s="23"/>
      <c r="K44" s="23"/>
      <c r="L44" s="34"/>
      <c r="M44" s="34"/>
      <c r="N44" s="34"/>
      <c r="O44" s="34"/>
      <c r="P44" s="34"/>
      <c r="Q44" s="34"/>
      <c r="R44" s="55"/>
      <c r="S44" s="75"/>
      <c r="T44" s="75"/>
      <c r="U44" s="75"/>
      <c r="V44" s="75"/>
      <c r="W44" s="75"/>
      <c r="X44" s="75"/>
      <c r="Y44" s="88"/>
    </row>
    <row r="45" spans="1:30" x14ac:dyDescent="0.2">
      <c r="A45" s="50"/>
      <c r="B45" s="50"/>
      <c r="C45" s="90"/>
      <c r="D45" s="94"/>
      <c r="E45" s="85"/>
      <c r="F45" s="85"/>
      <c r="G45" s="40"/>
      <c r="H45" s="23"/>
      <c r="I45" s="23"/>
      <c r="J45" s="23"/>
      <c r="K45" s="23"/>
      <c r="L45" s="34"/>
      <c r="M45" s="34"/>
      <c r="N45" s="34"/>
      <c r="O45" s="34"/>
      <c r="P45" s="34"/>
      <c r="Q45" s="34"/>
      <c r="R45" s="55"/>
      <c r="S45" s="75"/>
      <c r="T45" s="75"/>
      <c r="U45" s="75"/>
      <c r="V45" s="75"/>
      <c r="W45" s="75"/>
      <c r="X45" s="75"/>
      <c r="Y45" s="88"/>
    </row>
    <row r="46" spans="1:30" x14ac:dyDescent="0.2">
      <c r="A46" s="50"/>
      <c r="B46" s="50"/>
      <c r="C46" s="175"/>
      <c r="D46" s="94"/>
      <c r="E46" s="85"/>
      <c r="F46" s="85"/>
      <c r="G46" s="40"/>
      <c r="H46" s="23"/>
      <c r="I46" s="23"/>
      <c r="J46" s="23"/>
      <c r="K46" s="23"/>
      <c r="L46" s="34"/>
      <c r="M46" s="34"/>
      <c r="N46" s="34"/>
      <c r="O46" s="34"/>
      <c r="P46" s="34"/>
      <c r="Q46" s="34"/>
      <c r="R46" s="55"/>
      <c r="S46" s="75"/>
      <c r="T46" s="75"/>
      <c r="U46" s="75"/>
      <c r="V46" s="75"/>
      <c r="W46" s="75"/>
      <c r="X46" s="75"/>
      <c r="Y46" s="88"/>
    </row>
    <row r="47" spans="1:30" s="502" customFormat="1" x14ac:dyDescent="0.2">
      <c r="A47" s="50"/>
      <c r="B47" s="50"/>
      <c r="C47" s="175"/>
      <c r="D47" s="94"/>
      <c r="E47" s="85"/>
      <c r="F47" s="85"/>
      <c r="G47" s="40"/>
      <c r="H47" s="23"/>
      <c r="I47" s="23"/>
      <c r="J47" s="23"/>
      <c r="K47" s="23"/>
      <c r="L47" s="34"/>
      <c r="M47" s="34"/>
      <c r="N47" s="34"/>
      <c r="O47" s="34"/>
      <c r="P47" s="34"/>
      <c r="Q47" s="34"/>
      <c r="R47" s="55"/>
      <c r="S47" s="75"/>
      <c r="T47" s="75"/>
      <c r="U47" s="75"/>
      <c r="V47" s="75"/>
      <c r="W47" s="75"/>
      <c r="X47" s="75"/>
      <c r="Y47" s="88"/>
      <c r="AA47"/>
      <c r="AB47"/>
      <c r="AC47"/>
      <c r="AD47"/>
    </row>
    <row r="48" spans="1:30" s="502" customFormat="1" x14ac:dyDescent="0.2">
      <c r="A48" s="50"/>
      <c r="B48" s="50"/>
      <c r="C48" s="175"/>
      <c r="D48" s="94"/>
      <c r="E48" s="85"/>
      <c r="F48" s="85"/>
      <c r="G48" s="40"/>
      <c r="H48" s="23"/>
      <c r="I48" s="23"/>
      <c r="J48" s="23"/>
      <c r="K48" s="23"/>
      <c r="L48" s="34"/>
      <c r="M48" s="34"/>
      <c r="N48" s="34"/>
      <c r="O48" s="34"/>
      <c r="P48" s="34"/>
      <c r="Q48" s="34"/>
      <c r="R48" s="55"/>
      <c r="S48" s="75"/>
      <c r="T48" s="75"/>
      <c r="U48" s="75"/>
      <c r="V48" s="75"/>
      <c r="W48" s="75"/>
      <c r="X48" s="75"/>
      <c r="Y48" s="88"/>
      <c r="AA48"/>
      <c r="AB48"/>
      <c r="AC48"/>
      <c r="AD48"/>
    </row>
    <row r="49" spans="1:30" s="502" customFormat="1" x14ac:dyDescent="0.2">
      <c r="A49" s="50"/>
      <c r="B49" s="50"/>
      <c r="C49" s="90"/>
      <c r="D49" s="94"/>
      <c r="E49" s="85"/>
      <c r="F49" s="85"/>
      <c r="G49" s="40"/>
      <c r="H49" s="23"/>
      <c r="I49" s="23"/>
      <c r="J49" s="23"/>
      <c r="K49" s="23"/>
      <c r="L49" s="34"/>
      <c r="M49" s="34"/>
      <c r="N49" s="34"/>
      <c r="O49" s="34"/>
      <c r="P49" s="34"/>
      <c r="Q49" s="34"/>
      <c r="R49" s="55"/>
      <c r="S49" s="75"/>
      <c r="T49" s="75"/>
      <c r="U49" s="75"/>
      <c r="V49" s="75"/>
      <c r="W49" s="75"/>
      <c r="X49" s="75"/>
      <c r="Y49" s="88"/>
      <c r="AA49"/>
      <c r="AB49"/>
      <c r="AC49"/>
      <c r="AD49"/>
    </row>
    <row r="50" spans="1:30" s="502" customFormat="1" x14ac:dyDescent="0.2">
      <c r="A50" s="50"/>
      <c r="B50" s="50"/>
      <c r="C50" s="175"/>
      <c r="D50" s="94"/>
      <c r="E50" s="85"/>
      <c r="F50" s="85"/>
      <c r="G50" s="40"/>
      <c r="H50" s="23"/>
      <c r="I50" s="23"/>
      <c r="J50" s="23"/>
      <c r="K50" s="23"/>
      <c r="L50" s="34"/>
      <c r="M50" s="34"/>
      <c r="N50" s="34"/>
      <c r="O50" s="34"/>
      <c r="P50" s="34"/>
      <c r="Q50" s="34"/>
      <c r="R50" s="55"/>
      <c r="S50" s="75"/>
      <c r="T50" s="75"/>
      <c r="U50" s="75"/>
      <c r="V50" s="75"/>
      <c r="W50" s="75"/>
      <c r="X50" s="75"/>
      <c r="Y50" s="88"/>
      <c r="AA50"/>
      <c r="AB50"/>
      <c r="AC50"/>
      <c r="AD50"/>
    </row>
    <row r="51" spans="1:30" s="502" customFormat="1" x14ac:dyDescent="0.2">
      <c r="A51" s="50"/>
      <c r="B51" s="50"/>
      <c r="C51" s="175"/>
      <c r="D51" s="94"/>
      <c r="E51" s="85"/>
      <c r="F51" s="85"/>
      <c r="G51" s="40"/>
      <c r="H51" s="23"/>
      <c r="I51" s="23"/>
      <c r="J51" s="23"/>
      <c r="K51" s="23"/>
      <c r="L51" s="34"/>
      <c r="M51" s="34"/>
      <c r="N51" s="34"/>
      <c r="O51" s="34"/>
      <c r="P51" s="34"/>
      <c r="Q51" s="34"/>
      <c r="R51" s="55"/>
      <c r="S51" s="75"/>
      <c r="T51" s="75"/>
      <c r="U51" s="75"/>
      <c r="V51" s="75"/>
      <c r="W51" s="75"/>
      <c r="X51" s="75"/>
      <c r="Y51" s="88"/>
      <c r="AA51"/>
      <c r="AB51"/>
      <c r="AC51"/>
      <c r="AD51"/>
    </row>
    <row r="52" spans="1:30" s="502" customFormat="1" x14ac:dyDescent="0.2">
      <c r="A52" s="50"/>
      <c r="B52" s="50"/>
      <c r="C52" s="175"/>
      <c r="D52" s="94"/>
      <c r="E52" s="85"/>
      <c r="F52" s="85"/>
      <c r="G52" s="40"/>
      <c r="H52" s="23"/>
      <c r="I52" s="23"/>
      <c r="J52" s="23"/>
      <c r="K52" s="23"/>
      <c r="L52" s="34"/>
      <c r="M52" s="34"/>
      <c r="N52" s="34"/>
      <c r="O52" s="34"/>
      <c r="P52" s="34"/>
      <c r="Q52" s="34"/>
      <c r="R52" s="55"/>
      <c r="S52" s="75"/>
      <c r="T52" s="75"/>
      <c r="U52" s="75"/>
      <c r="V52" s="75"/>
      <c r="W52" s="75"/>
      <c r="X52" s="75"/>
      <c r="Y52" s="88"/>
      <c r="AA52"/>
      <c r="AB52"/>
      <c r="AC52"/>
      <c r="AD52"/>
    </row>
    <row r="53" spans="1:30" s="502" customFormat="1" x14ac:dyDescent="0.2">
      <c r="A53" s="50"/>
      <c r="B53" s="50"/>
      <c r="C53" s="90"/>
      <c r="D53" s="36"/>
      <c r="E53" s="87"/>
      <c r="F53" s="87"/>
      <c r="G53" s="40"/>
      <c r="H53" s="23"/>
      <c r="I53" s="23"/>
      <c r="J53" s="23"/>
      <c r="K53" s="23"/>
      <c r="L53" s="34"/>
      <c r="M53" s="34"/>
      <c r="N53" s="34"/>
      <c r="O53" s="34"/>
      <c r="P53" s="34"/>
      <c r="Q53" s="34"/>
      <c r="R53" s="55"/>
      <c r="S53" s="75"/>
      <c r="T53" s="75"/>
      <c r="U53" s="75"/>
      <c r="V53" s="75"/>
      <c r="W53" s="75"/>
      <c r="X53" s="75"/>
      <c r="Y53" s="88"/>
      <c r="AA53"/>
      <c r="AB53"/>
      <c r="AC53"/>
      <c r="AD53"/>
    </row>
    <row r="54" spans="1:30" s="502" customFormat="1" x14ac:dyDescent="0.2">
      <c r="A54" s="50"/>
      <c r="B54" s="50"/>
      <c r="C54" s="90"/>
      <c r="D54" s="40"/>
      <c r="E54" s="40"/>
      <c r="F54" s="40"/>
      <c r="G54" s="40"/>
      <c r="H54" s="23"/>
      <c r="I54" s="23"/>
      <c r="J54" s="23"/>
      <c r="K54" s="23"/>
      <c r="L54" s="34"/>
      <c r="M54" s="34"/>
      <c r="N54" s="34"/>
      <c r="O54" s="34"/>
      <c r="P54" s="34"/>
      <c r="Q54" s="34"/>
      <c r="R54" s="55"/>
      <c r="S54" s="75"/>
      <c r="T54" s="75"/>
      <c r="U54" s="75"/>
      <c r="V54" s="75"/>
      <c r="W54" s="75"/>
      <c r="X54" s="75"/>
      <c r="Y54" s="88"/>
      <c r="AA54"/>
      <c r="AB54"/>
      <c r="AC54"/>
      <c r="AD54"/>
    </row>
    <row r="55" spans="1:30" s="502" customFormat="1" x14ac:dyDescent="0.2">
      <c r="A55" s="50"/>
      <c r="B55" s="50"/>
      <c r="C55" s="90"/>
      <c r="D55" s="36"/>
      <c r="E55" s="36"/>
      <c r="F55" s="36"/>
      <c r="G55" s="40"/>
      <c r="H55" s="23"/>
      <c r="I55" s="23"/>
      <c r="J55" s="23"/>
      <c r="K55" s="23"/>
      <c r="L55" s="34"/>
      <c r="M55" s="34"/>
      <c r="N55" s="34"/>
      <c r="O55" s="34"/>
      <c r="P55" s="34"/>
      <c r="Q55" s="34"/>
      <c r="R55" s="55"/>
      <c r="S55" s="75"/>
      <c r="T55" s="75"/>
      <c r="U55" s="75"/>
      <c r="V55" s="75"/>
      <c r="W55" s="75"/>
      <c r="X55" s="75"/>
      <c r="Y55" s="88"/>
      <c r="AA55"/>
      <c r="AB55"/>
      <c r="AC55"/>
      <c r="AD55"/>
    </row>
    <row r="56" spans="1:30" s="502" customFormat="1" x14ac:dyDescent="0.2">
      <c r="A56" s="50"/>
      <c r="B56" s="50"/>
      <c r="C56" s="90"/>
      <c r="D56" s="40"/>
      <c r="E56" s="40"/>
      <c r="F56" s="40"/>
      <c r="G56" s="40"/>
      <c r="H56" s="23"/>
      <c r="I56" s="23"/>
      <c r="J56" s="23"/>
      <c r="K56" s="23"/>
      <c r="L56" s="34"/>
      <c r="M56" s="34"/>
      <c r="N56" s="34"/>
      <c r="O56" s="34"/>
      <c r="P56" s="34"/>
      <c r="Q56" s="34"/>
      <c r="R56" s="55"/>
      <c r="S56" s="75"/>
      <c r="T56" s="75"/>
      <c r="U56" s="75"/>
      <c r="V56" s="75"/>
      <c r="W56" s="75"/>
      <c r="X56" s="75"/>
      <c r="Y56" s="88"/>
      <c r="AA56"/>
      <c r="AB56"/>
      <c r="AC56"/>
      <c r="AD56"/>
    </row>
    <row r="57" spans="1:30" s="502" customFormat="1" x14ac:dyDescent="0.2">
      <c r="A57" s="50"/>
      <c r="B57" s="50"/>
      <c r="C57" s="90"/>
      <c r="D57" s="87"/>
      <c r="E57" s="87"/>
      <c r="F57" s="87"/>
      <c r="G57" s="40"/>
      <c r="H57" s="23"/>
      <c r="I57" s="23"/>
      <c r="J57" s="23"/>
      <c r="K57" s="23"/>
      <c r="L57" s="34"/>
      <c r="M57" s="34"/>
      <c r="N57" s="34"/>
      <c r="O57" s="34"/>
      <c r="P57" s="34"/>
      <c r="Q57" s="34"/>
      <c r="R57" s="55"/>
      <c r="S57" s="75"/>
      <c r="T57" s="75"/>
      <c r="U57" s="75"/>
      <c r="V57" s="75"/>
      <c r="W57" s="75"/>
      <c r="X57" s="75"/>
      <c r="Y57" s="88"/>
      <c r="AA57"/>
      <c r="AB57"/>
      <c r="AC57"/>
      <c r="AD57"/>
    </row>
    <row r="58" spans="1:30" s="502" customFormat="1" x14ac:dyDescent="0.2">
      <c r="A58" s="50"/>
      <c r="B58" s="50"/>
      <c r="C58" s="90"/>
      <c r="D58" s="87"/>
      <c r="E58" s="87"/>
      <c r="F58" s="87"/>
      <c r="G58" s="40"/>
      <c r="H58" s="23"/>
      <c r="I58" s="23"/>
      <c r="J58" s="23"/>
      <c r="K58" s="23"/>
      <c r="L58" s="34"/>
      <c r="M58" s="34"/>
      <c r="N58" s="34"/>
      <c r="O58" s="34"/>
      <c r="P58" s="34"/>
      <c r="Q58" s="34"/>
      <c r="R58" s="55"/>
      <c r="S58" s="75"/>
      <c r="T58" s="75"/>
      <c r="U58" s="75"/>
      <c r="V58" s="75"/>
      <c r="W58" s="75"/>
      <c r="X58" s="75"/>
      <c r="Y58" s="88"/>
      <c r="AA58"/>
      <c r="AB58"/>
      <c r="AC58"/>
      <c r="AD58"/>
    </row>
    <row r="59" spans="1:30" s="502" customFormat="1" x14ac:dyDescent="0.2">
      <c r="A59" s="50"/>
      <c r="B59" s="50"/>
      <c r="C59" s="50"/>
      <c r="D59" s="667"/>
      <c r="E59" s="75"/>
      <c r="F59" s="75"/>
      <c r="G59" s="40"/>
      <c r="H59" s="23"/>
      <c r="I59" s="23"/>
      <c r="J59" s="23"/>
      <c r="K59" s="23"/>
      <c r="L59" s="34"/>
      <c r="M59" s="34"/>
      <c r="N59" s="34"/>
      <c r="O59" s="34"/>
      <c r="P59" s="34"/>
      <c r="Q59" s="34"/>
      <c r="R59" s="55"/>
      <c r="S59" s="75"/>
      <c r="T59" s="75"/>
      <c r="U59" s="75"/>
      <c r="V59" s="75"/>
      <c r="W59" s="75"/>
      <c r="X59" s="75"/>
      <c r="Y59" s="88"/>
      <c r="AA59"/>
      <c r="AB59"/>
      <c r="AC59"/>
      <c r="AD59"/>
    </row>
    <row r="60" spans="1:30" s="502" customFormat="1" x14ac:dyDescent="0.2">
      <c r="A60" s="50"/>
      <c r="B60" s="50"/>
      <c r="C60" s="50"/>
      <c r="D60" s="667"/>
      <c r="E60" s="75"/>
      <c r="F60" s="75"/>
      <c r="G60" s="40"/>
      <c r="H60" s="23"/>
      <c r="I60" s="23"/>
      <c r="J60" s="23"/>
      <c r="K60" s="23"/>
      <c r="L60" s="34"/>
      <c r="M60" s="34"/>
      <c r="N60" s="34"/>
      <c r="O60" s="34"/>
      <c r="P60" s="34"/>
      <c r="Q60" s="34"/>
      <c r="R60" s="55"/>
      <c r="S60" s="75"/>
      <c r="T60" s="75"/>
      <c r="U60" s="75"/>
      <c r="V60" s="75"/>
      <c r="W60" s="75"/>
      <c r="X60" s="75"/>
      <c r="Y60" s="88"/>
      <c r="AA60"/>
      <c r="AB60"/>
      <c r="AC60"/>
      <c r="AD60"/>
    </row>
    <row r="61" spans="1:30" s="502" customFormat="1" x14ac:dyDescent="0.2">
      <c r="A61" s="50"/>
      <c r="B61" s="670"/>
      <c r="C61" s="31"/>
      <c r="D61" s="667"/>
      <c r="E61" s="75"/>
      <c r="F61" s="75"/>
      <c r="G61" s="40"/>
      <c r="H61" s="23"/>
      <c r="I61" s="23"/>
      <c r="J61" s="23"/>
      <c r="K61" s="23"/>
      <c r="L61" s="34"/>
      <c r="M61" s="34"/>
      <c r="N61" s="34"/>
      <c r="O61" s="34"/>
      <c r="P61" s="34"/>
      <c r="Q61" s="34"/>
      <c r="R61" s="55"/>
      <c r="S61" s="75"/>
      <c r="T61" s="75"/>
      <c r="U61" s="75"/>
      <c r="V61" s="75"/>
      <c r="W61" s="75"/>
      <c r="X61" s="75"/>
      <c r="Y61" s="88"/>
      <c r="AA61"/>
      <c r="AB61"/>
      <c r="AC61"/>
      <c r="AD61"/>
    </row>
    <row r="62" spans="1:30" s="502" customFormat="1" x14ac:dyDescent="0.2">
      <c r="A62" s="50"/>
      <c r="B62" s="50"/>
      <c r="C62" s="50"/>
      <c r="D62" s="31"/>
      <c r="E62" s="50"/>
      <c r="F62" s="50"/>
      <c r="G62" s="50"/>
      <c r="H62"/>
      <c r="I62"/>
      <c r="J62"/>
      <c r="K62"/>
      <c r="L62" s="30"/>
      <c r="M62" s="30"/>
      <c r="N62" s="30"/>
      <c r="O62" s="30"/>
      <c r="P62" s="30"/>
      <c r="Q62" s="30"/>
      <c r="R62" s="23"/>
      <c r="S62" s="50"/>
      <c r="T62" s="50"/>
      <c r="U62" s="50"/>
      <c r="V62" s="40"/>
      <c r="W62" s="50"/>
      <c r="X62" s="50"/>
      <c r="Y62"/>
      <c r="AA62"/>
      <c r="AB62"/>
      <c r="AC62"/>
      <c r="AD62"/>
    </row>
    <row r="63" spans="1:30" s="502" customFormat="1" x14ac:dyDescent="0.2">
      <c r="A63" s="50"/>
      <c r="B63" s="670"/>
      <c r="C63" s="671"/>
      <c r="D63" s="31"/>
      <c r="E63" s="50"/>
      <c r="F63" s="50"/>
      <c r="G63" s="50"/>
      <c r="H63"/>
      <c r="I63"/>
      <c r="J63"/>
      <c r="K63"/>
      <c r="L63" s="30"/>
      <c r="M63" s="30"/>
      <c r="N63" s="30"/>
      <c r="O63"/>
      <c r="P63"/>
      <c r="Q63"/>
      <c r="R63" s="23"/>
      <c r="S63" s="50"/>
      <c r="T63" s="50"/>
      <c r="U63" s="50"/>
      <c r="V63" s="40"/>
      <c r="W63" s="50"/>
      <c r="X63" s="50"/>
      <c r="Y63"/>
      <c r="AA63"/>
      <c r="AB63"/>
      <c r="AC63"/>
      <c r="AD63"/>
    </row>
    <row r="64" spans="1:30" s="502" customFormat="1" x14ac:dyDescent="0.2">
      <c r="A64" s="50"/>
      <c r="B64" s="670"/>
      <c r="C64" s="672"/>
      <c r="D64" s="31"/>
      <c r="E64" s="31"/>
      <c r="F64" s="31"/>
      <c r="G64" s="31"/>
      <c r="H64"/>
      <c r="I64"/>
      <c r="J64"/>
      <c r="K64"/>
      <c r="L64" s="30"/>
      <c r="M64" s="30"/>
      <c r="N64" s="30"/>
      <c r="O64"/>
      <c r="P64"/>
      <c r="Q64"/>
      <c r="R64"/>
      <c r="S64" s="50"/>
      <c r="T64" s="50"/>
      <c r="U64" s="50"/>
      <c r="V64" s="50"/>
      <c r="W64" s="50"/>
      <c r="X64" s="50"/>
      <c r="Y64"/>
      <c r="AA64"/>
      <c r="AB64"/>
      <c r="AC64"/>
      <c r="AD64"/>
    </row>
    <row r="65" spans="1:30" s="502" customFormat="1" x14ac:dyDescent="0.2">
      <c r="A65" s="50"/>
      <c r="B65" s="670"/>
      <c r="C65" s="671"/>
      <c r="D65" s="31"/>
      <c r="E65" s="31"/>
      <c r="F65" s="31"/>
      <c r="G65" s="31"/>
      <c r="H65"/>
      <c r="I65"/>
      <c r="J65"/>
      <c r="K65"/>
      <c r="L65" s="30"/>
      <c r="M65" s="30"/>
      <c r="N65" s="30"/>
      <c r="O65"/>
      <c r="P65"/>
      <c r="Q65"/>
      <c r="R65"/>
      <c r="S65" s="50"/>
      <c r="T65" s="50"/>
      <c r="U65" s="50"/>
      <c r="V65" s="50"/>
      <c r="W65" s="50"/>
      <c r="X65" s="50"/>
      <c r="Y65"/>
      <c r="AA65"/>
      <c r="AB65"/>
      <c r="AC65"/>
      <c r="AD65"/>
    </row>
    <row r="66" spans="1:30" s="502" customFormat="1" x14ac:dyDescent="0.2">
      <c r="A66" s="50"/>
      <c r="B66" s="670"/>
      <c r="C66" s="672"/>
      <c r="D66" s="31"/>
      <c r="E66" s="50"/>
      <c r="F66" s="50"/>
      <c r="G66" s="50"/>
      <c r="H66"/>
      <c r="I66"/>
      <c r="J66"/>
      <c r="K66"/>
      <c r="L66" s="30"/>
      <c r="M66" s="30"/>
      <c r="N66" s="30"/>
      <c r="O66"/>
      <c r="P66"/>
      <c r="Q66"/>
      <c r="R66"/>
      <c r="S66" s="50"/>
      <c r="T66" s="50"/>
      <c r="U66" s="50"/>
      <c r="V66" s="50"/>
      <c r="W66" s="50"/>
      <c r="X66" s="50"/>
      <c r="Y66"/>
      <c r="AA66"/>
      <c r="AB66"/>
      <c r="AC66"/>
      <c r="AD66"/>
    </row>
    <row r="67" spans="1:30" x14ac:dyDescent="0.2">
      <c r="A67" s="50"/>
      <c r="B67" s="50"/>
      <c r="C67" s="50"/>
      <c r="D67" s="31"/>
      <c r="E67" s="50"/>
      <c r="F67" s="50"/>
      <c r="G67" s="50"/>
    </row>
    <row r="68" spans="1:30" s="502" customFormat="1" x14ac:dyDescent="0.2">
      <c r="A68" s="50"/>
      <c r="B68" s="50"/>
      <c r="C68" s="50"/>
      <c r="D68" s="31"/>
      <c r="E68" s="50"/>
      <c r="F68" s="50"/>
      <c r="G68" s="50"/>
      <c r="H68"/>
      <c r="I68"/>
      <c r="J68"/>
      <c r="K68"/>
      <c r="L68" s="30"/>
      <c r="M68" s="30"/>
      <c r="N68" s="30"/>
      <c r="O68"/>
      <c r="P68"/>
      <c r="Q68" s="23"/>
      <c r="R68" s="23"/>
      <c r="S68" s="50"/>
      <c r="T68" s="40"/>
      <c r="U68" s="40"/>
      <c r="V68" s="50"/>
      <c r="W68" s="50"/>
      <c r="X68" s="50"/>
      <c r="Y68"/>
      <c r="AA68"/>
      <c r="AB68"/>
      <c r="AC68"/>
      <c r="AD68"/>
    </row>
    <row r="69" spans="1:30" x14ac:dyDescent="0.2">
      <c r="A69" s="50"/>
      <c r="B69" s="50"/>
      <c r="C69" s="50"/>
      <c r="D69" s="31"/>
      <c r="E69" s="50"/>
      <c r="F69" s="50"/>
      <c r="G69" s="50"/>
    </row>
    <row r="70" spans="1:30" s="502" customFormat="1" x14ac:dyDescent="0.2">
      <c r="A70" s="50"/>
      <c r="B70" s="50"/>
      <c r="C70" s="50"/>
      <c r="D70" s="31"/>
      <c r="E70" s="50"/>
      <c r="F70" s="50"/>
      <c r="G70" s="50"/>
      <c r="H70"/>
      <c r="I70"/>
      <c r="J70"/>
      <c r="K70"/>
      <c r="L70" s="30"/>
      <c r="M70" s="30"/>
      <c r="N70" s="30"/>
      <c r="O70"/>
      <c r="P70"/>
      <c r="Q70"/>
      <c r="R70"/>
      <c r="S70" s="50"/>
      <c r="T70" s="50"/>
      <c r="U70" s="50"/>
      <c r="V70" s="50"/>
      <c r="W70" s="50"/>
      <c r="X70" s="50"/>
      <c r="Y70"/>
      <c r="AA70"/>
      <c r="AB70"/>
      <c r="AC70"/>
      <c r="AD70"/>
    </row>
    <row r="71" spans="1:30" x14ac:dyDescent="0.2">
      <c r="A71" s="50"/>
      <c r="B71" s="50"/>
      <c r="C71" s="50"/>
      <c r="D71" s="31"/>
      <c r="E71" s="50"/>
      <c r="F71" s="50"/>
      <c r="G71" s="50"/>
    </row>
  </sheetData>
  <mergeCells count="4">
    <mergeCell ref="B1:G1"/>
    <mergeCell ref="B2:G2"/>
    <mergeCell ref="B3:G3"/>
    <mergeCell ref="B4:G4"/>
  </mergeCells>
  <printOptions horizontalCentered="1"/>
  <pageMargins left="0.25" right="0.25" top="0.7" bottom="0.75" header="0.5" footer="0.5"/>
  <pageSetup orientation="landscape" blackAndWhite="1" horizontalDpi="300" verticalDpi="300" r:id="rId1"/>
  <headerFooter alignWithMargins="0">
    <oddFooter>&amp;R&amp;A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1"/>
  <sheetViews>
    <sheetView zoomScaleNormal="100" workbookViewId="0">
      <selection activeCell="D36" sqref="D36"/>
    </sheetView>
  </sheetViews>
  <sheetFormatPr defaultRowHeight="12.75" x14ac:dyDescent="0.2"/>
  <cols>
    <col min="1" max="1" width="2.42578125" customWidth="1"/>
    <col min="2" max="2" width="4.85546875" customWidth="1"/>
    <col min="3" max="3" width="42.28515625" customWidth="1"/>
    <col min="4" max="4" width="16.7109375" style="30" customWidth="1"/>
    <col min="5" max="5" width="16.7109375" customWidth="1"/>
    <col min="6" max="10" width="9.140625" customWidth="1"/>
    <col min="11" max="13" width="9.140625" style="30" customWidth="1"/>
    <col min="14" max="17" width="9.140625" customWidth="1"/>
    <col min="18" max="23" width="9.140625" style="50" customWidth="1"/>
    <col min="24" max="24" width="9.140625" customWidth="1"/>
    <col min="25" max="25" width="9.140625" style="502" customWidth="1"/>
    <col min="26" max="26" width="9.140625" customWidth="1"/>
  </cols>
  <sheetData>
    <row r="1" spans="1:25" x14ac:dyDescent="0.2">
      <c r="A1" s="61"/>
      <c r="B1" s="846" t="s">
        <v>1</v>
      </c>
      <c r="C1" s="846"/>
      <c r="D1" s="846"/>
      <c r="E1" s="846"/>
      <c r="F1" s="660"/>
      <c r="G1" s="90"/>
      <c r="H1" s="71"/>
      <c r="I1" s="90"/>
      <c r="J1" s="90"/>
      <c r="K1"/>
      <c r="L1" s="502"/>
      <c r="M1"/>
      <c r="R1"/>
      <c r="S1"/>
      <c r="T1"/>
      <c r="U1"/>
      <c r="V1"/>
      <c r="W1"/>
      <c r="Y1"/>
    </row>
    <row r="2" spans="1:25" x14ac:dyDescent="0.2">
      <c r="A2" s="61"/>
      <c r="B2" s="846" t="s">
        <v>397</v>
      </c>
      <c r="C2" s="846"/>
      <c r="D2" s="846"/>
      <c r="E2" s="846"/>
      <c r="F2" s="660"/>
      <c r="G2" s="90"/>
      <c r="H2" s="71"/>
      <c r="I2" s="90"/>
      <c r="J2" s="90"/>
      <c r="K2"/>
      <c r="L2" s="502"/>
      <c r="M2"/>
      <c r="R2"/>
      <c r="S2"/>
      <c r="T2"/>
      <c r="U2"/>
      <c r="V2"/>
      <c r="W2"/>
      <c r="Y2"/>
    </row>
    <row r="3" spans="1:25" x14ac:dyDescent="0.2">
      <c r="B3" s="846" t="s">
        <v>533</v>
      </c>
      <c r="C3" s="846"/>
      <c r="D3" s="846"/>
      <c r="E3" s="846"/>
      <c r="F3" s="660"/>
      <c r="G3" s="90"/>
      <c r="H3" s="71"/>
      <c r="I3" s="90"/>
      <c r="J3" s="90"/>
      <c r="K3"/>
      <c r="L3" s="502"/>
      <c r="M3"/>
      <c r="R3"/>
      <c r="S3"/>
      <c r="T3"/>
      <c r="U3"/>
      <c r="V3"/>
      <c r="W3"/>
      <c r="Y3"/>
    </row>
    <row r="4" spans="1:25" x14ac:dyDescent="0.2">
      <c r="B4" s="846" t="s">
        <v>542</v>
      </c>
      <c r="C4" s="846"/>
      <c r="D4" s="846"/>
      <c r="E4" s="846"/>
      <c r="F4" s="660"/>
      <c r="G4" s="90"/>
      <c r="H4" s="71"/>
      <c r="I4" s="90"/>
      <c r="J4" s="90"/>
      <c r="K4"/>
      <c r="L4" s="502"/>
      <c r="M4"/>
      <c r="R4"/>
      <c r="S4"/>
      <c r="T4"/>
      <c r="U4"/>
      <c r="V4"/>
      <c r="W4"/>
      <c r="Y4"/>
    </row>
    <row r="5" spans="1:25" x14ac:dyDescent="0.2">
      <c r="B5" s="766"/>
      <c r="C5" s="766"/>
      <c r="D5" s="766"/>
      <c r="E5" s="766"/>
      <c r="F5" s="660"/>
      <c r="G5" s="90"/>
      <c r="H5" s="71"/>
      <c r="I5" s="90"/>
      <c r="J5" s="90"/>
      <c r="K5"/>
      <c r="L5" s="709"/>
      <c r="M5"/>
      <c r="R5"/>
      <c r="S5"/>
      <c r="T5"/>
      <c r="U5"/>
      <c r="V5"/>
      <c r="W5"/>
      <c r="Y5"/>
    </row>
    <row r="6" spans="1:25" x14ac:dyDescent="0.2">
      <c r="B6" s="61"/>
      <c r="C6" s="61"/>
      <c r="D6" s="61"/>
      <c r="E6" s="71"/>
      <c r="F6" s="71"/>
      <c r="G6" s="71"/>
      <c r="H6" s="71"/>
      <c r="I6" s="71"/>
      <c r="J6" s="71"/>
      <c r="K6"/>
      <c r="L6" s="502"/>
      <c r="M6"/>
      <c r="R6"/>
      <c r="S6"/>
      <c r="T6"/>
      <c r="U6"/>
      <c r="V6"/>
      <c r="W6"/>
      <c r="Y6"/>
    </row>
    <row r="7" spans="1:25" x14ac:dyDescent="0.2">
      <c r="B7" s="69"/>
      <c r="D7" s="27" t="s">
        <v>342</v>
      </c>
      <c r="E7" s="27" t="s">
        <v>342</v>
      </c>
      <c r="F7" s="174"/>
      <c r="G7" s="174"/>
      <c r="H7" s="174"/>
      <c r="I7" s="50"/>
      <c r="J7" s="71"/>
      <c r="K7"/>
      <c r="L7" s="502"/>
      <c r="M7"/>
      <c r="R7"/>
      <c r="S7"/>
      <c r="T7"/>
      <c r="U7"/>
      <c r="V7"/>
      <c r="W7"/>
      <c r="Y7"/>
    </row>
    <row r="8" spans="1:25" x14ac:dyDescent="0.2">
      <c r="D8" s="27" t="s">
        <v>343</v>
      </c>
      <c r="E8" s="27" t="s">
        <v>343</v>
      </c>
      <c r="G8" s="50"/>
      <c r="H8" s="50"/>
      <c r="I8" s="50"/>
      <c r="J8" s="50"/>
      <c r="K8"/>
      <c r="L8" s="502"/>
      <c r="M8"/>
      <c r="R8"/>
      <c r="S8"/>
      <c r="T8"/>
      <c r="U8"/>
      <c r="V8"/>
      <c r="W8"/>
      <c r="Y8"/>
    </row>
    <row r="9" spans="1:25" ht="13.5" thickBot="1" x14ac:dyDescent="0.25">
      <c r="D9" s="579" t="s">
        <v>169</v>
      </c>
      <c r="E9" s="579" t="s">
        <v>169</v>
      </c>
      <c r="G9" s="50"/>
      <c r="H9" s="50"/>
      <c r="I9" s="50"/>
      <c r="J9" s="27"/>
      <c r="K9"/>
      <c r="L9" s="399"/>
      <c r="M9" s="80"/>
      <c r="R9"/>
      <c r="S9"/>
      <c r="T9"/>
      <c r="U9"/>
      <c r="V9"/>
      <c r="W9"/>
      <c r="Y9"/>
    </row>
    <row r="10" spans="1:25" x14ac:dyDescent="0.2">
      <c r="B10" s="16" t="s">
        <v>112</v>
      </c>
      <c r="C10" s="16" t="s">
        <v>117</v>
      </c>
      <c r="D10" s="764" t="s">
        <v>595</v>
      </c>
      <c r="E10" s="764" t="s">
        <v>596</v>
      </c>
      <c r="G10" s="50"/>
      <c r="H10" s="678" t="s">
        <v>114</v>
      </c>
      <c r="I10" s="679" t="s">
        <v>114</v>
      </c>
      <c r="J10" s="27"/>
      <c r="K10"/>
      <c r="L10" s="579"/>
      <c r="M10" s="60"/>
      <c r="P10" s="30"/>
      <c r="R10"/>
      <c r="S10"/>
      <c r="T10"/>
      <c r="U10"/>
      <c r="V10"/>
      <c r="W10"/>
      <c r="Y10"/>
    </row>
    <row r="11" spans="1:25" x14ac:dyDescent="0.2">
      <c r="C11" s="41" t="s">
        <v>173</v>
      </c>
      <c r="D11" s="41" t="s">
        <v>174</v>
      </c>
      <c r="E11" s="41" t="s">
        <v>175</v>
      </c>
      <c r="G11" s="50"/>
      <c r="H11" s="680"/>
      <c r="I11" s="681"/>
      <c r="J11" s="41"/>
      <c r="K11" s="41"/>
      <c r="L11" s="41"/>
      <c r="P11" s="30"/>
      <c r="R11"/>
      <c r="S11"/>
      <c r="T11"/>
      <c r="U11"/>
      <c r="V11"/>
      <c r="W11"/>
      <c r="Y11"/>
    </row>
    <row r="12" spans="1:25" x14ac:dyDescent="0.2">
      <c r="B12" s="614">
        <f>B33+1</f>
        <v>1</v>
      </c>
      <c r="C12" s="189" t="s">
        <v>183</v>
      </c>
      <c r="D12" s="86">
        <f>SUM('(R) Restated Norm Revenue'!R1013:R1015)</f>
        <v>197008983.53210199</v>
      </c>
      <c r="E12" s="84">
        <f>SUM('(R) Restated Norm Revenue'!R1068:R1070)</f>
        <v>188052719.66609019</v>
      </c>
      <c r="G12" s="50"/>
      <c r="H12" s="680"/>
      <c r="I12" s="681"/>
      <c r="J12" s="41"/>
      <c r="K12" s="579"/>
      <c r="L12" s="673"/>
      <c r="R12"/>
      <c r="S12"/>
      <c r="T12"/>
      <c r="U12"/>
      <c r="V12"/>
      <c r="W12"/>
      <c r="Y12"/>
    </row>
    <row r="13" spans="1:25" x14ac:dyDescent="0.2">
      <c r="B13" s="38">
        <f t="shared" ref="B13:B24" si="0">B12+1</f>
        <v>2</v>
      </c>
      <c r="C13" s="173" t="s">
        <v>154</v>
      </c>
      <c r="D13" s="94">
        <f>'(R) Restated Norm Revenue'!R1016</f>
        <v>72863186.380163103</v>
      </c>
      <c r="E13" s="85">
        <f>'(R) Restated Norm Revenue'!R1071</f>
        <v>69550703.806672812</v>
      </c>
      <c r="G13" s="50"/>
      <c r="H13" s="680"/>
      <c r="I13" s="681"/>
      <c r="J13" s="66"/>
      <c r="K13" s="66"/>
      <c r="L13" s="66"/>
      <c r="R13"/>
      <c r="S13"/>
      <c r="T13"/>
      <c r="U13"/>
      <c r="V13"/>
      <c r="W13"/>
      <c r="Y13"/>
    </row>
    <row r="14" spans="1:25" x14ac:dyDescent="0.2">
      <c r="B14" s="38">
        <f t="shared" si="0"/>
        <v>3</v>
      </c>
      <c r="C14" s="80" t="s">
        <v>392</v>
      </c>
      <c r="D14" s="94">
        <f>'(R) Restated Norm Revenue'!R1021</f>
        <v>30.389638999999999</v>
      </c>
      <c r="E14" s="85">
        <f>'(R) Restated Norm Revenue'!R1076</f>
        <v>30.389638999999999</v>
      </c>
      <c r="G14" s="50"/>
      <c r="H14" s="680"/>
      <c r="I14" s="681"/>
      <c r="J14" s="66"/>
      <c r="K14" s="66"/>
      <c r="L14" s="66"/>
      <c r="R14"/>
      <c r="S14"/>
      <c r="T14"/>
      <c r="U14"/>
      <c r="V14"/>
      <c r="W14"/>
      <c r="Y14"/>
    </row>
    <row r="15" spans="1:25" x14ac:dyDescent="0.2">
      <c r="B15" s="38">
        <f t="shared" si="0"/>
        <v>4</v>
      </c>
      <c r="C15" s="189" t="s">
        <v>153</v>
      </c>
      <c r="D15" s="94">
        <f>'(R) Restated Norm Revenue'!R1017</f>
        <v>18624424.888310701</v>
      </c>
      <c r="E15" s="85">
        <f>'(R) Restated Norm Revenue'!R1072</f>
        <v>17769165.421725258</v>
      </c>
      <c r="G15" s="50"/>
      <c r="H15" s="680"/>
      <c r="I15" s="681"/>
      <c r="J15" s="66"/>
      <c r="K15" s="66"/>
      <c r="L15" s="66"/>
      <c r="R15"/>
      <c r="S15"/>
      <c r="T15"/>
      <c r="U15"/>
      <c r="V15"/>
      <c r="W15"/>
      <c r="Y15"/>
    </row>
    <row r="16" spans="1:25" x14ac:dyDescent="0.2">
      <c r="B16" s="38">
        <f>B15+1</f>
        <v>5</v>
      </c>
      <c r="C16" s="189" t="s">
        <v>272</v>
      </c>
      <c r="D16" s="94">
        <f>'(R) Restated Norm Revenue'!R1022</f>
        <v>13477.9746633</v>
      </c>
      <c r="E16" s="85">
        <f>'(R) Restated Norm Revenue'!R1077</f>
        <v>13477.9746633</v>
      </c>
      <c r="G16" s="50"/>
      <c r="H16" s="680"/>
      <c r="I16" s="681"/>
      <c r="J16" s="66"/>
      <c r="K16" s="66"/>
      <c r="L16" s="66"/>
      <c r="R16"/>
      <c r="S16"/>
      <c r="T16"/>
      <c r="U16"/>
      <c r="V16"/>
      <c r="W16"/>
      <c r="Y16"/>
    </row>
    <row r="17" spans="2:25" x14ac:dyDescent="0.2">
      <c r="B17" s="38">
        <f>B16+1</f>
        <v>6</v>
      </c>
      <c r="C17" s="189" t="s">
        <v>156</v>
      </c>
      <c r="D17" s="94">
        <f>'(R) Restated Norm Revenue'!R1018</f>
        <v>4494980.4766552001</v>
      </c>
      <c r="E17" s="85">
        <f>'(R) Restated Norm Revenue'!R1073</f>
        <v>4290501.0237539206</v>
      </c>
      <c r="G17" s="50"/>
      <c r="H17" s="680"/>
      <c r="I17" s="681"/>
      <c r="J17" s="66"/>
      <c r="K17" s="66"/>
      <c r="L17" s="66"/>
      <c r="R17"/>
      <c r="S17"/>
      <c r="T17"/>
      <c r="U17"/>
      <c r="V17"/>
      <c r="W17"/>
      <c r="Y17"/>
    </row>
    <row r="18" spans="2:25" x14ac:dyDescent="0.2">
      <c r="B18" s="38">
        <f t="shared" si="0"/>
        <v>7</v>
      </c>
      <c r="C18" s="189" t="s">
        <v>279</v>
      </c>
      <c r="D18" s="94">
        <f>'(R) Restated Norm Revenue'!R1023</f>
        <v>53607.810984000011</v>
      </c>
      <c r="E18" s="85">
        <f>'(R) Restated Norm Revenue'!R1078</f>
        <v>53607.810984000011</v>
      </c>
      <c r="G18" s="50"/>
      <c r="H18" s="680"/>
      <c r="I18" s="681"/>
      <c r="J18" s="66"/>
      <c r="K18" s="66"/>
      <c r="L18" s="66"/>
      <c r="R18"/>
      <c r="S18"/>
      <c r="T18"/>
      <c r="U18"/>
      <c r="V18"/>
      <c r="W18"/>
      <c r="Y18"/>
    </row>
    <row r="19" spans="2:25" x14ac:dyDescent="0.2">
      <c r="B19" s="38">
        <f t="shared" si="0"/>
        <v>8</v>
      </c>
      <c r="C19" s="189" t="s">
        <v>157</v>
      </c>
      <c r="D19" s="94">
        <f>'(R) Restated Norm Revenue'!R1019</f>
        <v>2526653.7291643196</v>
      </c>
      <c r="E19" s="85">
        <f>'(R) Restated Norm Revenue'!R1074</f>
        <v>2411619.10067276</v>
      </c>
      <c r="G19" s="50"/>
      <c r="H19" s="680"/>
      <c r="I19" s="681"/>
      <c r="J19" s="66"/>
      <c r="K19" s="66"/>
      <c r="L19" s="66"/>
      <c r="R19"/>
      <c r="S19"/>
      <c r="T19"/>
      <c r="U19"/>
      <c r="V19"/>
      <c r="W19"/>
      <c r="Y19"/>
    </row>
    <row r="20" spans="2:25" x14ac:dyDescent="0.2">
      <c r="B20" s="38">
        <f t="shared" si="0"/>
        <v>9</v>
      </c>
      <c r="C20" s="80" t="s">
        <v>330</v>
      </c>
      <c r="D20" s="94">
        <f>'(R) Restated Norm Revenue'!R1024</f>
        <v>248.24569000000002</v>
      </c>
      <c r="E20" s="85">
        <f>'(R) Restated Norm Revenue'!R1079</f>
        <v>248.24569000000002</v>
      </c>
      <c r="G20" s="50"/>
      <c r="H20" s="680"/>
      <c r="I20" s="681"/>
      <c r="J20" s="66"/>
      <c r="K20" s="66"/>
      <c r="L20" s="66"/>
      <c r="R20"/>
      <c r="S20"/>
      <c r="T20"/>
      <c r="U20"/>
      <c r="V20"/>
      <c r="W20"/>
      <c r="Y20"/>
    </row>
    <row r="21" spans="2:25" x14ac:dyDescent="0.2">
      <c r="B21" s="38">
        <f t="shared" si="0"/>
        <v>10</v>
      </c>
      <c r="C21" s="189" t="s">
        <v>158</v>
      </c>
      <c r="D21" s="94">
        <f>'(R) Restated Norm Revenue'!R1020</f>
        <v>6293993.0193563206</v>
      </c>
      <c r="E21" s="85">
        <f>'(R) Restated Norm Revenue'!R1075</f>
        <v>6007965.8998181997</v>
      </c>
      <c r="G21" s="50"/>
      <c r="H21" s="680"/>
      <c r="I21" s="681"/>
      <c r="J21" s="66"/>
      <c r="K21" s="66"/>
      <c r="L21" s="66"/>
      <c r="R21"/>
      <c r="S21"/>
      <c r="T21"/>
      <c r="U21"/>
      <c r="V21"/>
      <c r="W21"/>
      <c r="Y21"/>
    </row>
    <row r="22" spans="2:25" x14ac:dyDescent="0.2">
      <c r="B22" s="38">
        <f t="shared" si="0"/>
        <v>11</v>
      </c>
      <c r="C22" s="189" t="s">
        <v>280</v>
      </c>
      <c r="D22" s="94">
        <f>'(R) Restated Norm Revenue'!R1025</f>
        <v>72719.024875000003</v>
      </c>
      <c r="E22" s="85">
        <f>'(R) Restated Norm Revenue'!R1080</f>
        <v>72719.024875000003</v>
      </c>
      <c r="G22" s="50"/>
      <c r="H22" s="680"/>
      <c r="I22" s="681"/>
      <c r="J22" s="66"/>
      <c r="K22" s="66"/>
      <c r="L22" s="66"/>
      <c r="R22"/>
      <c r="S22"/>
      <c r="T22"/>
      <c r="U22"/>
      <c r="V22"/>
      <c r="W22"/>
      <c r="Y22"/>
    </row>
    <row r="23" spans="2:25" x14ac:dyDescent="0.2">
      <c r="B23" s="38">
        <f t="shared" si="0"/>
        <v>12</v>
      </c>
      <c r="C23" s="189" t="s">
        <v>239</v>
      </c>
      <c r="D23" s="94">
        <v>0</v>
      </c>
      <c r="E23" s="85">
        <v>0</v>
      </c>
      <c r="G23" s="50"/>
      <c r="H23" s="680"/>
      <c r="I23" s="681"/>
      <c r="J23" s="66"/>
      <c r="K23" s="66"/>
      <c r="L23" s="66"/>
      <c r="R23"/>
      <c r="S23"/>
      <c r="T23"/>
      <c r="U23"/>
      <c r="V23"/>
      <c r="W23"/>
      <c r="Y23"/>
    </row>
    <row r="24" spans="2:25" ht="13.5" thickBot="1" x14ac:dyDescent="0.25">
      <c r="B24" s="38">
        <f t="shared" si="0"/>
        <v>13</v>
      </c>
      <c r="C24" s="80" t="s">
        <v>394</v>
      </c>
      <c r="D24" s="35">
        <f>SUM(D12:D23)</f>
        <v>301952305.47160286</v>
      </c>
      <c r="E24" s="101">
        <f>SUM(E12:E23)</f>
        <v>288222758.36458445</v>
      </c>
      <c r="G24" s="50"/>
      <c r="H24" s="682">
        <f>D24-'(R) Restated Norm Revenue'!R1027</f>
        <v>0</v>
      </c>
      <c r="I24" s="683">
        <f>E24-'(R) Restated Norm Revenue'!R1082</f>
        <v>0</v>
      </c>
      <c r="J24" s="66"/>
      <c r="K24" s="66"/>
      <c r="L24" s="66"/>
      <c r="R24"/>
      <c r="S24"/>
      <c r="T24"/>
      <c r="U24"/>
      <c r="V24"/>
      <c r="W24"/>
      <c r="Y24"/>
    </row>
    <row r="25" spans="2:25" x14ac:dyDescent="0.2">
      <c r="G25" s="50"/>
      <c r="H25" s="50"/>
      <c r="I25" s="50"/>
      <c r="J25" s="66"/>
      <c r="K25" s="66"/>
      <c r="L25" s="66"/>
      <c r="R25"/>
      <c r="S25"/>
      <c r="T25"/>
      <c r="U25"/>
      <c r="V25"/>
      <c r="W25"/>
      <c r="Y25"/>
    </row>
    <row r="26" spans="2:25" x14ac:dyDescent="0.2">
      <c r="B26" s="765" t="s">
        <v>547</v>
      </c>
      <c r="C26" s="80" t="s">
        <v>597</v>
      </c>
      <c r="G26" s="50"/>
      <c r="H26" s="50"/>
      <c r="I26" s="23"/>
      <c r="J26" s="50"/>
      <c r="K26" s="66"/>
      <c r="L26" s="50"/>
      <c r="R26"/>
      <c r="S26"/>
      <c r="T26"/>
      <c r="U26"/>
      <c r="V26"/>
      <c r="W26"/>
      <c r="Y26"/>
    </row>
    <row r="27" spans="2:25" x14ac:dyDescent="0.2">
      <c r="G27" s="50"/>
      <c r="H27" s="50"/>
      <c r="I27" s="36"/>
      <c r="J27" s="66"/>
      <c r="K27" s="66"/>
      <c r="L27" s="36"/>
      <c r="R27"/>
      <c r="S27"/>
      <c r="T27"/>
      <c r="U27"/>
      <c r="V27"/>
      <c r="W27"/>
      <c r="Y27"/>
    </row>
    <row r="28" spans="2:25" x14ac:dyDescent="0.2">
      <c r="G28" s="50"/>
      <c r="H28" s="50"/>
      <c r="I28" s="40"/>
      <c r="J28" s="66"/>
      <c r="K28" s="66"/>
      <c r="L28" s="36"/>
      <c r="R28"/>
      <c r="S28"/>
      <c r="T28"/>
      <c r="U28"/>
      <c r="V28"/>
      <c r="W28"/>
      <c r="Y28"/>
    </row>
    <row r="29" spans="2:25" x14ac:dyDescent="0.2">
      <c r="G29" s="50"/>
      <c r="H29" s="50"/>
      <c r="I29" s="40"/>
      <c r="J29" s="66"/>
      <c r="K29" s="66"/>
      <c r="L29" s="36"/>
      <c r="R29"/>
      <c r="S29"/>
      <c r="T29"/>
      <c r="U29"/>
      <c r="V29"/>
      <c r="W29"/>
      <c r="Y29"/>
    </row>
    <row r="30" spans="2:25" x14ac:dyDescent="0.2">
      <c r="G30" s="50"/>
      <c r="H30" s="50"/>
      <c r="I30" s="40"/>
      <c r="J30" s="66"/>
      <c r="K30" s="66"/>
      <c r="L30" s="36"/>
      <c r="R30"/>
      <c r="S30"/>
      <c r="T30"/>
      <c r="U30"/>
      <c r="V30"/>
      <c r="W30"/>
      <c r="Y30"/>
    </row>
    <row r="31" spans="2:25" x14ac:dyDescent="0.2">
      <c r="C31" s="188"/>
      <c r="D31" s="40"/>
      <c r="E31" s="40"/>
      <c r="F31" s="40"/>
      <c r="G31" s="40"/>
      <c r="H31" s="40"/>
      <c r="I31" s="40"/>
      <c r="J31" s="50"/>
      <c r="K31" s="66"/>
      <c r="L31" s="31"/>
      <c r="R31"/>
      <c r="S31"/>
      <c r="T31"/>
      <c r="U31"/>
      <c r="V31"/>
      <c r="W31"/>
      <c r="Y31"/>
    </row>
    <row r="32" spans="2:25" x14ac:dyDescent="0.2">
      <c r="D32" s="87"/>
      <c r="E32" s="79"/>
      <c r="F32" s="40"/>
      <c r="G32" s="79"/>
      <c r="H32" s="79"/>
      <c r="I32" s="79"/>
      <c r="J32" s="66"/>
      <c r="K32" s="66"/>
      <c r="L32" s="31"/>
      <c r="R32"/>
      <c r="S32"/>
      <c r="T32"/>
      <c r="U32"/>
      <c r="V32"/>
      <c r="W32"/>
      <c r="Y32"/>
    </row>
    <row r="33" spans="1:29" x14ac:dyDescent="0.2">
      <c r="C33" s="188"/>
      <c r="D33" s="87"/>
      <c r="E33" s="79"/>
      <c r="F33" s="79"/>
      <c r="G33" s="79"/>
      <c r="H33" s="79"/>
      <c r="I33" s="79"/>
      <c r="J33" s="79"/>
      <c r="K33"/>
      <c r="L33" s="461"/>
      <c r="R33"/>
      <c r="S33"/>
      <c r="T33"/>
      <c r="U33"/>
      <c r="V33"/>
      <c r="W33"/>
      <c r="Y33"/>
    </row>
    <row r="34" spans="1:29" x14ac:dyDescent="0.2">
      <c r="C34" s="80"/>
      <c r="D34" s="40"/>
      <c r="E34" s="40"/>
      <c r="F34" s="40"/>
      <c r="G34" s="128"/>
      <c r="H34" s="40"/>
      <c r="I34" s="40"/>
      <c r="J34" s="40"/>
      <c r="K34"/>
      <c r="L34" s="502"/>
      <c r="M34"/>
      <c r="R34"/>
      <c r="S34"/>
      <c r="T34"/>
      <c r="U34"/>
      <c r="V34"/>
      <c r="W34"/>
      <c r="Y34"/>
    </row>
    <row r="35" spans="1:29" x14ac:dyDescent="0.2">
      <c r="D35" s="93"/>
      <c r="E35" s="55"/>
      <c r="F35" s="23"/>
      <c r="G35" s="23"/>
      <c r="H35" s="23"/>
      <c r="I35" s="23"/>
      <c r="J35" s="23"/>
      <c r="K35" s="50"/>
      <c r="L35" s="31"/>
      <c r="M35" s="27"/>
      <c r="N35" s="50"/>
      <c r="O35" s="50"/>
      <c r="P35" s="36"/>
      <c r="Q35" s="55"/>
      <c r="R35" s="75"/>
      <c r="S35" s="75"/>
      <c r="T35" s="75"/>
      <c r="U35" s="75"/>
      <c r="V35" s="75"/>
      <c r="W35" s="75"/>
      <c r="X35" s="88"/>
    </row>
    <row r="36" spans="1:29" x14ac:dyDescent="0.2">
      <c r="B36" s="174"/>
      <c r="D36" s="174"/>
      <c r="E36" s="174"/>
      <c r="F36" s="23"/>
      <c r="G36" s="23"/>
      <c r="H36" s="23"/>
      <c r="I36" s="23"/>
      <c r="J36" s="23"/>
      <c r="K36" s="50"/>
      <c r="L36" s="41"/>
      <c r="M36" s="27"/>
      <c r="N36" s="27"/>
      <c r="O36" s="50"/>
      <c r="P36" s="36"/>
      <c r="Q36" s="55"/>
      <c r="R36" s="75"/>
      <c r="S36" s="75"/>
      <c r="T36" s="75"/>
      <c r="U36" s="75"/>
      <c r="V36" s="75"/>
      <c r="W36" s="75"/>
      <c r="X36" s="88"/>
    </row>
    <row r="37" spans="1:29" x14ac:dyDescent="0.2">
      <c r="C37" s="646"/>
      <c r="D37" s="50"/>
      <c r="E37" s="50"/>
      <c r="F37" s="23"/>
      <c r="G37" s="23"/>
      <c r="H37" s="23"/>
      <c r="I37" s="23"/>
      <c r="J37" s="23"/>
      <c r="K37" s="27"/>
      <c r="L37" s="41"/>
      <c r="M37" s="27"/>
      <c r="N37" s="579"/>
      <c r="O37" s="579"/>
      <c r="P37" s="36"/>
      <c r="Q37" s="55"/>
      <c r="R37" s="75"/>
      <c r="S37" s="75"/>
      <c r="T37" s="75"/>
      <c r="U37" s="75"/>
      <c r="V37" s="75"/>
      <c r="W37" s="75"/>
      <c r="X37" s="88"/>
    </row>
    <row r="38" spans="1:29" x14ac:dyDescent="0.2">
      <c r="F38" s="23"/>
      <c r="G38" s="23"/>
      <c r="H38" s="23"/>
      <c r="I38" s="23"/>
      <c r="J38" s="23"/>
      <c r="K38" s="27"/>
      <c r="L38" s="27"/>
      <c r="M38" s="27"/>
      <c r="N38" s="579"/>
      <c r="O38" s="661"/>
      <c r="P38" s="36"/>
      <c r="Q38" s="55"/>
      <c r="R38" s="75"/>
      <c r="S38" s="75"/>
      <c r="T38" s="75"/>
      <c r="U38" s="75"/>
      <c r="V38" s="75"/>
      <c r="W38" s="75"/>
      <c r="X38" s="88"/>
    </row>
    <row r="39" spans="1:29" x14ac:dyDescent="0.2">
      <c r="F39" s="23"/>
      <c r="G39" s="23"/>
      <c r="H39" s="23"/>
      <c r="I39" s="23"/>
      <c r="J39" s="23"/>
      <c r="K39" s="27"/>
      <c r="L39" s="27"/>
      <c r="M39" s="41"/>
      <c r="N39" s="652"/>
      <c r="O39" s="193"/>
      <c r="P39" s="36"/>
      <c r="Q39" s="55"/>
      <c r="R39" s="75"/>
      <c r="S39" s="75"/>
      <c r="T39" s="75"/>
      <c r="U39" s="75"/>
      <c r="V39" s="75"/>
      <c r="W39" s="75"/>
      <c r="X39" s="88"/>
    </row>
    <row r="40" spans="1:29" x14ac:dyDescent="0.2">
      <c r="F40" s="23"/>
      <c r="G40" s="23"/>
      <c r="H40" s="23"/>
      <c r="I40" s="23"/>
      <c r="J40" s="23"/>
      <c r="K40" s="27"/>
      <c r="L40" s="173"/>
      <c r="M40" s="653"/>
      <c r="N40" s="653"/>
      <c r="O40" s="659"/>
      <c r="P40" s="36"/>
      <c r="Q40" s="55"/>
      <c r="R40" s="75"/>
      <c r="S40" s="75"/>
      <c r="T40" s="75"/>
      <c r="U40" s="75"/>
      <c r="V40" s="75"/>
      <c r="W40" s="75"/>
      <c r="X40" s="88"/>
    </row>
    <row r="41" spans="1:29" x14ac:dyDescent="0.2">
      <c r="F41" s="23"/>
      <c r="G41" s="23"/>
      <c r="H41" s="23"/>
      <c r="I41" s="23"/>
      <c r="J41" s="23"/>
      <c r="K41" s="27"/>
      <c r="L41" s="173"/>
      <c r="M41" s="653"/>
      <c r="N41" s="653"/>
      <c r="O41" s="659"/>
      <c r="P41" s="36"/>
      <c r="Q41" s="55"/>
      <c r="R41" s="75"/>
      <c r="S41" s="75"/>
      <c r="T41" s="75"/>
      <c r="U41" s="75"/>
      <c r="V41" s="75"/>
      <c r="W41" s="75"/>
      <c r="X41" s="88"/>
    </row>
    <row r="42" spans="1:29" x14ac:dyDescent="0.2">
      <c r="F42" s="23"/>
      <c r="G42" s="23"/>
      <c r="H42" s="23"/>
      <c r="I42" s="23"/>
      <c r="J42" s="23"/>
      <c r="K42" s="27"/>
      <c r="L42" s="90"/>
      <c r="M42" s="653"/>
      <c r="N42" s="653"/>
      <c r="O42" s="659"/>
      <c r="P42" s="36"/>
      <c r="Q42" s="55"/>
      <c r="R42" s="75"/>
      <c r="S42" s="75"/>
      <c r="T42" s="75"/>
      <c r="U42" s="75"/>
      <c r="V42" s="75"/>
      <c r="W42" s="75"/>
      <c r="X42" s="88"/>
    </row>
    <row r="43" spans="1:29" x14ac:dyDescent="0.2">
      <c r="F43" s="23"/>
      <c r="G43" s="23"/>
      <c r="H43" s="23"/>
      <c r="I43" s="23"/>
      <c r="J43" s="23"/>
      <c r="K43" s="27"/>
      <c r="L43" s="173"/>
      <c r="M43" s="653"/>
      <c r="N43" s="653"/>
      <c r="O43" s="659"/>
      <c r="P43" s="36"/>
      <c r="Q43" s="55"/>
      <c r="R43" s="75"/>
      <c r="S43" s="75"/>
      <c r="T43" s="75"/>
      <c r="U43" s="75"/>
      <c r="V43" s="75"/>
      <c r="W43" s="75"/>
      <c r="X43" s="88"/>
    </row>
    <row r="44" spans="1:29" x14ac:dyDescent="0.2">
      <c r="F44" s="23"/>
      <c r="G44" s="23"/>
      <c r="H44" s="23"/>
      <c r="I44" s="23"/>
      <c r="J44" s="23"/>
      <c r="K44" s="27"/>
      <c r="L44" s="175"/>
      <c r="M44" s="653"/>
      <c r="N44" s="653"/>
      <c r="O44" s="659"/>
      <c r="P44" s="36"/>
      <c r="Q44" s="55"/>
      <c r="R44" s="75"/>
      <c r="S44" s="75"/>
      <c r="T44" s="75"/>
      <c r="U44" s="75"/>
      <c r="V44" s="75"/>
      <c r="W44" s="75"/>
      <c r="X44" s="88"/>
    </row>
    <row r="45" spans="1:29" x14ac:dyDescent="0.2">
      <c r="F45" s="23"/>
      <c r="G45" s="23"/>
      <c r="H45" s="23"/>
      <c r="I45" s="23"/>
      <c r="J45" s="23"/>
      <c r="K45" s="27"/>
      <c r="L45" s="173"/>
      <c r="M45" s="653"/>
      <c r="N45" s="653"/>
      <c r="O45" s="659"/>
      <c r="P45" s="36"/>
      <c r="Q45" s="55"/>
      <c r="R45" s="75"/>
      <c r="S45" s="75"/>
      <c r="T45" s="75"/>
      <c r="U45" s="75"/>
      <c r="V45" s="75"/>
      <c r="W45" s="75"/>
      <c r="X45" s="88"/>
    </row>
    <row r="46" spans="1:29" x14ac:dyDescent="0.2">
      <c r="F46" s="23"/>
      <c r="G46" s="23"/>
      <c r="H46" s="23"/>
      <c r="I46" s="23"/>
      <c r="J46" s="23"/>
      <c r="K46" s="27"/>
      <c r="L46" s="175"/>
      <c r="M46" s="653"/>
      <c r="N46" s="653"/>
      <c r="O46" s="659"/>
      <c r="P46" s="36"/>
      <c r="Q46" s="55"/>
      <c r="R46" s="75"/>
      <c r="S46" s="75"/>
      <c r="T46" s="75"/>
      <c r="U46" s="75"/>
      <c r="V46" s="75"/>
      <c r="W46" s="75"/>
      <c r="X46" s="88"/>
    </row>
    <row r="47" spans="1:29" x14ac:dyDescent="0.2">
      <c r="F47" s="23"/>
      <c r="G47" s="23"/>
      <c r="H47" s="23"/>
      <c r="I47" s="23"/>
      <c r="J47" s="23"/>
      <c r="K47" s="27"/>
      <c r="L47" s="173"/>
      <c r="M47" s="653"/>
      <c r="N47" s="653"/>
      <c r="O47" s="659"/>
      <c r="P47" s="36"/>
      <c r="Q47" s="55"/>
      <c r="R47" s="75"/>
      <c r="S47" s="75"/>
      <c r="T47" s="75"/>
      <c r="U47" s="75"/>
      <c r="V47" s="75"/>
      <c r="W47" s="75"/>
      <c r="X47" s="88"/>
    </row>
    <row r="48" spans="1:29" s="502" customFormat="1" x14ac:dyDescent="0.2">
      <c r="A48"/>
      <c r="F48" s="23"/>
      <c r="G48" s="23"/>
      <c r="H48" s="23"/>
      <c r="I48" s="23"/>
      <c r="J48" s="23"/>
      <c r="K48" s="27"/>
      <c r="L48" s="90"/>
      <c r="M48" s="653"/>
      <c r="N48" s="653"/>
      <c r="O48" s="659"/>
      <c r="P48" s="36"/>
      <c r="Q48" s="55"/>
      <c r="R48" s="75"/>
      <c r="S48" s="75"/>
      <c r="T48" s="75"/>
      <c r="U48" s="75"/>
      <c r="V48" s="75"/>
      <c r="W48" s="75"/>
      <c r="X48" s="88"/>
      <c r="Z48"/>
      <c r="AA48"/>
      <c r="AB48"/>
      <c r="AC48"/>
    </row>
    <row r="49" spans="1:29" s="502" customFormat="1" x14ac:dyDescent="0.2">
      <c r="A49"/>
      <c r="F49" s="23"/>
      <c r="G49" s="23"/>
      <c r="H49" s="23"/>
      <c r="I49" s="23"/>
      <c r="J49" s="23"/>
      <c r="K49" s="27"/>
      <c r="L49" s="173"/>
      <c r="M49" s="653"/>
      <c r="N49" s="653"/>
      <c r="O49" s="659"/>
      <c r="P49" s="36"/>
      <c r="Q49" s="55"/>
      <c r="R49" s="75"/>
      <c r="S49" s="75"/>
      <c r="T49" s="75"/>
      <c r="U49" s="75"/>
      <c r="V49" s="75"/>
      <c r="W49" s="75"/>
      <c r="X49" s="88"/>
      <c r="Z49"/>
      <c r="AA49"/>
      <c r="AB49"/>
      <c r="AC49"/>
    </row>
    <row r="50" spans="1:29" s="502" customFormat="1" x14ac:dyDescent="0.2">
      <c r="A50"/>
      <c r="F50" s="23"/>
      <c r="G50" s="23"/>
      <c r="H50" s="23"/>
      <c r="I50" s="23"/>
      <c r="J50" s="23"/>
      <c r="K50" s="27"/>
      <c r="L50" s="175"/>
      <c r="M50" s="653"/>
      <c r="N50" s="653"/>
      <c r="O50" s="659"/>
      <c r="P50" s="36"/>
      <c r="Q50" s="55"/>
      <c r="R50" s="75"/>
      <c r="S50" s="75"/>
      <c r="T50" s="75"/>
      <c r="U50" s="75"/>
      <c r="V50" s="75"/>
      <c r="W50" s="75"/>
      <c r="X50" s="88"/>
      <c r="Z50"/>
      <c r="AA50"/>
      <c r="AB50"/>
      <c r="AC50"/>
    </row>
    <row r="51" spans="1:29" s="502" customFormat="1" x14ac:dyDescent="0.2">
      <c r="A51"/>
      <c r="F51" s="23"/>
      <c r="G51" s="23"/>
      <c r="H51" s="23"/>
      <c r="I51" s="23"/>
      <c r="J51" s="23"/>
      <c r="K51" s="27"/>
      <c r="L51" s="173"/>
      <c r="M51" s="653"/>
      <c r="N51" s="653"/>
      <c r="O51" s="659"/>
      <c r="P51" s="36"/>
      <c r="Q51" s="55"/>
      <c r="R51" s="75"/>
      <c r="S51" s="75"/>
      <c r="T51" s="75"/>
      <c r="U51" s="75"/>
      <c r="V51" s="75"/>
      <c r="W51" s="75"/>
      <c r="X51" s="88"/>
      <c r="Z51"/>
      <c r="AA51"/>
      <c r="AB51"/>
      <c r="AC51"/>
    </row>
    <row r="52" spans="1:29" s="502" customFormat="1" x14ac:dyDescent="0.2">
      <c r="A52"/>
      <c r="F52" s="23"/>
      <c r="G52" s="23"/>
      <c r="H52" s="23"/>
      <c r="I52" s="23"/>
      <c r="J52" s="23"/>
      <c r="K52" s="27"/>
      <c r="L52" s="90"/>
      <c r="M52" s="662"/>
      <c r="N52" s="662"/>
      <c r="O52" s="662"/>
      <c r="P52" s="36"/>
      <c r="Q52" s="55"/>
      <c r="R52" s="75"/>
      <c r="S52" s="75"/>
      <c r="T52" s="75"/>
      <c r="U52" s="75"/>
      <c r="V52" s="75"/>
      <c r="W52" s="75"/>
      <c r="X52" s="88"/>
      <c r="Z52"/>
      <c r="AA52"/>
      <c r="AB52"/>
      <c r="AC52"/>
    </row>
    <row r="53" spans="1:29" s="502" customFormat="1" x14ac:dyDescent="0.2">
      <c r="A53"/>
      <c r="F53" s="23"/>
      <c r="G53" s="23"/>
      <c r="H53" s="23"/>
      <c r="I53" s="23"/>
      <c r="J53" s="23"/>
      <c r="K53" s="27"/>
      <c r="L53" s="90"/>
      <c r="M53" s="40"/>
      <c r="N53" s="40"/>
      <c r="O53" s="40"/>
      <c r="P53" s="36"/>
      <c r="Q53" s="55"/>
      <c r="R53" s="75"/>
      <c r="S53" s="75"/>
      <c r="T53" s="75"/>
      <c r="U53" s="75"/>
      <c r="V53" s="75"/>
      <c r="W53" s="75"/>
      <c r="X53" s="88"/>
      <c r="Z53"/>
      <c r="AA53"/>
      <c r="AB53"/>
      <c r="AC53"/>
    </row>
    <row r="54" spans="1:29" s="502" customFormat="1" x14ac:dyDescent="0.2">
      <c r="A54"/>
      <c r="F54" s="23"/>
      <c r="G54" s="23"/>
      <c r="H54" s="23"/>
      <c r="I54" s="23"/>
      <c r="J54" s="23"/>
      <c r="K54" s="27"/>
      <c r="L54" s="173"/>
      <c r="M54" s="663"/>
      <c r="N54" s="664"/>
      <c r="O54" s="659"/>
      <c r="P54" s="36"/>
      <c r="Q54" s="55"/>
      <c r="R54" s="75"/>
      <c r="S54" s="75"/>
      <c r="T54" s="75"/>
      <c r="U54" s="75"/>
      <c r="V54" s="75"/>
      <c r="W54" s="75"/>
      <c r="X54" s="88"/>
      <c r="Z54"/>
      <c r="AA54"/>
      <c r="AB54"/>
      <c r="AC54"/>
    </row>
    <row r="55" spans="1:29" s="502" customFormat="1" x14ac:dyDescent="0.2">
      <c r="A55"/>
      <c r="B55"/>
      <c r="C55" s="80"/>
      <c r="D55" s="23"/>
      <c r="E55" s="23"/>
      <c r="F55" s="23"/>
      <c r="G55" s="23"/>
      <c r="H55" s="23"/>
      <c r="I55" s="23"/>
      <c r="J55" s="23"/>
      <c r="K55" s="27"/>
      <c r="L55" s="173"/>
      <c r="M55" s="665"/>
      <c r="N55" s="665"/>
      <c r="O55" s="659"/>
      <c r="P55" s="36"/>
      <c r="Q55" s="55"/>
      <c r="R55" s="75"/>
      <c r="S55" s="75"/>
      <c r="T55" s="75"/>
      <c r="U55" s="75"/>
      <c r="V55" s="75"/>
      <c r="W55" s="75"/>
      <c r="X55" s="88"/>
      <c r="Z55"/>
      <c r="AA55"/>
      <c r="AB55"/>
      <c r="AC55"/>
    </row>
    <row r="56" spans="1:29" s="502" customFormat="1" x14ac:dyDescent="0.2">
      <c r="A56"/>
      <c r="B56"/>
      <c r="C56" s="80"/>
      <c r="D56" s="36"/>
      <c r="E56" s="36"/>
      <c r="F56" s="23"/>
      <c r="G56" s="23"/>
      <c r="H56" s="23"/>
      <c r="I56" s="23"/>
      <c r="J56" s="23"/>
      <c r="K56" s="27"/>
      <c r="L56" s="173"/>
      <c r="M56" s="666"/>
      <c r="N56" s="666"/>
      <c r="O56" s="666"/>
      <c r="P56" s="36"/>
      <c r="Q56" s="55"/>
      <c r="R56" s="75"/>
      <c r="S56" s="75"/>
      <c r="T56" s="75"/>
      <c r="U56" s="75"/>
      <c r="V56" s="75"/>
      <c r="W56" s="75"/>
      <c r="X56" s="88"/>
      <c r="Z56"/>
      <c r="AA56"/>
      <c r="AB56"/>
      <c r="AC56"/>
    </row>
    <row r="57" spans="1:29" s="502" customFormat="1" x14ac:dyDescent="0.2">
      <c r="A57"/>
      <c r="B57"/>
      <c r="C57" s="80"/>
      <c r="D57" s="40"/>
      <c r="E57" s="40"/>
      <c r="F57" s="23"/>
      <c r="G57" s="23"/>
      <c r="H57" s="23"/>
      <c r="I57" s="23"/>
      <c r="J57" s="23"/>
      <c r="K57" s="27"/>
      <c r="L57" s="173"/>
      <c r="M57" s="666"/>
      <c r="N57" s="666"/>
      <c r="O57" s="666"/>
      <c r="P57" s="36"/>
      <c r="Q57" s="55"/>
      <c r="R57" s="75"/>
      <c r="S57" s="75"/>
      <c r="T57" s="75"/>
      <c r="U57" s="75"/>
      <c r="V57" s="75"/>
      <c r="W57" s="75"/>
      <c r="X57" s="88"/>
      <c r="Z57"/>
      <c r="AA57"/>
      <c r="AB57"/>
      <c r="AC57"/>
    </row>
    <row r="58" spans="1:29" s="502" customFormat="1" x14ac:dyDescent="0.2">
      <c r="A58"/>
      <c r="B58"/>
      <c r="C58" s="80"/>
      <c r="D58" s="87"/>
      <c r="E58" s="87"/>
      <c r="F58" s="23"/>
      <c r="G58" s="23"/>
      <c r="H58" s="23"/>
      <c r="I58" s="23"/>
      <c r="J58" s="23"/>
      <c r="K58" s="36"/>
      <c r="L58" s="36"/>
      <c r="M58" s="36"/>
      <c r="N58" s="36"/>
      <c r="O58" s="36"/>
      <c r="P58" s="36"/>
      <c r="Q58" s="55"/>
      <c r="R58" s="75"/>
      <c r="S58" s="75"/>
      <c r="T58" s="75"/>
      <c r="U58" s="75"/>
      <c r="V58" s="75"/>
      <c r="W58" s="75"/>
      <c r="X58" s="88"/>
      <c r="Z58"/>
      <c r="AA58"/>
      <c r="AB58"/>
      <c r="AC58"/>
    </row>
    <row r="59" spans="1:29" s="502" customFormat="1" x14ac:dyDescent="0.2">
      <c r="A59"/>
      <c r="B59"/>
      <c r="C59" s="80"/>
      <c r="D59" s="87"/>
      <c r="E59" s="87"/>
      <c r="F59" s="23"/>
      <c r="G59" s="23"/>
      <c r="H59" s="23"/>
      <c r="I59" s="23"/>
      <c r="J59" s="23"/>
      <c r="K59" s="36"/>
      <c r="L59" s="36"/>
      <c r="M59" s="36"/>
      <c r="N59" s="36"/>
      <c r="O59" s="36"/>
      <c r="P59" s="36"/>
      <c r="Q59" s="55"/>
      <c r="R59" s="75"/>
      <c r="S59" s="75"/>
      <c r="T59" s="75"/>
      <c r="U59" s="75"/>
      <c r="V59" s="75"/>
      <c r="W59" s="75"/>
      <c r="X59" s="88"/>
      <c r="Z59"/>
      <c r="AA59"/>
      <c r="AB59"/>
      <c r="AC59"/>
    </row>
    <row r="60" spans="1:29" s="502" customFormat="1" x14ac:dyDescent="0.2">
      <c r="A60"/>
      <c r="B60"/>
      <c r="C60"/>
      <c r="D60" s="93"/>
      <c r="E60" s="55"/>
      <c r="F60" s="23"/>
      <c r="G60" s="23"/>
      <c r="H60" s="23"/>
      <c r="I60" s="23"/>
      <c r="J60" s="23"/>
      <c r="K60" s="36"/>
      <c r="L60" s="36"/>
      <c r="M60" s="36"/>
      <c r="N60" s="36"/>
      <c r="O60" s="36"/>
      <c r="P60" s="36"/>
      <c r="Q60" s="55"/>
      <c r="R60" s="75"/>
      <c r="S60" s="75"/>
      <c r="T60" s="75"/>
      <c r="U60" s="75"/>
      <c r="V60" s="75"/>
      <c r="W60" s="75"/>
      <c r="X60" s="88"/>
      <c r="Z60"/>
      <c r="AA60"/>
      <c r="AB60"/>
      <c r="AC60"/>
    </row>
    <row r="61" spans="1:29" s="502" customFormat="1" x14ac:dyDescent="0.2">
      <c r="A61"/>
      <c r="B61"/>
      <c r="C61"/>
      <c r="D61" s="93"/>
      <c r="E61" s="55"/>
      <c r="F61" s="23"/>
      <c r="G61" s="23"/>
      <c r="H61" s="23"/>
      <c r="I61" s="23"/>
      <c r="J61" s="23"/>
      <c r="K61" s="36"/>
      <c r="L61" s="36"/>
      <c r="M61" s="36"/>
      <c r="N61" s="36"/>
      <c r="O61" s="36"/>
      <c r="P61" s="36"/>
      <c r="Q61" s="55"/>
      <c r="R61" s="75"/>
      <c r="S61" s="75"/>
      <c r="T61" s="75"/>
      <c r="U61" s="75"/>
      <c r="V61" s="75"/>
      <c r="W61" s="75"/>
      <c r="X61" s="88"/>
      <c r="Z61"/>
      <c r="AA61"/>
      <c r="AB61"/>
      <c r="AC61"/>
    </row>
    <row r="62" spans="1:29" s="502" customFormat="1" x14ac:dyDescent="0.2">
      <c r="A62"/>
      <c r="B62" s="114"/>
      <c r="C62" s="30"/>
      <c r="D62" s="93"/>
      <c r="E62" s="55"/>
      <c r="F62" s="23"/>
      <c r="G62" s="23"/>
      <c r="H62" s="23"/>
      <c r="I62" s="23"/>
      <c r="J62" s="23"/>
      <c r="K62" s="36"/>
      <c r="L62" s="36"/>
      <c r="M62" s="36"/>
      <c r="N62" s="36"/>
      <c r="O62" s="36"/>
      <c r="P62" s="36"/>
      <c r="Q62" s="55"/>
      <c r="R62" s="75"/>
      <c r="S62" s="75"/>
      <c r="T62" s="75"/>
      <c r="U62" s="75"/>
      <c r="V62" s="75"/>
      <c r="W62" s="75"/>
      <c r="X62" s="88"/>
      <c r="Z62"/>
      <c r="AA62"/>
      <c r="AB62"/>
      <c r="AC62"/>
    </row>
    <row r="63" spans="1:29" s="502" customFormat="1" x14ac:dyDescent="0.2">
      <c r="A63"/>
      <c r="B63"/>
      <c r="C63"/>
      <c r="D63" s="30"/>
      <c r="E63"/>
      <c r="F63"/>
      <c r="G63"/>
      <c r="H63"/>
      <c r="I63"/>
      <c r="J63"/>
      <c r="K63" s="31"/>
      <c r="L63" s="31"/>
      <c r="M63" s="31"/>
      <c r="N63" s="31"/>
      <c r="O63" s="31"/>
      <c r="P63" s="31"/>
      <c r="Q63" s="23"/>
      <c r="R63" s="50"/>
      <c r="S63" s="50"/>
      <c r="T63" s="50"/>
      <c r="U63" s="40"/>
      <c r="V63" s="50"/>
      <c r="W63" s="50"/>
      <c r="X63"/>
      <c r="Z63"/>
      <c r="AA63"/>
      <c r="AB63"/>
      <c r="AC63"/>
    </row>
    <row r="64" spans="1:29" s="502" customFormat="1" x14ac:dyDescent="0.2">
      <c r="A64"/>
      <c r="B64" s="114"/>
      <c r="C64" s="115"/>
      <c r="D64" s="30"/>
      <c r="E64"/>
      <c r="F64"/>
      <c r="G64"/>
      <c r="H64"/>
      <c r="I64"/>
      <c r="J64"/>
      <c r="K64" s="30"/>
      <c r="L64" s="30"/>
      <c r="M64" s="30"/>
      <c r="N64"/>
      <c r="O64"/>
      <c r="P64"/>
      <c r="Q64" s="23"/>
      <c r="R64" s="50"/>
      <c r="S64" s="50"/>
      <c r="T64" s="50"/>
      <c r="U64" s="40"/>
      <c r="V64" s="50"/>
      <c r="W64" s="50"/>
      <c r="X64"/>
      <c r="Z64"/>
      <c r="AA64"/>
      <c r="AB64"/>
      <c r="AC64"/>
    </row>
    <row r="65" spans="1:29" s="502" customFormat="1" x14ac:dyDescent="0.2">
      <c r="A65"/>
      <c r="B65" s="114"/>
      <c r="C65" s="116"/>
      <c r="D65" s="30"/>
      <c r="E65" s="30"/>
      <c r="F65" s="30"/>
      <c r="G65"/>
      <c r="H65"/>
      <c r="I65"/>
      <c r="J65"/>
      <c r="K65" s="30"/>
      <c r="L65" s="30"/>
      <c r="M65" s="30"/>
      <c r="N65"/>
      <c r="O65"/>
      <c r="P65"/>
      <c r="Q65"/>
      <c r="R65" s="50"/>
      <c r="S65" s="50"/>
      <c r="T65" s="50"/>
      <c r="U65" s="50"/>
      <c r="V65" s="50"/>
      <c r="W65" s="50"/>
      <c r="X65"/>
      <c r="Z65"/>
      <c r="AA65"/>
      <c r="AB65"/>
      <c r="AC65"/>
    </row>
    <row r="66" spans="1:29" s="502" customFormat="1" x14ac:dyDescent="0.2">
      <c r="A66"/>
      <c r="B66" s="114"/>
      <c r="C66" s="115"/>
      <c r="D66" s="30"/>
      <c r="E66" s="30"/>
      <c r="F66" s="30"/>
      <c r="G66"/>
      <c r="H66"/>
      <c r="I66"/>
      <c r="J66"/>
      <c r="K66" s="30"/>
      <c r="L66" s="30"/>
      <c r="M66" s="30"/>
      <c r="N66"/>
      <c r="O66"/>
      <c r="P66"/>
      <c r="Q66"/>
      <c r="R66" s="50"/>
      <c r="S66" s="50"/>
      <c r="T66" s="50"/>
      <c r="U66" s="50"/>
      <c r="V66" s="50"/>
      <c r="W66" s="50"/>
      <c r="X66"/>
      <c r="Z66"/>
      <c r="AA66"/>
      <c r="AB66"/>
      <c r="AC66"/>
    </row>
    <row r="67" spans="1:29" s="502" customFormat="1" x14ac:dyDescent="0.2">
      <c r="A67"/>
      <c r="B67" s="114"/>
      <c r="C67" s="116"/>
      <c r="D67" s="30"/>
      <c r="E67"/>
      <c r="F67"/>
      <c r="G67"/>
      <c r="H67"/>
      <c r="I67"/>
      <c r="J67"/>
      <c r="K67" s="30"/>
      <c r="L67" s="30"/>
      <c r="M67" s="30"/>
      <c r="N67"/>
      <c r="O67"/>
      <c r="P67"/>
      <c r="Q67"/>
      <c r="R67" s="50"/>
      <c r="S67" s="50"/>
      <c r="T67" s="50"/>
      <c r="U67" s="50"/>
      <c r="V67" s="50"/>
      <c r="W67" s="50"/>
      <c r="X67"/>
      <c r="Z67"/>
      <c r="AA67"/>
      <c r="AB67"/>
      <c r="AC67"/>
    </row>
    <row r="69" spans="1:29" s="502" customFormat="1" x14ac:dyDescent="0.2">
      <c r="A69"/>
      <c r="B69"/>
      <c r="C69"/>
      <c r="D69" s="30"/>
      <c r="E69"/>
      <c r="F69"/>
      <c r="G69"/>
      <c r="H69"/>
      <c r="I69"/>
      <c r="J69"/>
      <c r="K69" s="30"/>
      <c r="L69" s="30"/>
      <c r="M69" s="30"/>
      <c r="N69"/>
      <c r="O69"/>
      <c r="P69" s="23"/>
      <c r="Q69" s="23"/>
      <c r="R69" s="50"/>
      <c r="S69" s="40"/>
      <c r="T69" s="40"/>
      <c r="U69" s="50"/>
      <c r="V69" s="50"/>
      <c r="W69" s="50"/>
      <c r="X69"/>
      <c r="Z69"/>
      <c r="AA69"/>
      <c r="AB69"/>
      <c r="AC69"/>
    </row>
    <row r="71" spans="1:29" s="502" customFormat="1" x14ac:dyDescent="0.2">
      <c r="A71"/>
      <c r="B71"/>
      <c r="C71"/>
      <c r="D71" s="30"/>
      <c r="E71"/>
      <c r="F71"/>
      <c r="G71"/>
      <c r="H71"/>
      <c r="I71"/>
      <c r="J71"/>
      <c r="K71" s="30"/>
      <c r="L71" s="30"/>
      <c r="M71" s="30"/>
      <c r="N71"/>
      <c r="O71"/>
      <c r="P71"/>
      <c r="Q71"/>
      <c r="R71" s="50"/>
      <c r="S71" s="50"/>
      <c r="T71" s="50"/>
      <c r="U71" s="50"/>
      <c r="V71" s="50"/>
      <c r="W71" s="50"/>
      <c r="X71"/>
      <c r="Z71"/>
      <c r="AA71"/>
      <c r="AB71"/>
      <c r="AC71"/>
    </row>
  </sheetData>
  <mergeCells count="4">
    <mergeCell ref="B1:E1"/>
    <mergeCell ref="B2:E2"/>
    <mergeCell ref="B3:E3"/>
    <mergeCell ref="B4:E4"/>
  </mergeCells>
  <printOptions horizontalCentered="1"/>
  <pageMargins left="0.25" right="0.25" top="0.7" bottom="0.75" header="0.5" footer="0.5"/>
  <pageSetup orientation="landscape" blackAndWhite="1" horizontalDpi="300" verticalDpi="300" r:id="rId1"/>
  <headerFooter alignWithMargins="0">
    <oddFooter>&amp;R&amp;A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303"/>
  <sheetViews>
    <sheetView zoomScaleNormal="100" workbookViewId="0">
      <selection activeCell="K36" sqref="K36"/>
    </sheetView>
  </sheetViews>
  <sheetFormatPr defaultColWidth="9.140625" defaultRowHeight="12.75" x14ac:dyDescent="0.2"/>
  <cols>
    <col min="1" max="1" width="2.42578125" style="50" customWidth="1"/>
    <col min="2" max="2" width="4.42578125" style="50" customWidth="1"/>
    <col min="3" max="3" width="41.7109375" style="50" bestFit="1" customWidth="1"/>
    <col min="4" max="4" width="14.85546875" style="50" customWidth="1"/>
    <col min="5" max="5" width="14" style="50" bestFit="1" customWidth="1"/>
    <col min="6" max="6" width="16.5703125" style="50" bestFit="1" customWidth="1"/>
    <col min="7" max="16384" width="9.140625" style="50"/>
  </cols>
  <sheetData>
    <row r="1" spans="2:8" customFormat="1" x14ac:dyDescent="0.2">
      <c r="B1" s="846" t="s">
        <v>1</v>
      </c>
      <c r="C1" s="846"/>
      <c r="D1" s="846"/>
      <c r="E1" s="846"/>
      <c r="F1" s="846"/>
    </row>
    <row r="2" spans="2:8" customFormat="1" x14ac:dyDescent="0.2">
      <c r="B2" s="846" t="s">
        <v>397</v>
      </c>
      <c r="C2" s="846"/>
      <c r="D2" s="846"/>
      <c r="E2" s="846"/>
      <c r="F2" s="846"/>
    </row>
    <row r="3" spans="2:8" customFormat="1" x14ac:dyDescent="0.2">
      <c r="B3" s="846" t="s">
        <v>165</v>
      </c>
      <c r="C3" s="846"/>
      <c r="D3" s="846"/>
      <c r="E3" s="846"/>
      <c r="F3" s="846"/>
    </row>
    <row r="4" spans="2:8" customFormat="1" x14ac:dyDescent="0.2">
      <c r="B4" s="846" t="s">
        <v>542</v>
      </c>
      <c r="C4" s="846"/>
      <c r="D4" s="846"/>
      <c r="E4" s="846"/>
      <c r="F4" s="846"/>
    </row>
    <row r="5" spans="2:8" customFormat="1" x14ac:dyDescent="0.2">
      <c r="C5" s="30"/>
      <c r="D5" s="38"/>
    </row>
    <row r="6" spans="2:8" customFormat="1" x14ac:dyDescent="0.2">
      <c r="C6" s="41"/>
      <c r="D6" s="27"/>
      <c r="E6" s="27" t="s">
        <v>150</v>
      </c>
      <c r="F6" s="27"/>
    </row>
    <row r="7" spans="2:8" customFormat="1" x14ac:dyDescent="0.2">
      <c r="B7" s="27"/>
      <c r="C7" s="41"/>
      <c r="D7" s="41" t="s">
        <v>549</v>
      </c>
      <c r="E7" s="27" t="s">
        <v>151</v>
      </c>
      <c r="F7" s="27" t="s">
        <v>343</v>
      </c>
    </row>
    <row r="8" spans="2:8" customFormat="1" x14ac:dyDescent="0.2">
      <c r="B8" s="16" t="s">
        <v>112</v>
      </c>
      <c r="C8" s="16" t="s">
        <v>117</v>
      </c>
      <c r="D8" s="16" t="s">
        <v>30</v>
      </c>
      <c r="E8" s="16" t="s">
        <v>149</v>
      </c>
      <c r="F8" s="16" t="s">
        <v>30</v>
      </c>
    </row>
    <row r="9" spans="2:8" customFormat="1" x14ac:dyDescent="0.2">
      <c r="B9" s="27"/>
      <c r="C9" s="27" t="s">
        <v>173</v>
      </c>
      <c r="D9" s="27" t="s">
        <v>174</v>
      </c>
      <c r="E9" s="27" t="s">
        <v>175</v>
      </c>
      <c r="F9" s="27" t="s">
        <v>534</v>
      </c>
    </row>
    <row r="10" spans="2:8" customFormat="1" x14ac:dyDescent="0.2">
      <c r="B10" s="38">
        <v>1</v>
      </c>
      <c r="C10" s="80" t="s">
        <v>183</v>
      </c>
      <c r="D10" s="768">
        <f>SUM(Therms!Q37:Q39)</f>
        <v>586861506.25499988</v>
      </c>
      <c r="E10" s="769">
        <f>SUM('Weather Adj'!P199:P200)</f>
        <v>16253934</v>
      </c>
      <c r="F10" s="770">
        <f>D10+E10</f>
        <v>603115440.25499988</v>
      </c>
      <c r="H10" s="22"/>
    </row>
    <row r="11" spans="2:8" customFormat="1" x14ac:dyDescent="0.2">
      <c r="B11" s="38">
        <f t="shared" ref="B11:B22" si="0">B10+1</f>
        <v>2</v>
      </c>
      <c r="C11" s="81" t="s">
        <v>154</v>
      </c>
      <c r="D11" s="768">
        <f>SUM(Therms!Q42,Therms!Q53)</f>
        <v>225457084.47</v>
      </c>
      <c r="E11" s="769">
        <f>'Weather Adj'!P201</f>
        <v>3147648</v>
      </c>
      <c r="F11" s="770">
        <f t="shared" ref="F11:F21" si="1">D11+E11</f>
        <v>228604732.47</v>
      </c>
      <c r="H11" s="22"/>
    </row>
    <row r="12" spans="2:8" customFormat="1" x14ac:dyDescent="0.2">
      <c r="B12" s="38">
        <f t="shared" si="0"/>
        <v>3</v>
      </c>
      <c r="C12" s="81" t="s">
        <v>393</v>
      </c>
      <c r="D12" s="768">
        <f>SUM(Therms!Q43,Therms!Q54)</f>
        <v>43266.76999999999</v>
      </c>
      <c r="E12" s="769">
        <f>'Weather Adj'!P207</f>
        <v>147</v>
      </c>
      <c r="F12" s="770">
        <f t="shared" si="1"/>
        <v>43413.76999999999</v>
      </c>
      <c r="H12" s="22"/>
    </row>
    <row r="13" spans="2:8" customFormat="1" x14ac:dyDescent="0.2">
      <c r="B13" s="38">
        <f t="shared" si="0"/>
        <v>4</v>
      </c>
      <c r="C13" s="80" t="s">
        <v>153</v>
      </c>
      <c r="D13" s="768">
        <f>SUM(Therms!Q44,Therms!Q55)</f>
        <v>62900570.016999997</v>
      </c>
      <c r="E13" s="769">
        <f>'Weather Adj'!P202</f>
        <v>1066298</v>
      </c>
      <c r="F13" s="770">
        <f t="shared" si="1"/>
        <v>63966868.016999997</v>
      </c>
      <c r="H13" s="22"/>
    </row>
    <row r="14" spans="2:8" customFormat="1" x14ac:dyDescent="0.2">
      <c r="B14" s="38">
        <f t="shared" si="0"/>
        <v>5</v>
      </c>
      <c r="C14" s="80" t="s">
        <v>272</v>
      </c>
      <c r="D14" s="768">
        <f>SUM(Therms!Q45,Therms!Q56)</f>
        <v>19194647.519000001</v>
      </c>
      <c r="E14" s="769">
        <f>'Weather Adj'!P208</f>
        <v>59602</v>
      </c>
      <c r="F14" s="770">
        <f t="shared" si="1"/>
        <v>19254249.519000001</v>
      </c>
      <c r="H14" s="22"/>
    </row>
    <row r="15" spans="2:8" customFormat="1" x14ac:dyDescent="0.2">
      <c r="B15" s="38">
        <f t="shared" si="0"/>
        <v>6</v>
      </c>
      <c r="C15" s="80" t="s">
        <v>156</v>
      </c>
      <c r="D15" s="768">
        <f>SUM(Therms!Q46,Therms!Q57)</f>
        <v>16270006.426000001</v>
      </c>
      <c r="E15" s="769">
        <f>'Weather Adj'!P204</f>
        <v>37783</v>
      </c>
      <c r="F15" s="770">
        <f t="shared" si="1"/>
        <v>16307789.426000001</v>
      </c>
      <c r="H15" s="22"/>
    </row>
    <row r="16" spans="2:8" customFormat="1" x14ac:dyDescent="0.2">
      <c r="B16" s="38">
        <f t="shared" si="0"/>
        <v>7</v>
      </c>
      <c r="C16" s="80" t="s">
        <v>279</v>
      </c>
      <c r="D16" s="768">
        <f>SUM(Therms!Q47,Therms!Q58)</f>
        <v>76428541.11999999</v>
      </c>
      <c r="E16" s="769">
        <f>'Weather Adj'!P209</f>
        <v>154046</v>
      </c>
      <c r="F16" s="770">
        <f t="shared" si="1"/>
        <v>76582587.11999999</v>
      </c>
      <c r="H16" s="22"/>
    </row>
    <row r="17" spans="2:8" customFormat="1" x14ac:dyDescent="0.2">
      <c r="B17" s="38">
        <f t="shared" si="0"/>
        <v>8</v>
      </c>
      <c r="C17" s="80" t="s">
        <v>157</v>
      </c>
      <c r="D17" s="768">
        <f>SUM(Therms!Q48,Therms!Q59)</f>
        <v>9070897.5420000013</v>
      </c>
      <c r="E17" s="769">
        <f>'Weather Adj'!P205</f>
        <v>36371</v>
      </c>
      <c r="F17" s="770">
        <f t="shared" si="1"/>
        <v>9107268.5420000013</v>
      </c>
      <c r="H17" s="22"/>
    </row>
    <row r="18" spans="2:8" customFormat="1" x14ac:dyDescent="0.2">
      <c r="B18" s="38">
        <f t="shared" si="0"/>
        <v>9</v>
      </c>
      <c r="C18" s="80" t="s">
        <v>330</v>
      </c>
      <c r="D18" s="768">
        <f>Therms!Q60</f>
        <v>354636.7</v>
      </c>
      <c r="E18" s="769">
        <f>'Weather Adj'!P210</f>
        <v>0</v>
      </c>
      <c r="F18" s="770">
        <f t="shared" si="1"/>
        <v>354636.7</v>
      </c>
      <c r="H18" s="22"/>
    </row>
    <row r="19" spans="2:8" customFormat="1" x14ac:dyDescent="0.2">
      <c r="B19" s="38">
        <f t="shared" si="0"/>
        <v>10</v>
      </c>
      <c r="C19" s="80" t="s">
        <v>158</v>
      </c>
      <c r="D19" s="768">
        <f>SUM(Therms!Q49,Therms!Q61)</f>
        <v>23218102.627999999</v>
      </c>
      <c r="E19" s="769">
        <f>'Weather Adj'!P206</f>
        <v>55056</v>
      </c>
      <c r="F19" s="770">
        <f t="shared" si="1"/>
        <v>23273158.627999999</v>
      </c>
      <c r="H19" s="22"/>
    </row>
    <row r="20" spans="2:8" customFormat="1" x14ac:dyDescent="0.2">
      <c r="B20" s="38">
        <f t="shared" si="0"/>
        <v>11</v>
      </c>
      <c r="C20" s="80" t="s">
        <v>280</v>
      </c>
      <c r="D20" s="768">
        <f>SUM(Therms!Q50,Therms!Q62)</f>
        <v>103639149.25</v>
      </c>
      <c r="E20" s="769">
        <f>'Weather Adj'!P211</f>
        <v>245172</v>
      </c>
      <c r="F20" s="770">
        <f t="shared" si="1"/>
        <v>103884321.25</v>
      </c>
      <c r="H20" s="22"/>
    </row>
    <row r="21" spans="2:8" customFormat="1" x14ac:dyDescent="0.2">
      <c r="B21" s="38">
        <f t="shared" si="0"/>
        <v>12</v>
      </c>
      <c r="C21" s="80" t="s">
        <v>238</v>
      </c>
      <c r="D21" s="768">
        <f>Therms!Q63</f>
        <v>36494461.68</v>
      </c>
      <c r="E21" s="769">
        <f>'Weather Adj'!P212</f>
        <v>781230</v>
      </c>
      <c r="F21" s="770">
        <f t="shared" si="1"/>
        <v>37275691.68</v>
      </c>
      <c r="H21" s="22"/>
    </row>
    <row r="22" spans="2:8" customFormat="1" x14ac:dyDescent="0.2">
      <c r="B22" s="38">
        <f t="shared" si="0"/>
        <v>13</v>
      </c>
      <c r="C22" s="80" t="s">
        <v>450</v>
      </c>
      <c r="D22" s="771">
        <f>SUM(D10:D21)</f>
        <v>1159932870.3770001</v>
      </c>
      <c r="E22" s="767">
        <f>SUM(E10:E21)</f>
        <v>21837287</v>
      </c>
      <c r="F22" s="767">
        <f>SUM(F10:F21)</f>
        <v>1181770157.3770001</v>
      </c>
      <c r="H22" s="22"/>
    </row>
    <row r="23" spans="2:8" customFormat="1" x14ac:dyDescent="0.2">
      <c r="F23" s="22"/>
    </row>
    <row r="24" spans="2:8" customFormat="1" x14ac:dyDescent="0.2">
      <c r="F24" s="22"/>
    </row>
    <row r="25" spans="2:8" customFormat="1" ht="13.5" thickBot="1" x14ac:dyDescent="0.25">
      <c r="B25" s="30"/>
      <c r="C25" s="30"/>
      <c r="F25" s="22"/>
    </row>
    <row r="26" spans="2:8" x14ac:dyDescent="0.2">
      <c r="B26" s="30"/>
      <c r="C26" s="162"/>
      <c r="D26" s="163"/>
      <c r="E26" s="163"/>
      <c r="F26" s="774"/>
    </row>
    <row r="27" spans="2:8" x14ac:dyDescent="0.2">
      <c r="B27" s="31"/>
      <c r="C27" s="164" t="s">
        <v>114</v>
      </c>
      <c r="D27" s="43">
        <f>D22-Therms!Q65</f>
        <v>0</v>
      </c>
      <c r="E27" s="43">
        <f>E22-'Weather Adj'!P213</f>
        <v>0</v>
      </c>
      <c r="F27" s="775">
        <f>F22-'Weather Adj'!P231</f>
        <v>0</v>
      </c>
    </row>
    <row r="28" spans="2:8" ht="13.5" thickBot="1" x14ac:dyDescent="0.25">
      <c r="B28" s="31"/>
      <c r="C28" s="165"/>
      <c r="D28" s="166"/>
      <c r="E28" s="166"/>
      <c r="F28" s="776"/>
    </row>
    <row r="29" spans="2:8" x14ac:dyDescent="0.2">
      <c r="C29" s="81"/>
      <c r="F29"/>
    </row>
    <row r="30" spans="2:8" x14ac:dyDescent="0.2">
      <c r="D30" s="90"/>
      <c r="F30"/>
    </row>
    <row r="31" spans="2:8" x14ac:dyDescent="0.2">
      <c r="D31" s="90"/>
      <c r="E31" s="92"/>
      <c r="F31"/>
    </row>
    <row r="32" spans="2:8" x14ac:dyDescent="0.2">
      <c r="D32" s="90"/>
      <c r="E32" s="92"/>
      <c r="F32"/>
    </row>
    <row r="33" spans="4:6" x14ac:dyDescent="0.2">
      <c r="D33" s="90"/>
      <c r="E33" s="171"/>
      <c r="F33"/>
    </row>
    <row r="34" spans="4:6" x14ac:dyDescent="0.2">
      <c r="D34" s="90"/>
      <c r="E34" s="171"/>
      <c r="F34"/>
    </row>
    <row r="35" spans="4:6" x14ac:dyDescent="0.2">
      <c r="D35" s="90"/>
      <c r="E35" s="171"/>
      <c r="F35"/>
    </row>
    <row r="36" spans="4:6" x14ac:dyDescent="0.2">
      <c r="D36" s="90"/>
      <c r="E36" s="92"/>
      <c r="F36"/>
    </row>
    <row r="37" spans="4:6" x14ac:dyDescent="0.2">
      <c r="D37" s="90"/>
      <c r="E37" s="92"/>
      <c r="F37"/>
    </row>
    <row r="38" spans="4:6" x14ac:dyDescent="0.2">
      <c r="E38" s="92"/>
      <c r="F38"/>
    </row>
    <row r="39" spans="4:6" x14ac:dyDescent="0.2">
      <c r="E39" s="92"/>
      <c r="F39"/>
    </row>
    <row r="40" spans="4:6" x14ac:dyDescent="0.2">
      <c r="E40" s="92"/>
      <c r="F40"/>
    </row>
    <row r="41" spans="4:6" x14ac:dyDescent="0.2">
      <c r="E41" s="92"/>
      <c r="F41"/>
    </row>
    <row r="42" spans="4:6" x14ac:dyDescent="0.2">
      <c r="E42" s="92"/>
      <c r="F42"/>
    </row>
    <row r="43" spans="4:6" x14ac:dyDescent="0.2">
      <c r="E43" s="92"/>
      <c r="F43"/>
    </row>
    <row r="44" spans="4:6" x14ac:dyDescent="0.2">
      <c r="E44" s="92"/>
      <c r="F44"/>
    </row>
    <row r="45" spans="4:6" x14ac:dyDescent="0.2">
      <c r="E45" s="92"/>
      <c r="F45"/>
    </row>
    <row r="46" spans="4:6" x14ac:dyDescent="0.2">
      <c r="F46" s="62"/>
    </row>
    <row r="47" spans="4:6" x14ac:dyDescent="0.2">
      <c r="F47" s="62"/>
    </row>
    <row r="48" spans="4:6" x14ac:dyDescent="0.2">
      <c r="F48" s="62"/>
    </row>
    <row r="49" spans="6:6" x14ac:dyDescent="0.2">
      <c r="F49" s="117"/>
    </row>
    <row r="50" spans="6:6" x14ac:dyDescent="0.2">
      <c r="F50" s="117"/>
    </row>
    <row r="51" spans="6:6" x14ac:dyDescent="0.2">
      <c r="F51" s="62"/>
    </row>
    <row r="52" spans="6:6" x14ac:dyDescent="0.2">
      <c r="F52" s="62"/>
    </row>
    <row r="53" spans="6:6" x14ac:dyDescent="0.2">
      <c r="F53" s="117"/>
    </row>
    <row r="54" spans="6:6" x14ac:dyDescent="0.2">
      <c r="F54" s="62"/>
    </row>
    <row r="55" spans="6:6" x14ac:dyDescent="0.2">
      <c r="F55" s="62"/>
    </row>
    <row r="56" spans="6:6" x14ac:dyDescent="0.2">
      <c r="F56" s="62"/>
    </row>
    <row r="57" spans="6:6" x14ac:dyDescent="0.2">
      <c r="F57" s="62"/>
    </row>
    <row r="58" spans="6:6" x14ac:dyDescent="0.2">
      <c r="F58" s="62"/>
    </row>
    <row r="59" spans="6:6" x14ac:dyDescent="0.2">
      <c r="F59" s="117"/>
    </row>
    <row r="60" spans="6:6" x14ac:dyDescent="0.2">
      <c r="F60" s="117"/>
    </row>
    <row r="61" spans="6:6" x14ac:dyDescent="0.2">
      <c r="F61" s="117"/>
    </row>
    <row r="62" spans="6:6" x14ac:dyDescent="0.2">
      <c r="F62" s="117"/>
    </row>
    <row r="63" spans="6:6" x14ac:dyDescent="0.2">
      <c r="F63" s="117"/>
    </row>
    <row r="64" spans="6:6" x14ac:dyDescent="0.2">
      <c r="F64" s="117"/>
    </row>
    <row r="65" spans="6:6" x14ac:dyDescent="0.2">
      <c r="F65" s="117"/>
    </row>
    <row r="66" spans="6:6" x14ac:dyDescent="0.2">
      <c r="F66" s="62"/>
    </row>
    <row r="67" spans="6:6" x14ac:dyDescent="0.2">
      <c r="F67" s="117"/>
    </row>
    <row r="68" spans="6:6" x14ac:dyDescent="0.2">
      <c r="F68" s="117"/>
    </row>
    <row r="69" spans="6:6" x14ac:dyDescent="0.2">
      <c r="F69" s="117"/>
    </row>
    <row r="70" spans="6:6" x14ac:dyDescent="0.2">
      <c r="F70" s="117"/>
    </row>
    <row r="71" spans="6:6" x14ac:dyDescent="0.2">
      <c r="F71" s="62"/>
    </row>
    <row r="72" spans="6:6" x14ac:dyDescent="0.2">
      <c r="F72" s="62"/>
    </row>
    <row r="73" spans="6:6" x14ac:dyDescent="0.2">
      <c r="F73" s="62"/>
    </row>
    <row r="74" spans="6:6" x14ac:dyDescent="0.2">
      <c r="F74" s="62"/>
    </row>
    <row r="75" spans="6:6" x14ac:dyDescent="0.2">
      <c r="F75" s="62"/>
    </row>
    <row r="76" spans="6:6" x14ac:dyDescent="0.2">
      <c r="F76" s="62"/>
    </row>
    <row r="77" spans="6:6" x14ac:dyDescent="0.2">
      <c r="F77" s="62"/>
    </row>
    <row r="78" spans="6:6" x14ac:dyDescent="0.2">
      <c r="F78" s="117"/>
    </row>
    <row r="79" spans="6:6" x14ac:dyDescent="0.2">
      <c r="F79" s="117"/>
    </row>
    <row r="80" spans="6:6" x14ac:dyDescent="0.2">
      <c r="F80" s="117"/>
    </row>
    <row r="81" spans="6:6" x14ac:dyDescent="0.2">
      <c r="F81" s="62"/>
    </row>
    <row r="82" spans="6:6" x14ac:dyDescent="0.2">
      <c r="F82" s="117"/>
    </row>
    <row r="83" spans="6:6" x14ac:dyDescent="0.2">
      <c r="F83" s="117"/>
    </row>
    <row r="84" spans="6:6" x14ac:dyDescent="0.2">
      <c r="F84" s="117"/>
    </row>
    <row r="85" spans="6:6" x14ac:dyDescent="0.2">
      <c r="F85" s="117"/>
    </row>
    <row r="86" spans="6:6" x14ac:dyDescent="0.2">
      <c r="F86" s="117"/>
    </row>
    <row r="87" spans="6:6" x14ac:dyDescent="0.2">
      <c r="F87" s="62"/>
    </row>
    <row r="88" spans="6:6" x14ac:dyDescent="0.2">
      <c r="F88" s="62"/>
    </row>
    <row r="89" spans="6:6" x14ac:dyDescent="0.2">
      <c r="F89" s="62"/>
    </row>
    <row r="90" spans="6:6" x14ac:dyDescent="0.2">
      <c r="F90" s="62"/>
    </row>
    <row r="91" spans="6:6" x14ac:dyDescent="0.2">
      <c r="F91" s="62"/>
    </row>
    <row r="92" spans="6:6" x14ac:dyDescent="0.2">
      <c r="F92" s="62"/>
    </row>
    <row r="93" spans="6:6" x14ac:dyDescent="0.2">
      <c r="F93" s="62"/>
    </row>
    <row r="94" spans="6:6" x14ac:dyDescent="0.2">
      <c r="F94" s="31"/>
    </row>
    <row r="95" spans="6:6" x14ac:dyDescent="0.2">
      <c r="F95" s="62"/>
    </row>
    <row r="96" spans="6:6" x14ac:dyDescent="0.2">
      <c r="F96" s="31"/>
    </row>
    <row r="97" spans="6:6" x14ac:dyDescent="0.2">
      <c r="F97" s="31"/>
    </row>
    <row r="98" spans="6:6" x14ac:dyDescent="0.2">
      <c r="F98" s="31"/>
    </row>
    <row r="99" spans="6:6" x14ac:dyDescent="0.2">
      <c r="F99" s="31"/>
    </row>
    <row r="100" spans="6:6" x14ac:dyDescent="0.2">
      <c r="F100" s="31"/>
    </row>
    <row r="101" spans="6:6" x14ac:dyDescent="0.2">
      <c r="F101" s="31"/>
    </row>
    <row r="102" spans="6:6" x14ac:dyDescent="0.2">
      <c r="F102" s="31"/>
    </row>
    <row r="103" spans="6:6" x14ac:dyDescent="0.2">
      <c r="F103" s="31"/>
    </row>
    <row r="104" spans="6:6" x14ac:dyDescent="0.2">
      <c r="F104" s="31"/>
    </row>
    <row r="105" spans="6:6" x14ac:dyDescent="0.2">
      <c r="F105" s="31"/>
    </row>
    <row r="106" spans="6:6" x14ac:dyDescent="0.2">
      <c r="F106" s="31"/>
    </row>
    <row r="107" spans="6:6" x14ac:dyDescent="0.2">
      <c r="F107" s="31"/>
    </row>
    <row r="108" spans="6:6" x14ac:dyDescent="0.2">
      <c r="F108" s="31"/>
    </row>
    <row r="109" spans="6:6" x14ac:dyDescent="0.2">
      <c r="F109" s="31"/>
    </row>
    <row r="110" spans="6:6" x14ac:dyDescent="0.2">
      <c r="F110" s="31"/>
    </row>
    <row r="111" spans="6:6" x14ac:dyDescent="0.2">
      <c r="F111" s="31"/>
    </row>
    <row r="112" spans="6:6" x14ac:dyDescent="0.2">
      <c r="F112" s="31"/>
    </row>
    <row r="113" spans="6:6" x14ac:dyDescent="0.2">
      <c r="F113" s="31"/>
    </row>
    <row r="114" spans="6:6" x14ac:dyDescent="0.2">
      <c r="F114" s="31"/>
    </row>
    <row r="115" spans="6:6" x14ac:dyDescent="0.2">
      <c r="F115" s="31"/>
    </row>
    <row r="116" spans="6:6" x14ac:dyDescent="0.2">
      <c r="F116" s="31"/>
    </row>
    <row r="117" spans="6:6" x14ac:dyDescent="0.2">
      <c r="F117" s="31"/>
    </row>
    <row r="118" spans="6:6" x14ac:dyDescent="0.2">
      <c r="F118" s="31"/>
    </row>
    <row r="119" spans="6:6" x14ac:dyDescent="0.2">
      <c r="F119" s="31"/>
    </row>
    <row r="120" spans="6:6" x14ac:dyDescent="0.2">
      <c r="F120" s="31"/>
    </row>
    <row r="121" spans="6:6" x14ac:dyDescent="0.2">
      <c r="F121" s="31"/>
    </row>
    <row r="122" spans="6:6" x14ac:dyDescent="0.2">
      <c r="F122" s="31"/>
    </row>
    <row r="123" spans="6:6" x14ac:dyDescent="0.2">
      <c r="F123" s="31"/>
    </row>
    <row r="124" spans="6:6" x14ac:dyDescent="0.2">
      <c r="F124" s="31"/>
    </row>
    <row r="125" spans="6:6" x14ac:dyDescent="0.2">
      <c r="F125" s="31"/>
    </row>
    <row r="126" spans="6:6" x14ac:dyDescent="0.2">
      <c r="F126" s="31"/>
    </row>
    <row r="127" spans="6:6" x14ac:dyDescent="0.2">
      <c r="F127" s="31"/>
    </row>
    <row r="128" spans="6:6" x14ac:dyDescent="0.2">
      <c r="F128" s="31"/>
    </row>
    <row r="129" spans="6:6" x14ac:dyDescent="0.2">
      <c r="F129" s="31"/>
    </row>
    <row r="130" spans="6:6" x14ac:dyDescent="0.2">
      <c r="F130" s="31"/>
    </row>
    <row r="131" spans="6:6" x14ac:dyDescent="0.2">
      <c r="F131" s="31"/>
    </row>
    <row r="132" spans="6:6" x14ac:dyDescent="0.2">
      <c r="F132" s="31"/>
    </row>
    <row r="133" spans="6:6" x14ac:dyDescent="0.2">
      <c r="F133" s="31"/>
    </row>
    <row r="134" spans="6:6" x14ac:dyDescent="0.2">
      <c r="F134" s="31"/>
    </row>
    <row r="135" spans="6:6" x14ac:dyDescent="0.2">
      <c r="F135" s="31"/>
    </row>
    <row r="136" spans="6:6" x14ac:dyDescent="0.2">
      <c r="F136" s="31"/>
    </row>
    <row r="137" spans="6:6" x14ac:dyDescent="0.2">
      <c r="F137" s="31"/>
    </row>
    <row r="138" spans="6:6" x14ac:dyDescent="0.2">
      <c r="F138" s="31"/>
    </row>
    <row r="139" spans="6:6" x14ac:dyDescent="0.2">
      <c r="F139" s="31"/>
    </row>
    <row r="140" spans="6:6" x14ac:dyDescent="0.2">
      <c r="F140" s="31"/>
    </row>
    <row r="141" spans="6:6" x14ac:dyDescent="0.2">
      <c r="F141" s="31"/>
    </row>
    <row r="142" spans="6:6" x14ac:dyDescent="0.2">
      <c r="F142" s="31"/>
    </row>
    <row r="143" spans="6:6" x14ac:dyDescent="0.2">
      <c r="F143" s="31"/>
    </row>
    <row r="144" spans="6:6" x14ac:dyDescent="0.2">
      <c r="F144" s="31"/>
    </row>
    <row r="145" spans="6:6" x14ac:dyDescent="0.2">
      <c r="F145" s="31"/>
    </row>
    <row r="146" spans="6:6" x14ac:dyDescent="0.2">
      <c r="F146" s="31"/>
    </row>
    <row r="147" spans="6:6" x14ac:dyDescent="0.2">
      <c r="F147" s="31"/>
    </row>
    <row r="148" spans="6:6" x14ac:dyDescent="0.2">
      <c r="F148" s="31"/>
    </row>
    <row r="149" spans="6:6" x14ac:dyDescent="0.2">
      <c r="F149" s="31"/>
    </row>
    <row r="150" spans="6:6" x14ac:dyDescent="0.2">
      <c r="F150" s="31"/>
    </row>
    <row r="151" spans="6:6" x14ac:dyDescent="0.2">
      <c r="F151" s="31"/>
    </row>
    <row r="152" spans="6:6" x14ac:dyDescent="0.2">
      <c r="F152" s="31"/>
    </row>
    <row r="153" spans="6:6" x14ac:dyDescent="0.2">
      <c r="F153" s="31"/>
    </row>
    <row r="154" spans="6:6" x14ac:dyDescent="0.2">
      <c r="F154" s="31"/>
    </row>
    <row r="155" spans="6:6" x14ac:dyDescent="0.2">
      <c r="F155" s="31"/>
    </row>
    <row r="156" spans="6:6" x14ac:dyDescent="0.2">
      <c r="F156" s="31"/>
    </row>
    <row r="157" spans="6:6" x14ac:dyDescent="0.2">
      <c r="F157" s="31"/>
    </row>
    <row r="158" spans="6:6" x14ac:dyDescent="0.2">
      <c r="F158" s="31"/>
    </row>
    <row r="159" spans="6:6" x14ac:dyDescent="0.2">
      <c r="F159" s="31"/>
    </row>
    <row r="160" spans="6:6" x14ac:dyDescent="0.2">
      <c r="F160" s="31"/>
    </row>
    <row r="161" spans="6:6" x14ac:dyDescent="0.2">
      <c r="F161" s="31"/>
    </row>
    <row r="162" spans="6:6" x14ac:dyDescent="0.2">
      <c r="F162" s="31"/>
    </row>
    <row r="163" spans="6:6" x14ac:dyDescent="0.2">
      <c r="F163" s="31"/>
    </row>
    <row r="164" spans="6:6" x14ac:dyDescent="0.2">
      <c r="F164" s="31"/>
    </row>
    <row r="165" spans="6:6" x14ac:dyDescent="0.2">
      <c r="F165" s="31"/>
    </row>
    <row r="166" spans="6:6" x14ac:dyDescent="0.2">
      <c r="F166" s="31"/>
    </row>
    <row r="167" spans="6:6" x14ac:dyDescent="0.2">
      <c r="F167" s="31"/>
    </row>
    <row r="168" spans="6:6" x14ac:dyDescent="0.2">
      <c r="F168" s="31"/>
    </row>
    <row r="169" spans="6:6" x14ac:dyDescent="0.2">
      <c r="F169" s="31"/>
    </row>
    <row r="170" spans="6:6" x14ac:dyDescent="0.2">
      <c r="F170" s="31"/>
    </row>
    <row r="171" spans="6:6" x14ac:dyDescent="0.2">
      <c r="F171" s="31"/>
    </row>
    <row r="172" spans="6:6" x14ac:dyDescent="0.2">
      <c r="F172" s="31"/>
    </row>
    <row r="173" spans="6:6" x14ac:dyDescent="0.2">
      <c r="F173" s="31"/>
    </row>
    <row r="174" spans="6:6" x14ac:dyDescent="0.2">
      <c r="F174" s="31"/>
    </row>
    <row r="175" spans="6:6" x14ac:dyDescent="0.2">
      <c r="F175" s="31"/>
    </row>
    <row r="176" spans="6:6" x14ac:dyDescent="0.2">
      <c r="F176" s="31"/>
    </row>
    <row r="177" spans="6:6" x14ac:dyDescent="0.2">
      <c r="F177" s="31"/>
    </row>
    <row r="178" spans="6:6" x14ac:dyDescent="0.2">
      <c r="F178" s="31"/>
    </row>
    <row r="179" spans="6:6" x14ac:dyDescent="0.2">
      <c r="F179" s="31"/>
    </row>
    <row r="180" spans="6:6" x14ac:dyDescent="0.2">
      <c r="F180" s="31"/>
    </row>
    <row r="181" spans="6:6" x14ac:dyDescent="0.2">
      <c r="F181" s="31"/>
    </row>
    <row r="182" spans="6:6" x14ac:dyDescent="0.2">
      <c r="F182" s="31"/>
    </row>
    <row r="183" spans="6:6" x14ac:dyDescent="0.2">
      <c r="F183" s="31"/>
    </row>
    <row r="184" spans="6:6" x14ac:dyDescent="0.2">
      <c r="F184" s="31"/>
    </row>
    <row r="185" spans="6:6" x14ac:dyDescent="0.2">
      <c r="F185" s="31"/>
    </row>
    <row r="186" spans="6:6" x14ac:dyDescent="0.2">
      <c r="F186" s="31"/>
    </row>
    <row r="187" spans="6:6" x14ac:dyDescent="0.2">
      <c r="F187" s="31"/>
    </row>
    <row r="188" spans="6:6" x14ac:dyDescent="0.2">
      <c r="F188" s="31"/>
    </row>
    <row r="189" spans="6:6" x14ac:dyDescent="0.2">
      <c r="F189" s="31"/>
    </row>
    <row r="190" spans="6:6" x14ac:dyDescent="0.2">
      <c r="F190" s="31"/>
    </row>
    <row r="191" spans="6:6" x14ac:dyDescent="0.2">
      <c r="F191" s="31"/>
    </row>
    <row r="192" spans="6:6" x14ac:dyDescent="0.2">
      <c r="F192" s="31"/>
    </row>
    <row r="193" spans="6:6" x14ac:dyDescent="0.2">
      <c r="F193" s="31"/>
    </row>
    <row r="194" spans="6:6" x14ac:dyDescent="0.2">
      <c r="F194" s="31"/>
    </row>
    <row r="195" spans="6:6" x14ac:dyDescent="0.2">
      <c r="F195" s="31"/>
    </row>
    <row r="196" spans="6:6" x14ac:dyDescent="0.2">
      <c r="F196" s="31"/>
    </row>
    <row r="197" spans="6:6" x14ac:dyDescent="0.2">
      <c r="F197" s="31"/>
    </row>
    <row r="198" spans="6:6" x14ac:dyDescent="0.2">
      <c r="F198" s="31"/>
    </row>
    <row r="199" spans="6:6" x14ac:dyDescent="0.2">
      <c r="F199" s="31"/>
    </row>
    <row r="200" spans="6:6" x14ac:dyDescent="0.2">
      <c r="F200" s="31"/>
    </row>
    <row r="201" spans="6:6" x14ac:dyDescent="0.2">
      <c r="F201" s="31"/>
    </row>
    <row r="202" spans="6:6" x14ac:dyDescent="0.2">
      <c r="F202" s="31"/>
    </row>
    <row r="203" spans="6:6" x14ac:dyDescent="0.2">
      <c r="F203" s="31"/>
    </row>
    <row r="204" spans="6:6" x14ac:dyDescent="0.2">
      <c r="F204" s="31"/>
    </row>
    <row r="205" spans="6:6" x14ac:dyDescent="0.2">
      <c r="F205" s="31"/>
    </row>
    <row r="206" spans="6:6" x14ac:dyDescent="0.2">
      <c r="F206" s="31"/>
    </row>
    <row r="207" spans="6:6" x14ac:dyDescent="0.2">
      <c r="F207" s="31"/>
    </row>
    <row r="208" spans="6:6" x14ac:dyDescent="0.2">
      <c r="F208" s="31"/>
    </row>
    <row r="209" spans="6:6" x14ac:dyDescent="0.2">
      <c r="F209" s="31"/>
    </row>
    <row r="210" spans="6:6" x14ac:dyDescent="0.2">
      <c r="F210" s="31"/>
    </row>
    <row r="211" spans="6:6" x14ac:dyDescent="0.2">
      <c r="F211" s="31"/>
    </row>
    <row r="212" spans="6:6" x14ac:dyDescent="0.2">
      <c r="F212" s="31"/>
    </row>
    <row r="213" spans="6:6" x14ac:dyDescent="0.2">
      <c r="F213" s="31"/>
    </row>
    <row r="214" spans="6:6" x14ac:dyDescent="0.2">
      <c r="F214" s="31"/>
    </row>
    <row r="215" spans="6:6" x14ac:dyDescent="0.2">
      <c r="F215" s="31"/>
    </row>
    <row r="216" spans="6:6" x14ac:dyDescent="0.2">
      <c r="F216" s="31"/>
    </row>
    <row r="217" spans="6:6" x14ac:dyDescent="0.2">
      <c r="F217" s="31"/>
    </row>
    <row r="218" spans="6:6" x14ac:dyDescent="0.2">
      <c r="F218" s="31"/>
    </row>
    <row r="219" spans="6:6" x14ac:dyDescent="0.2">
      <c r="F219" s="31"/>
    </row>
    <row r="220" spans="6:6" x14ac:dyDescent="0.2">
      <c r="F220" s="31"/>
    </row>
    <row r="221" spans="6:6" x14ac:dyDescent="0.2">
      <c r="F221" s="31"/>
    </row>
    <row r="222" spans="6:6" x14ac:dyDescent="0.2">
      <c r="F222" s="31"/>
    </row>
    <row r="223" spans="6:6" x14ac:dyDescent="0.2">
      <c r="F223" s="31"/>
    </row>
    <row r="224" spans="6:6" x14ac:dyDescent="0.2">
      <c r="F224" s="31"/>
    </row>
    <row r="225" spans="6:6" x14ac:dyDescent="0.2">
      <c r="F225" s="31"/>
    </row>
    <row r="226" spans="6:6" x14ac:dyDescent="0.2">
      <c r="F226" s="31"/>
    </row>
    <row r="227" spans="6:6" x14ac:dyDescent="0.2">
      <c r="F227" s="31"/>
    </row>
    <row r="228" spans="6:6" x14ac:dyDescent="0.2">
      <c r="F228" s="31"/>
    </row>
    <row r="229" spans="6:6" x14ac:dyDescent="0.2">
      <c r="F229" s="31"/>
    </row>
    <row r="230" spans="6:6" x14ac:dyDescent="0.2">
      <c r="F230" s="31"/>
    </row>
    <row r="231" spans="6:6" x14ac:dyDescent="0.2">
      <c r="F231" s="31"/>
    </row>
    <row r="232" spans="6:6" x14ac:dyDescent="0.2">
      <c r="F232" s="31"/>
    </row>
    <row r="233" spans="6:6" x14ac:dyDescent="0.2">
      <c r="F233" s="31"/>
    </row>
    <row r="234" spans="6:6" x14ac:dyDescent="0.2">
      <c r="F234" s="31"/>
    </row>
    <row r="235" spans="6:6" x14ac:dyDescent="0.2">
      <c r="F235" s="31"/>
    </row>
    <row r="236" spans="6:6" x14ac:dyDescent="0.2">
      <c r="F236" s="31"/>
    </row>
    <row r="237" spans="6:6" x14ac:dyDescent="0.2">
      <c r="F237" s="31"/>
    </row>
    <row r="238" spans="6:6" x14ac:dyDescent="0.2">
      <c r="F238" s="31"/>
    </row>
    <row r="239" spans="6:6" x14ac:dyDescent="0.2">
      <c r="F239" s="31"/>
    </row>
    <row r="240" spans="6:6" x14ac:dyDescent="0.2">
      <c r="F240" s="31"/>
    </row>
    <row r="241" spans="6:6" x14ac:dyDescent="0.2">
      <c r="F241" s="31"/>
    </row>
    <row r="242" spans="6:6" x14ac:dyDescent="0.2">
      <c r="F242" s="31"/>
    </row>
    <row r="243" spans="6:6" x14ac:dyDescent="0.2">
      <c r="F243" s="31"/>
    </row>
    <row r="244" spans="6:6" x14ac:dyDescent="0.2">
      <c r="F244" s="31"/>
    </row>
    <row r="245" spans="6:6" x14ac:dyDescent="0.2">
      <c r="F245" s="31"/>
    </row>
    <row r="246" spans="6:6" x14ac:dyDescent="0.2">
      <c r="F246" s="31"/>
    </row>
    <row r="247" spans="6:6" x14ac:dyDescent="0.2">
      <c r="F247" s="31"/>
    </row>
    <row r="248" spans="6:6" x14ac:dyDescent="0.2">
      <c r="F248" s="31"/>
    </row>
    <row r="249" spans="6:6" x14ac:dyDescent="0.2">
      <c r="F249" s="31"/>
    </row>
    <row r="250" spans="6:6" x14ac:dyDescent="0.2">
      <c r="F250" s="31"/>
    </row>
    <row r="251" spans="6:6" x14ac:dyDescent="0.2">
      <c r="F251" s="31"/>
    </row>
    <row r="252" spans="6:6" x14ac:dyDescent="0.2">
      <c r="F252" s="31"/>
    </row>
    <row r="253" spans="6:6" x14ac:dyDescent="0.2">
      <c r="F253" s="31"/>
    </row>
    <row r="254" spans="6:6" x14ac:dyDescent="0.2">
      <c r="F254" s="31"/>
    </row>
    <row r="255" spans="6:6" x14ac:dyDescent="0.2">
      <c r="F255" s="31"/>
    </row>
    <row r="256" spans="6:6" x14ac:dyDescent="0.2">
      <c r="F256" s="31"/>
    </row>
    <row r="257" spans="6:6" x14ac:dyDescent="0.2">
      <c r="F257" s="31"/>
    </row>
    <row r="258" spans="6:6" x14ac:dyDescent="0.2">
      <c r="F258" s="31"/>
    </row>
    <row r="259" spans="6:6" x14ac:dyDescent="0.2">
      <c r="F259" s="31"/>
    </row>
    <row r="260" spans="6:6" x14ac:dyDescent="0.2">
      <c r="F260" s="31"/>
    </row>
    <row r="261" spans="6:6" x14ac:dyDescent="0.2">
      <c r="F261" s="31"/>
    </row>
    <row r="262" spans="6:6" x14ac:dyDescent="0.2">
      <c r="F262" s="31"/>
    </row>
    <row r="263" spans="6:6" x14ac:dyDescent="0.2">
      <c r="F263" s="31"/>
    </row>
    <row r="264" spans="6:6" x14ac:dyDescent="0.2">
      <c r="F264" s="31"/>
    </row>
    <row r="265" spans="6:6" x14ac:dyDescent="0.2">
      <c r="F265" s="31"/>
    </row>
    <row r="266" spans="6:6" x14ac:dyDescent="0.2">
      <c r="F266" s="31"/>
    </row>
    <row r="267" spans="6:6" x14ac:dyDescent="0.2">
      <c r="F267" s="31"/>
    </row>
    <row r="268" spans="6:6" x14ac:dyDescent="0.2">
      <c r="F268" s="31"/>
    </row>
    <row r="269" spans="6:6" x14ac:dyDescent="0.2">
      <c r="F269" s="31"/>
    </row>
    <row r="270" spans="6:6" x14ac:dyDescent="0.2">
      <c r="F270" s="31"/>
    </row>
    <row r="271" spans="6:6" x14ac:dyDescent="0.2">
      <c r="F271" s="31"/>
    </row>
    <row r="272" spans="6:6" x14ac:dyDescent="0.2">
      <c r="F272" s="31"/>
    </row>
    <row r="273" spans="6:6" x14ac:dyDescent="0.2">
      <c r="F273" s="31"/>
    </row>
    <row r="274" spans="6:6" x14ac:dyDescent="0.2">
      <c r="F274" s="31"/>
    </row>
    <row r="275" spans="6:6" x14ac:dyDescent="0.2">
      <c r="F275" s="31"/>
    </row>
    <row r="276" spans="6:6" x14ac:dyDescent="0.2">
      <c r="F276" s="31"/>
    </row>
    <row r="277" spans="6:6" x14ac:dyDescent="0.2">
      <c r="F277" s="31"/>
    </row>
    <row r="278" spans="6:6" x14ac:dyDescent="0.2">
      <c r="F278" s="31"/>
    </row>
    <row r="279" spans="6:6" x14ac:dyDescent="0.2">
      <c r="F279" s="31"/>
    </row>
    <row r="280" spans="6:6" x14ac:dyDescent="0.2">
      <c r="F280" s="31"/>
    </row>
    <row r="281" spans="6:6" x14ac:dyDescent="0.2">
      <c r="F281" s="31"/>
    </row>
    <row r="282" spans="6:6" x14ac:dyDescent="0.2">
      <c r="F282" s="31"/>
    </row>
    <row r="283" spans="6:6" x14ac:dyDescent="0.2">
      <c r="F283" s="31"/>
    </row>
    <row r="284" spans="6:6" x14ac:dyDescent="0.2">
      <c r="F284" s="31"/>
    </row>
    <row r="285" spans="6:6" x14ac:dyDescent="0.2">
      <c r="F285" s="31"/>
    </row>
    <row r="286" spans="6:6" x14ac:dyDescent="0.2">
      <c r="F286" s="31"/>
    </row>
    <row r="287" spans="6:6" x14ac:dyDescent="0.2">
      <c r="F287" s="31"/>
    </row>
    <row r="288" spans="6:6" x14ac:dyDescent="0.2">
      <c r="F288" s="31"/>
    </row>
    <row r="289" spans="6:6" x14ac:dyDescent="0.2">
      <c r="F289" s="31"/>
    </row>
    <row r="290" spans="6:6" x14ac:dyDescent="0.2">
      <c r="F290" s="31"/>
    </row>
    <row r="291" spans="6:6" x14ac:dyDescent="0.2">
      <c r="F291" s="31"/>
    </row>
    <row r="292" spans="6:6" x14ac:dyDescent="0.2">
      <c r="F292" s="31"/>
    </row>
    <row r="293" spans="6:6" x14ac:dyDescent="0.2">
      <c r="F293" s="31"/>
    </row>
    <row r="294" spans="6:6" x14ac:dyDescent="0.2">
      <c r="F294" s="31"/>
    </row>
    <row r="295" spans="6:6" x14ac:dyDescent="0.2">
      <c r="F295" s="31"/>
    </row>
    <row r="296" spans="6:6" x14ac:dyDescent="0.2">
      <c r="F296" s="31"/>
    </row>
    <row r="297" spans="6:6" x14ac:dyDescent="0.2">
      <c r="F297" s="31"/>
    </row>
    <row r="298" spans="6:6" x14ac:dyDescent="0.2">
      <c r="F298" s="31"/>
    </row>
    <row r="299" spans="6:6" x14ac:dyDescent="0.2">
      <c r="F299" s="31"/>
    </row>
    <row r="300" spans="6:6" x14ac:dyDescent="0.2">
      <c r="F300" s="31"/>
    </row>
    <row r="301" spans="6:6" x14ac:dyDescent="0.2">
      <c r="F301" s="31"/>
    </row>
    <row r="302" spans="6:6" x14ac:dyDescent="0.2">
      <c r="F302" s="31"/>
    </row>
    <row r="303" spans="6:6" x14ac:dyDescent="0.2">
      <c r="F303" s="31"/>
    </row>
  </sheetData>
  <mergeCells count="4">
    <mergeCell ref="B1:F1"/>
    <mergeCell ref="B2:F2"/>
    <mergeCell ref="B3:F3"/>
    <mergeCell ref="B4:F4"/>
  </mergeCells>
  <printOptions horizontalCentered="1"/>
  <pageMargins left="0.5" right="0.5" top="0.72" bottom="0.77" header="0.5" footer="0.5"/>
  <pageSetup orientation="landscape" blackAndWhite="1" horizontalDpi="300" verticalDpi="300" r:id="rId1"/>
  <headerFooter alignWithMargins="0">
    <oddFooter>&amp;R&amp;A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"/>
  <sheetViews>
    <sheetView workbookViewId="0">
      <selection activeCell="E33" sqref="E33"/>
    </sheetView>
  </sheetViews>
  <sheetFormatPr defaultRowHeight="12.75" x14ac:dyDescent="0.2"/>
  <sheetData/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rgb="FFFFFF00"/>
  </sheetPr>
  <dimension ref="B1:Q240"/>
  <sheetViews>
    <sheetView zoomScaleNormal="100" workbookViewId="0">
      <pane xSplit="2" ySplit="6" topLeftCell="C16" activePane="bottomRight" state="frozen"/>
      <selection activeCell="E33" sqref="E33"/>
      <selection pane="topRight" activeCell="E33" sqref="E33"/>
      <selection pane="bottomLeft" activeCell="E33" sqref="E33"/>
      <selection pane="bottomRight" activeCell="H40" sqref="H40"/>
    </sheetView>
  </sheetViews>
  <sheetFormatPr defaultRowHeight="12.75" x14ac:dyDescent="0.2"/>
  <cols>
    <col min="1" max="1" width="4.140625" customWidth="1"/>
    <col min="2" max="2" width="42.5703125" customWidth="1"/>
    <col min="3" max="12" width="11.28515625" bestFit="1" customWidth="1"/>
    <col min="13" max="13" width="10.28515625" bestFit="1" customWidth="1"/>
    <col min="14" max="14" width="11.28515625" bestFit="1" customWidth="1"/>
    <col min="15" max="15" width="14.140625" customWidth="1"/>
    <col min="16" max="16" width="5" customWidth="1"/>
    <col min="17" max="17" width="10.28515625" bestFit="1" customWidth="1"/>
  </cols>
  <sheetData>
    <row r="1" spans="2:16" x14ac:dyDescent="0.2">
      <c r="B1" s="847" t="s">
        <v>1</v>
      </c>
      <c r="C1" s="847"/>
      <c r="D1" s="847"/>
      <c r="E1" s="847"/>
      <c r="F1" s="847"/>
      <c r="G1" s="847"/>
      <c r="H1" s="847"/>
      <c r="I1" s="847"/>
      <c r="J1" s="847"/>
      <c r="K1" s="847"/>
      <c r="L1" s="847"/>
      <c r="M1" s="847"/>
      <c r="N1" s="847"/>
      <c r="O1" s="847"/>
    </row>
    <row r="2" spans="2:16" x14ac:dyDescent="0.2">
      <c r="B2" s="847" t="s">
        <v>397</v>
      </c>
      <c r="C2" s="847"/>
      <c r="D2" s="847"/>
      <c r="E2" s="847"/>
      <c r="F2" s="847"/>
      <c r="G2" s="847"/>
      <c r="H2" s="847"/>
      <c r="I2" s="847"/>
      <c r="J2" s="847"/>
      <c r="K2" s="847"/>
      <c r="L2" s="847"/>
      <c r="M2" s="847"/>
      <c r="N2" s="847"/>
      <c r="O2" s="847"/>
    </row>
    <row r="3" spans="2:16" x14ac:dyDescent="0.2">
      <c r="B3" s="847" t="s">
        <v>598</v>
      </c>
      <c r="C3" s="847"/>
      <c r="D3" s="847"/>
      <c r="E3" s="847"/>
      <c r="F3" s="847"/>
      <c r="G3" s="847"/>
      <c r="H3" s="847"/>
      <c r="I3" s="847"/>
      <c r="J3" s="847"/>
      <c r="K3" s="847"/>
      <c r="L3" s="847"/>
      <c r="M3" s="847"/>
      <c r="N3" s="847"/>
      <c r="O3" s="847"/>
    </row>
    <row r="4" spans="2:16" x14ac:dyDescent="0.2">
      <c r="B4" s="846" t="s">
        <v>542</v>
      </c>
      <c r="C4" s="846"/>
      <c r="D4" s="846"/>
      <c r="E4" s="846"/>
      <c r="F4" s="846"/>
      <c r="G4" s="846"/>
      <c r="H4" s="846"/>
      <c r="I4" s="846"/>
      <c r="J4" s="846"/>
      <c r="K4" s="846"/>
      <c r="L4" s="846"/>
      <c r="M4" s="846"/>
      <c r="N4" s="846"/>
      <c r="O4" s="846"/>
    </row>
    <row r="5" spans="2:16" x14ac:dyDescent="0.2">
      <c r="O5" s="15"/>
    </row>
    <row r="6" spans="2:16" x14ac:dyDescent="0.2">
      <c r="C6" s="14">
        <v>42917</v>
      </c>
      <c r="D6" s="14">
        <f>EDATE(C6,1)</f>
        <v>42948</v>
      </c>
      <c r="E6" s="14">
        <f t="shared" ref="E6:N6" si="0">EDATE(D6,1)</f>
        <v>42979</v>
      </c>
      <c r="F6" s="14">
        <f t="shared" si="0"/>
        <v>43009</v>
      </c>
      <c r="G6" s="14">
        <f t="shared" si="0"/>
        <v>43040</v>
      </c>
      <c r="H6" s="14">
        <f t="shared" si="0"/>
        <v>43070</v>
      </c>
      <c r="I6" s="14">
        <f t="shared" si="0"/>
        <v>43101</v>
      </c>
      <c r="J6" s="14">
        <f t="shared" si="0"/>
        <v>43132</v>
      </c>
      <c r="K6" s="14">
        <f t="shared" si="0"/>
        <v>43160</v>
      </c>
      <c r="L6" s="14">
        <f t="shared" si="0"/>
        <v>43191</v>
      </c>
      <c r="M6" s="14">
        <f t="shared" si="0"/>
        <v>43221</v>
      </c>
      <c r="N6" s="14">
        <f t="shared" si="0"/>
        <v>43252</v>
      </c>
      <c r="O6" s="13" t="s">
        <v>113</v>
      </c>
    </row>
    <row r="7" spans="2:16" x14ac:dyDescent="0.2">
      <c r="C7" s="705"/>
      <c r="D7" s="705"/>
      <c r="E7" s="705"/>
      <c r="F7" s="705"/>
      <c r="H7" s="705"/>
      <c r="I7" s="705"/>
      <c r="J7" s="705"/>
      <c r="K7" s="705"/>
      <c r="L7" s="705"/>
      <c r="M7" s="705"/>
      <c r="N7" s="705"/>
      <c r="O7" s="706"/>
    </row>
    <row r="8" spans="2:16" ht="15.75" x14ac:dyDescent="0.25">
      <c r="C8" s="705"/>
      <c r="D8" s="705"/>
      <c r="E8" s="705"/>
      <c r="F8" s="701" t="s">
        <v>591</v>
      </c>
      <c r="H8" s="705"/>
      <c r="I8" s="705"/>
      <c r="J8" s="705"/>
      <c r="K8" s="705"/>
      <c r="L8" s="705"/>
      <c r="M8" s="705"/>
      <c r="N8" s="705"/>
      <c r="O8" s="706"/>
    </row>
    <row r="9" spans="2:16" s="30" customFormat="1" x14ac:dyDescent="0.2">
      <c r="B9" s="15" t="s">
        <v>0</v>
      </c>
      <c r="C9"/>
      <c r="D9"/>
      <c r="E9"/>
      <c r="F9"/>
      <c r="G9"/>
      <c r="H9"/>
      <c r="I9"/>
      <c r="J9"/>
      <c r="K9"/>
      <c r="L9"/>
      <c r="M9"/>
      <c r="N9"/>
      <c r="O9"/>
      <c r="P9"/>
    </row>
    <row r="10" spans="2:16" s="30" customFormat="1" x14ac:dyDescent="0.2">
      <c r="B10" s="157" t="s">
        <v>14</v>
      </c>
      <c r="C10" s="178">
        <f>Therms!E30/19</f>
        <v>43.47768421052632</v>
      </c>
      <c r="D10" s="178">
        <f>Therms!F30/19</f>
        <v>43.206684210526319</v>
      </c>
      <c r="E10" s="178">
        <f>Therms!G30/19</f>
        <v>40.764105263157894</v>
      </c>
      <c r="F10" s="178">
        <f>Therms!H30/19</f>
        <v>43.372736842105262</v>
      </c>
      <c r="G10" s="178">
        <f>Therms!I30/19</f>
        <v>41.239421052631577</v>
      </c>
      <c r="H10" s="178">
        <f>Therms!J30/19</f>
        <v>42.110894736842106</v>
      </c>
      <c r="I10" s="178">
        <f>Therms!K30/19</f>
        <v>41.98047368421053</v>
      </c>
      <c r="J10" s="178">
        <f>Therms!L30/19</f>
        <v>38.085421052631581</v>
      </c>
      <c r="K10" s="178">
        <f>Therms!M30/19</f>
        <v>43.992421052631578</v>
      </c>
      <c r="L10" s="178">
        <f>Therms!N30/19</f>
        <v>43.244789473684207</v>
      </c>
      <c r="M10" s="178">
        <f>Therms!O30/19</f>
        <v>43.088157894736838</v>
      </c>
      <c r="N10" s="178">
        <f>Therms!P30/19</f>
        <v>40.281684210526315</v>
      </c>
      <c r="O10" s="22">
        <f>SUM(C10:N10)</f>
        <v>504.84447368421053</v>
      </c>
      <c r="P10"/>
    </row>
    <row r="11" spans="2:16" s="30" customFormat="1" x14ac:dyDescent="0.2">
      <c r="B11" s="105"/>
      <c r="C11" s="106"/>
      <c r="D11" s="106"/>
      <c r="E11" s="106"/>
      <c r="F11" s="106"/>
      <c r="G11" s="106"/>
      <c r="H11" s="106"/>
      <c r="I11" s="106"/>
      <c r="J11" s="106"/>
      <c r="K11" s="106"/>
      <c r="L11" s="106"/>
      <c r="M11" s="106"/>
      <c r="N11" s="106"/>
      <c r="O11" s="43"/>
      <c r="P11"/>
    </row>
    <row r="12" spans="2:16" s="30" customFormat="1" x14ac:dyDescent="0.2">
      <c r="B12" s="89" t="s">
        <v>331</v>
      </c>
      <c r="C12"/>
      <c r="D12"/>
      <c r="E12"/>
      <c r="F12"/>
      <c r="G12"/>
      <c r="H12"/>
      <c r="I12"/>
      <c r="J12"/>
      <c r="K12"/>
      <c r="L12"/>
      <c r="M12"/>
      <c r="N12"/>
      <c r="O12"/>
      <c r="P12"/>
    </row>
    <row r="13" spans="2:16" s="30" customFormat="1" x14ac:dyDescent="0.2">
      <c r="B13" s="80">
        <v>23</v>
      </c>
      <c r="C13" s="186">
        <v>791033.10106899915</v>
      </c>
      <c r="D13" s="186">
        <v>799125.72983479116</v>
      </c>
      <c r="E13" s="186">
        <v>753288.30126336252</v>
      </c>
      <c r="F13" s="186">
        <v>788504.85519922257</v>
      </c>
      <c r="G13" s="186">
        <v>754044.3041788144</v>
      </c>
      <c r="H13" s="186">
        <v>778711.52441646787</v>
      </c>
      <c r="I13" s="186">
        <v>781852.52976234653</v>
      </c>
      <c r="J13" s="186">
        <v>710122.15909090906</v>
      </c>
      <c r="K13" s="186">
        <v>810554.56545454555</v>
      </c>
      <c r="L13" s="186">
        <v>796412.53272727272</v>
      </c>
      <c r="M13" s="186">
        <v>800300.15272727271</v>
      </c>
      <c r="N13" s="186">
        <v>765726.25818181818</v>
      </c>
      <c r="O13" s="22">
        <f>SUM(C13:N13)</f>
        <v>9329676.0139058214</v>
      </c>
      <c r="P13"/>
    </row>
    <row r="14" spans="2:16" s="30" customFormat="1" x14ac:dyDescent="0.2">
      <c r="B14" s="80" t="s">
        <v>203</v>
      </c>
      <c r="C14" s="186">
        <v>55936.156343956711</v>
      </c>
      <c r="D14" s="186">
        <v>56724.969933854481</v>
      </c>
      <c r="E14" s="186">
        <v>53454.891160553219</v>
      </c>
      <c r="F14" s="186">
        <v>55802.520745640417</v>
      </c>
      <c r="G14" s="186">
        <v>53601.754359591105</v>
      </c>
      <c r="H14" s="186">
        <v>55562.214992229521</v>
      </c>
      <c r="I14" s="186">
        <v>55587.03296056504</v>
      </c>
      <c r="J14" s="186">
        <v>50550.286933490293</v>
      </c>
      <c r="K14" s="186">
        <v>57714.630076515597</v>
      </c>
      <c r="L14" s="186">
        <v>56418.82960565039</v>
      </c>
      <c r="M14" s="186">
        <v>56698.709888059711</v>
      </c>
      <c r="N14" s="186">
        <v>54030.333644278617</v>
      </c>
      <c r="O14" s="22">
        <f t="shared" ref="O14:O34" si="1">SUM(C14:N14)</f>
        <v>662082.33064438507</v>
      </c>
      <c r="P14"/>
    </row>
    <row r="15" spans="2:16" s="30" customFormat="1" x14ac:dyDescent="0.2">
      <c r="B15" s="80" t="s">
        <v>204</v>
      </c>
      <c r="C15" s="186">
        <v>2342.3767288033673</v>
      </c>
      <c r="D15" s="186">
        <v>2373.6885147324115</v>
      </c>
      <c r="E15" s="186">
        <v>2229.5706554419726</v>
      </c>
      <c r="F15" s="186">
        <v>2333.3463619963923</v>
      </c>
      <c r="G15" s="186">
        <v>2250.1939266386048</v>
      </c>
      <c r="H15" s="186">
        <v>2314.2957372611745</v>
      </c>
      <c r="I15" s="186">
        <v>2323.4841082989997</v>
      </c>
      <c r="J15" s="186">
        <v>2108.1477339611538</v>
      </c>
      <c r="K15" s="186">
        <v>2392.2798705120663</v>
      </c>
      <c r="L15" s="186">
        <v>2357.4690994702769</v>
      </c>
      <c r="M15" s="186">
        <v>2366.1710199004979</v>
      </c>
      <c r="N15" s="186">
        <v>2225.5973258706472</v>
      </c>
      <c r="O15" s="22">
        <f t="shared" si="1"/>
        <v>27616.621082887563</v>
      </c>
      <c r="P15"/>
    </row>
    <row r="16" spans="2:16" s="30" customFormat="1" x14ac:dyDescent="0.2">
      <c r="B16" s="80" t="s">
        <v>385</v>
      </c>
      <c r="C16" s="186">
        <v>2</v>
      </c>
      <c r="D16" s="186">
        <v>2</v>
      </c>
      <c r="E16" s="186">
        <v>2.9999999999999996</v>
      </c>
      <c r="F16" s="186">
        <v>2</v>
      </c>
      <c r="G16" s="186">
        <v>2</v>
      </c>
      <c r="H16" s="186">
        <v>2.000020827694831</v>
      </c>
      <c r="I16" s="186">
        <v>2</v>
      </c>
      <c r="J16" s="186">
        <v>2</v>
      </c>
      <c r="K16" s="186">
        <v>2</v>
      </c>
      <c r="L16" s="186">
        <v>2</v>
      </c>
      <c r="M16" s="186">
        <v>2</v>
      </c>
      <c r="N16" s="186">
        <v>2</v>
      </c>
      <c r="O16" s="22">
        <f t="shared" si="1"/>
        <v>25.000020827694833</v>
      </c>
      <c r="P16"/>
    </row>
    <row r="17" spans="2:16" s="30" customFormat="1" x14ac:dyDescent="0.2">
      <c r="B17" s="80" t="s">
        <v>399</v>
      </c>
      <c r="C17" s="186">
        <v>1</v>
      </c>
      <c r="D17" s="186">
        <v>1</v>
      </c>
      <c r="E17" s="186">
        <v>1</v>
      </c>
      <c r="F17" s="186">
        <v>1</v>
      </c>
      <c r="G17" s="186">
        <v>1</v>
      </c>
      <c r="H17" s="186">
        <v>1.0000104138474155</v>
      </c>
      <c r="I17" s="186">
        <v>1</v>
      </c>
      <c r="J17" s="186">
        <v>1</v>
      </c>
      <c r="K17" s="186">
        <v>1</v>
      </c>
      <c r="L17" s="186">
        <v>1</v>
      </c>
      <c r="M17" s="186">
        <v>1</v>
      </c>
      <c r="N17" s="186">
        <v>1</v>
      </c>
      <c r="O17" s="22">
        <f t="shared" si="1"/>
        <v>12.000010413847416</v>
      </c>
      <c r="P17"/>
    </row>
    <row r="18" spans="2:16" s="30" customFormat="1" x14ac:dyDescent="0.2">
      <c r="B18" s="80" t="s">
        <v>205</v>
      </c>
      <c r="C18" s="186">
        <v>1287.9778656126482</v>
      </c>
      <c r="D18" s="186">
        <v>1316.455248133509</v>
      </c>
      <c r="E18" s="186">
        <v>1244.5072463768115</v>
      </c>
      <c r="F18" s="186">
        <v>1291.2735177865613</v>
      </c>
      <c r="G18" s="186">
        <v>1236.0861660079051</v>
      </c>
      <c r="H18" s="186">
        <v>1293.4686895375128</v>
      </c>
      <c r="I18" s="186">
        <v>1289.8973869259485</v>
      </c>
      <c r="J18" s="186">
        <v>1185.0315131521834</v>
      </c>
      <c r="K18" s="186">
        <v>1331.4759093671325</v>
      </c>
      <c r="L18" s="186">
        <v>1305.7300112857019</v>
      </c>
      <c r="M18" s="186">
        <v>1296.0508315324626</v>
      </c>
      <c r="N18" s="186">
        <v>817.19421215822592</v>
      </c>
      <c r="O18" s="22">
        <f t="shared" si="1"/>
        <v>14895.148597876603</v>
      </c>
      <c r="P18"/>
    </row>
    <row r="19" spans="2:16" s="30" customFormat="1" x14ac:dyDescent="0.2">
      <c r="B19" s="80" t="s">
        <v>206</v>
      </c>
      <c r="C19" s="186">
        <v>80.497848045674132</v>
      </c>
      <c r="D19" s="186">
        <v>80.037417654808962</v>
      </c>
      <c r="E19" s="186">
        <v>76.810803689064556</v>
      </c>
      <c r="F19" s="186">
        <v>78.018093983311388</v>
      </c>
      <c r="G19" s="186">
        <v>73.751075977162927</v>
      </c>
      <c r="H19" s="186">
        <v>76.034583865049214</v>
      </c>
      <c r="I19" s="186">
        <v>73.09532077437278</v>
      </c>
      <c r="J19" s="186">
        <v>69.06155048181266</v>
      </c>
      <c r="K19" s="186">
        <v>74.83974303324942</v>
      </c>
      <c r="L19" s="186">
        <v>74.071099921868225</v>
      </c>
      <c r="M19" s="186">
        <v>74.148642300103347</v>
      </c>
      <c r="N19" s="186">
        <v>31.613924645306774</v>
      </c>
      <c r="O19" s="22">
        <f t="shared" si="1"/>
        <v>861.98010437178436</v>
      </c>
      <c r="P19"/>
    </row>
    <row r="20" spans="2:16" s="30" customFormat="1" x14ac:dyDescent="0.2">
      <c r="B20" s="83" t="s">
        <v>243</v>
      </c>
      <c r="C20" s="186">
        <v>72</v>
      </c>
      <c r="D20" s="186">
        <v>73</v>
      </c>
      <c r="E20" s="186">
        <v>73</v>
      </c>
      <c r="F20" s="186">
        <v>74</v>
      </c>
      <c r="G20" s="186">
        <v>75</v>
      </c>
      <c r="H20" s="186">
        <v>74.999888514211207</v>
      </c>
      <c r="I20" s="186">
        <v>77</v>
      </c>
      <c r="J20" s="186">
        <v>78.999999999999986</v>
      </c>
      <c r="K20" s="186">
        <v>78.999999999999986</v>
      </c>
      <c r="L20" s="186">
        <v>81</v>
      </c>
      <c r="M20" s="186">
        <v>81</v>
      </c>
      <c r="N20" s="186">
        <v>83</v>
      </c>
      <c r="O20" s="22">
        <f t="shared" si="1"/>
        <v>921.99988851421119</v>
      </c>
      <c r="P20"/>
    </row>
    <row r="21" spans="2:16" s="30" customFormat="1" x14ac:dyDescent="0.2">
      <c r="B21" s="83" t="s">
        <v>244</v>
      </c>
      <c r="C21" s="186">
        <v>27</v>
      </c>
      <c r="D21" s="186">
        <v>25.033340924618535</v>
      </c>
      <c r="E21" s="186">
        <v>25</v>
      </c>
      <c r="F21" s="186">
        <v>25</v>
      </c>
      <c r="G21" s="186">
        <v>25</v>
      </c>
      <c r="H21" s="186">
        <v>24.999962838070402</v>
      </c>
      <c r="I21" s="186">
        <v>25</v>
      </c>
      <c r="J21" s="186">
        <v>25.035719108710332</v>
      </c>
      <c r="K21" s="186">
        <v>25</v>
      </c>
      <c r="L21" s="186">
        <v>24</v>
      </c>
      <c r="M21" s="186">
        <v>22</v>
      </c>
      <c r="N21" s="186">
        <v>22</v>
      </c>
      <c r="O21" s="22">
        <f t="shared" si="1"/>
        <v>295.06902287139928</v>
      </c>
      <c r="P21"/>
    </row>
    <row r="22" spans="2:16" x14ac:dyDescent="0.2">
      <c r="B22" s="83">
        <v>53</v>
      </c>
      <c r="C22" s="186">
        <v>1.0145772594752187</v>
      </c>
      <c r="D22" s="186">
        <v>1.0505344995140915</v>
      </c>
      <c r="E22" s="186">
        <v>0.9659863945578232</v>
      </c>
      <c r="F22" s="186">
        <v>1.0174927113702625</v>
      </c>
      <c r="G22" s="186">
        <v>1.0165208940719146</v>
      </c>
      <c r="H22" s="186">
        <v>0.98158582913684955</v>
      </c>
      <c r="I22" s="186">
        <v>1.2354545454545454</v>
      </c>
      <c r="J22" s="186">
        <v>0.25</v>
      </c>
      <c r="K22" s="186">
        <v>0</v>
      </c>
      <c r="L22" s="186">
        <v>0</v>
      </c>
      <c r="M22" s="186">
        <v>0</v>
      </c>
      <c r="N22" s="186">
        <v>0</v>
      </c>
      <c r="O22" s="22">
        <f t="shared" si="1"/>
        <v>7.5321521335807056</v>
      </c>
    </row>
    <row r="23" spans="2:16" x14ac:dyDescent="0.2">
      <c r="B23" s="83" t="s">
        <v>207</v>
      </c>
      <c r="C23" s="186">
        <v>22.642907679399361</v>
      </c>
      <c r="D23" s="186">
        <v>23.143396991165101</v>
      </c>
      <c r="E23" s="186">
        <v>22.896424270523134</v>
      </c>
      <c r="F23" s="186">
        <v>24.089516671707617</v>
      </c>
      <c r="G23" s="186">
        <v>23.905858893995589</v>
      </c>
      <c r="H23" s="186">
        <v>25.340302967426002</v>
      </c>
      <c r="I23" s="186">
        <v>24.117983299847172</v>
      </c>
      <c r="J23" s="186">
        <v>23.37605519083894</v>
      </c>
      <c r="K23" s="186">
        <v>24.507833165654986</v>
      </c>
      <c r="L23" s="186">
        <v>24.002119284044948</v>
      </c>
      <c r="M23" s="186">
        <v>24.086570537944109</v>
      </c>
      <c r="N23" s="186">
        <v>21.373717119054994</v>
      </c>
      <c r="O23" s="22">
        <f t="shared" si="1"/>
        <v>283.4826860716019</v>
      </c>
    </row>
    <row r="24" spans="2:16" x14ac:dyDescent="0.2">
      <c r="B24" s="83" t="s">
        <v>208</v>
      </c>
      <c r="C24" s="186">
        <v>4.0689467709182781</v>
      </c>
      <c r="D24" s="186">
        <v>4.04005372475656</v>
      </c>
      <c r="E24" s="186">
        <v>3.967749156553301</v>
      </c>
      <c r="F24" s="186">
        <v>4.1100078348603315</v>
      </c>
      <c r="G24" s="186">
        <v>3.9844102268911592</v>
      </c>
      <c r="H24" s="186">
        <v>3.9576420884246191</v>
      </c>
      <c r="I24" s="186">
        <v>4.0277920564751035</v>
      </c>
      <c r="J24" s="186">
        <v>3.8663685274665016</v>
      </c>
      <c r="K24" s="186">
        <v>4.0635687604948423</v>
      </c>
      <c r="L24" s="186">
        <v>4.0043178780713475</v>
      </c>
      <c r="M24" s="186">
        <v>4.0188672366334286</v>
      </c>
      <c r="N24" s="186">
        <v>3.9250961591045805</v>
      </c>
      <c r="O24" s="22">
        <f t="shared" si="1"/>
        <v>48.03482042065005</v>
      </c>
    </row>
    <row r="25" spans="2:16" x14ac:dyDescent="0.2">
      <c r="B25" s="83" t="s">
        <v>245</v>
      </c>
      <c r="C25" s="186">
        <v>33</v>
      </c>
      <c r="D25" s="186">
        <v>33</v>
      </c>
      <c r="E25" s="186">
        <v>33</v>
      </c>
      <c r="F25" s="186">
        <v>33</v>
      </c>
      <c r="G25" s="186">
        <v>33</v>
      </c>
      <c r="H25" s="186">
        <v>32.999880693439685</v>
      </c>
      <c r="I25" s="186">
        <v>33</v>
      </c>
      <c r="J25" s="186">
        <v>33</v>
      </c>
      <c r="K25" s="186">
        <v>33</v>
      </c>
      <c r="L25" s="186">
        <v>33.00002141855061</v>
      </c>
      <c r="M25" s="186">
        <v>33</v>
      </c>
      <c r="N25" s="186">
        <v>33</v>
      </c>
      <c r="O25" s="22">
        <f t="shared" si="1"/>
        <v>395.99990211199025</v>
      </c>
    </row>
    <row r="26" spans="2:16" x14ac:dyDescent="0.2">
      <c r="B26" s="83" t="s">
        <v>246</v>
      </c>
      <c r="C26" s="186">
        <v>69.033338330085456</v>
      </c>
      <c r="D26" s="186">
        <v>69.033328336581221</v>
      </c>
      <c r="E26" s="186">
        <v>68.937500624594009</v>
      </c>
      <c r="F26" s="186">
        <v>68.362504372158099</v>
      </c>
      <c r="G26" s="186">
        <v>69.000000000000014</v>
      </c>
      <c r="H26" s="186">
        <v>68.999750540828444</v>
      </c>
      <c r="I26" s="186">
        <v>69</v>
      </c>
      <c r="J26" s="186">
        <v>69</v>
      </c>
      <c r="K26" s="186">
        <v>69</v>
      </c>
      <c r="L26" s="186">
        <v>69.000032127825918</v>
      </c>
      <c r="M26" s="186">
        <v>70</v>
      </c>
      <c r="N26" s="186">
        <v>71</v>
      </c>
      <c r="O26" s="22">
        <f t="shared" si="1"/>
        <v>830.36645433207309</v>
      </c>
    </row>
    <row r="27" spans="2:16" x14ac:dyDescent="0.2">
      <c r="B27" s="83" t="s">
        <v>209</v>
      </c>
      <c r="C27" s="186">
        <v>225.0993511477011</v>
      </c>
      <c r="D27" s="186">
        <v>225.46549919765576</v>
      </c>
      <c r="E27" s="186">
        <v>215.11086304332656</v>
      </c>
      <c r="F27" s="186">
        <v>223.09404869880692</v>
      </c>
      <c r="G27" s="186">
        <v>212.5506174562199</v>
      </c>
      <c r="H27" s="186">
        <v>220.54810202637975</v>
      </c>
      <c r="I27" s="186">
        <v>221.02480064873632</v>
      </c>
      <c r="J27" s="186">
        <v>202.04635761589404</v>
      </c>
      <c r="K27" s="186">
        <v>229.08034869576969</v>
      </c>
      <c r="L27" s="186">
        <v>223.33720773077445</v>
      </c>
      <c r="M27" s="186">
        <v>221.29097301951776</v>
      </c>
      <c r="N27" s="186">
        <v>210.97079506314577</v>
      </c>
      <c r="O27" s="22">
        <f t="shared" si="1"/>
        <v>2629.6189643439284</v>
      </c>
    </row>
    <row r="28" spans="2:16" x14ac:dyDescent="0.2">
      <c r="B28" s="83" t="s">
        <v>210</v>
      </c>
      <c r="C28" s="186">
        <v>4.1890043954510565</v>
      </c>
      <c r="D28" s="186">
        <v>4.0010465359659522</v>
      </c>
      <c r="E28" s="186">
        <v>3.9609990930021626</v>
      </c>
      <c r="F28" s="186">
        <v>4.0724202888439267</v>
      </c>
      <c r="G28" s="186">
        <v>3.9504639642782391</v>
      </c>
      <c r="H28" s="186">
        <v>4.0265456061345182</v>
      </c>
      <c r="I28" s="186">
        <v>4.0333153128801191</v>
      </c>
      <c r="J28" s="186">
        <v>3.8418705230436547</v>
      </c>
      <c r="K28" s="186">
        <v>4.0787944316799569</v>
      </c>
      <c r="L28" s="186">
        <v>4.0183808622786863</v>
      </c>
      <c r="M28" s="186">
        <v>4.0172933409873703</v>
      </c>
      <c r="N28" s="186">
        <v>3.8964552238805967</v>
      </c>
      <c r="O28" s="22">
        <f t="shared" si="1"/>
        <v>48.086589578426235</v>
      </c>
    </row>
    <row r="29" spans="2:16" x14ac:dyDescent="0.2">
      <c r="B29" s="83" t="s">
        <v>324</v>
      </c>
      <c r="C29" s="186">
        <v>4</v>
      </c>
      <c r="D29" s="186">
        <v>4</v>
      </c>
      <c r="E29" s="186">
        <v>4</v>
      </c>
      <c r="F29" s="186">
        <v>4</v>
      </c>
      <c r="G29" s="186">
        <v>2</v>
      </c>
      <c r="H29" s="186">
        <v>1.9999719301096293</v>
      </c>
      <c r="I29" s="186">
        <v>2</v>
      </c>
      <c r="J29" s="186">
        <v>2</v>
      </c>
      <c r="K29" s="186">
        <v>2</v>
      </c>
      <c r="L29" s="186">
        <v>2</v>
      </c>
      <c r="M29" s="186">
        <v>2</v>
      </c>
      <c r="N29" s="186">
        <v>2</v>
      </c>
      <c r="O29" s="22">
        <f t="shared" si="1"/>
        <v>31.999971930109631</v>
      </c>
    </row>
    <row r="30" spans="2:16" x14ac:dyDescent="0.2">
      <c r="B30" s="83" t="s">
        <v>211</v>
      </c>
      <c r="C30" s="186">
        <v>5.0130693501152717</v>
      </c>
      <c r="D30" s="186">
        <v>5.1748862857498912</v>
      </c>
      <c r="E30" s="186">
        <v>4.901177643466883</v>
      </c>
      <c r="F30" s="186">
        <v>4.975668265935572</v>
      </c>
      <c r="G30" s="186">
        <v>5.1083556607888339</v>
      </c>
      <c r="H30" s="186">
        <v>5.1238280397033344</v>
      </c>
      <c r="I30" s="186">
        <v>5.0417959266253032</v>
      </c>
      <c r="J30" s="186">
        <v>4.8582074453736173</v>
      </c>
      <c r="K30" s="186">
        <v>5</v>
      </c>
      <c r="L30" s="186">
        <v>4.9655044510385755</v>
      </c>
      <c r="M30" s="186">
        <v>5.101185884210337</v>
      </c>
      <c r="N30" s="186">
        <v>4.8688171657187969</v>
      </c>
      <c r="O30" s="22">
        <f t="shared" si="1"/>
        <v>60.132496118726415</v>
      </c>
    </row>
    <row r="31" spans="2:16" x14ac:dyDescent="0.2">
      <c r="B31" s="83" t="s">
        <v>212</v>
      </c>
      <c r="C31" s="186">
        <v>0</v>
      </c>
      <c r="D31" s="186">
        <v>0</v>
      </c>
      <c r="E31" s="186">
        <v>0</v>
      </c>
      <c r="F31" s="186">
        <v>0</v>
      </c>
      <c r="G31" s="186">
        <v>0</v>
      </c>
      <c r="H31" s="186">
        <v>0</v>
      </c>
      <c r="I31" s="186">
        <v>0</v>
      </c>
      <c r="J31" s="186">
        <v>0</v>
      </c>
      <c r="K31" s="186">
        <v>0</v>
      </c>
      <c r="L31" s="186">
        <v>0</v>
      </c>
      <c r="M31" s="186">
        <v>0</v>
      </c>
      <c r="N31" s="186">
        <v>0</v>
      </c>
      <c r="O31" s="22">
        <f t="shared" si="1"/>
        <v>0</v>
      </c>
    </row>
    <row r="32" spans="2:16" x14ac:dyDescent="0.2">
      <c r="B32" s="83" t="s">
        <v>247</v>
      </c>
      <c r="C32" s="186">
        <v>2.9999999999999996</v>
      </c>
      <c r="D32" s="186">
        <v>2.9999999999999996</v>
      </c>
      <c r="E32" s="186">
        <v>2.9999999999999996</v>
      </c>
      <c r="F32" s="186">
        <v>2.9999999999999996</v>
      </c>
      <c r="G32" s="186">
        <v>2.9999999999999996</v>
      </c>
      <c r="H32" s="186">
        <v>3.0000127913274506</v>
      </c>
      <c r="I32" s="186">
        <v>3</v>
      </c>
      <c r="J32" s="186">
        <v>3</v>
      </c>
      <c r="K32" s="186">
        <v>3</v>
      </c>
      <c r="L32" s="186">
        <v>3</v>
      </c>
      <c r="M32" s="186">
        <v>2.9999999999999996</v>
      </c>
      <c r="N32" s="186">
        <v>2.9999999999999996</v>
      </c>
      <c r="O32" s="22">
        <f t="shared" si="1"/>
        <v>36.00001279132745</v>
      </c>
    </row>
    <row r="33" spans="2:15" x14ac:dyDescent="0.2">
      <c r="B33" s="83" t="s">
        <v>248</v>
      </c>
      <c r="C33" s="186">
        <v>5.9999999999999991</v>
      </c>
      <c r="D33" s="186">
        <v>5.9999999999999991</v>
      </c>
      <c r="E33" s="186">
        <v>5.9999999999999991</v>
      </c>
      <c r="F33" s="186">
        <v>5.9999999999999991</v>
      </c>
      <c r="G33" s="186">
        <v>5.9999999999999991</v>
      </c>
      <c r="H33" s="186">
        <v>6.0000255826549012</v>
      </c>
      <c r="I33" s="186">
        <v>6</v>
      </c>
      <c r="J33" s="186">
        <v>6.7666701791359323</v>
      </c>
      <c r="K33" s="186">
        <v>7</v>
      </c>
      <c r="L33" s="186">
        <v>7</v>
      </c>
      <c r="M33" s="186">
        <v>7</v>
      </c>
      <c r="N33" s="186">
        <v>7</v>
      </c>
      <c r="O33" s="22">
        <f t="shared" si="1"/>
        <v>76.766695761790828</v>
      </c>
    </row>
    <row r="34" spans="2:15" x14ac:dyDescent="0.2">
      <c r="B34" s="80">
        <v>99</v>
      </c>
      <c r="C34" s="854"/>
      <c r="D34" s="855"/>
      <c r="E34" s="855"/>
      <c r="F34" s="855"/>
      <c r="G34" s="855"/>
      <c r="H34" s="857" t="s">
        <v>600</v>
      </c>
      <c r="I34" s="855"/>
      <c r="J34" s="855"/>
      <c r="K34" s="855"/>
      <c r="L34" s="855"/>
      <c r="M34" s="855"/>
      <c r="N34" s="855"/>
      <c r="O34" s="856"/>
    </row>
    <row r="35" spans="2:15" x14ac:dyDescent="0.2">
      <c r="B35" s="80" t="s">
        <v>297</v>
      </c>
      <c r="C35" s="43">
        <f t="shared" ref="C35:O35" si="2">SUM(C13:C34)</f>
        <v>851159.17105035076</v>
      </c>
      <c r="D35" s="43">
        <f t="shared" si="2"/>
        <v>860099.8230356623</v>
      </c>
      <c r="E35" s="43">
        <f t="shared" si="2"/>
        <v>810762.8218296495</v>
      </c>
      <c r="F35" s="43">
        <f t="shared" si="2"/>
        <v>848487.73557747283</v>
      </c>
      <c r="G35" s="43">
        <f t="shared" si="2"/>
        <v>811672.60593412525</v>
      </c>
      <c r="H35" s="43">
        <f t="shared" si="2"/>
        <v>838433.51595005032</v>
      </c>
      <c r="I35" s="43">
        <f t="shared" si="2"/>
        <v>841603.52068070101</v>
      </c>
      <c r="J35" s="43">
        <f t="shared" si="2"/>
        <v>764493.72807058494</v>
      </c>
      <c r="K35" s="43">
        <f t="shared" si="2"/>
        <v>872555.52159902721</v>
      </c>
      <c r="L35" s="43">
        <f t="shared" si="2"/>
        <v>857050.96012735355</v>
      </c>
      <c r="M35" s="43">
        <f t="shared" si="2"/>
        <v>861214.74799908488</v>
      </c>
      <c r="N35" s="43">
        <f t="shared" si="2"/>
        <v>823300.032169502</v>
      </c>
      <c r="O35" s="43">
        <f t="shared" si="2"/>
        <v>10040834.184023565</v>
      </c>
    </row>
    <row r="36" spans="2:15" x14ac:dyDescent="0.2">
      <c r="B36" s="80"/>
    </row>
    <row r="37" spans="2:15" x14ac:dyDescent="0.2"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</row>
    <row r="38" spans="2:15" x14ac:dyDescent="0.2">
      <c r="B38" s="89" t="s">
        <v>302</v>
      </c>
    </row>
    <row r="39" spans="2:15" x14ac:dyDescent="0.2">
      <c r="B39" s="80" t="s">
        <v>205</v>
      </c>
      <c r="C39" s="186">
        <v>299206.70899999997</v>
      </c>
      <c r="D39" s="186">
        <v>286382.19699999999</v>
      </c>
      <c r="E39" s="186">
        <v>273422.99099999998</v>
      </c>
      <c r="F39" s="186">
        <v>280968.92</v>
      </c>
      <c r="G39" s="186">
        <v>269903.56099999999</v>
      </c>
      <c r="H39" s="186">
        <v>284689.35600000003</v>
      </c>
      <c r="I39" s="186">
        <v>289438.478</v>
      </c>
      <c r="J39" s="186">
        <v>267079.92800000001</v>
      </c>
      <c r="K39" s="186">
        <v>290554.50799999997</v>
      </c>
      <c r="L39" s="186">
        <v>287258.95400000003</v>
      </c>
      <c r="M39" s="186">
        <v>285611.61800000002</v>
      </c>
      <c r="N39" s="186">
        <v>338595.58</v>
      </c>
      <c r="O39" s="22">
        <f>SUM(C39:N39)</f>
        <v>3453112.8</v>
      </c>
    </row>
    <row r="40" spans="2:15" x14ac:dyDescent="0.2">
      <c r="B40" s="80" t="s">
        <v>206</v>
      </c>
      <c r="C40" s="186">
        <v>43084.084999999999</v>
      </c>
      <c r="D40" s="186">
        <v>40720.915000000001</v>
      </c>
      <c r="E40" s="186">
        <v>39251.000999999997</v>
      </c>
      <c r="F40" s="186">
        <v>41478.165000000001</v>
      </c>
      <c r="G40" s="186">
        <v>35383.019</v>
      </c>
      <c r="H40" s="186">
        <v>34661.311000000002</v>
      </c>
      <c r="I40" s="186">
        <v>35039.822</v>
      </c>
      <c r="J40" s="186">
        <v>32922.214999999997</v>
      </c>
      <c r="K40" s="186">
        <v>35515.919000000002</v>
      </c>
      <c r="L40" s="186">
        <v>35497.504000000001</v>
      </c>
      <c r="M40" s="186">
        <v>34267.963000000003</v>
      </c>
      <c r="N40" s="186">
        <v>41493.053999999996</v>
      </c>
      <c r="O40" s="22">
        <f t="shared" ref="O40:O54" si="3">SUM(C40:N40)</f>
        <v>449314.97299999994</v>
      </c>
    </row>
    <row r="41" spans="2:15" x14ac:dyDescent="0.2">
      <c r="B41" s="80" t="s">
        <v>243</v>
      </c>
      <c r="C41" s="186">
        <v>57061</v>
      </c>
      <c r="D41" s="186">
        <v>58602</v>
      </c>
      <c r="E41" s="186">
        <v>58602</v>
      </c>
      <c r="F41" s="186">
        <v>59080</v>
      </c>
      <c r="G41" s="186">
        <v>75440</v>
      </c>
      <c r="H41" s="186">
        <v>65691</v>
      </c>
      <c r="I41" s="186">
        <v>61510.601000000002</v>
      </c>
      <c r="J41" s="186">
        <v>60748</v>
      </c>
      <c r="K41" s="186">
        <v>60798</v>
      </c>
      <c r="L41" s="186">
        <v>62130</v>
      </c>
      <c r="M41" s="186">
        <v>59713</v>
      </c>
      <c r="N41" s="186">
        <v>55707</v>
      </c>
      <c r="O41" s="22">
        <f t="shared" si="3"/>
        <v>735082.60100000002</v>
      </c>
    </row>
    <row r="42" spans="2:15" x14ac:dyDescent="0.2">
      <c r="B42" s="80" t="s">
        <v>244</v>
      </c>
      <c r="C42" s="186">
        <v>42638</v>
      </c>
      <c r="D42" s="186">
        <v>37406</v>
      </c>
      <c r="E42" s="186">
        <v>37406</v>
      </c>
      <c r="F42" s="186">
        <v>37406</v>
      </c>
      <c r="G42" s="186">
        <v>37406</v>
      </c>
      <c r="H42" s="186">
        <v>40095.934000000001</v>
      </c>
      <c r="I42" s="186">
        <v>37443.966999999997</v>
      </c>
      <c r="J42" s="186">
        <v>37406</v>
      </c>
      <c r="K42" s="186">
        <v>37406</v>
      </c>
      <c r="L42" s="186">
        <v>36530</v>
      </c>
      <c r="M42" s="186">
        <v>26585</v>
      </c>
      <c r="N42" s="186">
        <v>26585</v>
      </c>
      <c r="O42" s="22">
        <f t="shared" si="3"/>
        <v>434313.90100000001</v>
      </c>
    </row>
    <row r="43" spans="2:15" x14ac:dyDescent="0.2">
      <c r="B43" s="83" t="s">
        <v>207</v>
      </c>
      <c r="C43" s="186">
        <v>7096.2839999999997</v>
      </c>
      <c r="D43" s="186">
        <v>6845.4089999999997</v>
      </c>
      <c r="E43" s="186">
        <v>6460.2240000000002</v>
      </c>
      <c r="F43" s="186">
        <v>6808.3670000000002</v>
      </c>
      <c r="G43" s="186">
        <v>6825.1880000000001</v>
      </c>
      <c r="H43" s="186">
        <v>6726.2070000000003</v>
      </c>
      <c r="I43" s="186">
        <v>6664.5640000000003</v>
      </c>
      <c r="J43" s="186">
        <v>6315.9459999999999</v>
      </c>
      <c r="K43" s="186">
        <v>6780.259</v>
      </c>
      <c r="L43" s="186">
        <v>6617.7579999999998</v>
      </c>
      <c r="M43" s="186">
        <v>6800.5619999999999</v>
      </c>
      <c r="N43" s="186">
        <v>4462.2240000000002</v>
      </c>
      <c r="O43" s="22">
        <f t="shared" si="3"/>
        <v>78402.991999999998</v>
      </c>
    </row>
    <row r="44" spans="2:15" x14ac:dyDescent="0.2">
      <c r="B44" s="83" t="s">
        <v>208</v>
      </c>
      <c r="C44" s="186">
        <v>518.69000000000005</v>
      </c>
      <c r="D44" s="186">
        <v>510.01299999999998</v>
      </c>
      <c r="E44" s="186">
        <v>488.32299999999998</v>
      </c>
      <c r="F44" s="186">
        <v>513.17600000000004</v>
      </c>
      <c r="G44" s="186">
        <v>495.04300000000001</v>
      </c>
      <c r="H44" s="186">
        <v>490.26099999999997</v>
      </c>
      <c r="I44" s="186">
        <v>497.79899999999998</v>
      </c>
      <c r="J44" s="186">
        <v>465.29399999999998</v>
      </c>
      <c r="K44" s="186">
        <v>518.226</v>
      </c>
      <c r="L44" s="186">
        <v>498.14</v>
      </c>
      <c r="M44" s="186">
        <v>499.85300000000001</v>
      </c>
      <c r="N44" s="186">
        <v>498.16500000000002</v>
      </c>
      <c r="O44" s="22">
        <f t="shared" si="3"/>
        <v>5992.9830000000002</v>
      </c>
    </row>
    <row r="45" spans="2:15" x14ac:dyDescent="0.2">
      <c r="B45" s="80" t="s">
        <v>245</v>
      </c>
      <c r="C45" s="186">
        <v>10775</v>
      </c>
      <c r="D45" s="186">
        <v>10775</v>
      </c>
      <c r="E45" s="186">
        <v>10775</v>
      </c>
      <c r="F45" s="186">
        <v>10775</v>
      </c>
      <c r="G45" s="186">
        <v>10775</v>
      </c>
      <c r="H45" s="186">
        <v>10775</v>
      </c>
      <c r="I45" s="186">
        <v>10775</v>
      </c>
      <c r="J45" s="186">
        <v>10775</v>
      </c>
      <c r="K45" s="186">
        <v>10775</v>
      </c>
      <c r="L45" s="186">
        <v>10775</v>
      </c>
      <c r="M45" s="186">
        <v>12175</v>
      </c>
      <c r="N45" s="186">
        <v>10775</v>
      </c>
      <c r="O45" s="22">
        <f t="shared" si="3"/>
        <v>130700</v>
      </c>
    </row>
    <row r="46" spans="2:15" x14ac:dyDescent="0.2">
      <c r="B46" s="80" t="s">
        <v>246</v>
      </c>
      <c r="C46" s="186">
        <v>45698</v>
      </c>
      <c r="D46" s="186">
        <v>43998</v>
      </c>
      <c r="E46" s="186">
        <v>44998</v>
      </c>
      <c r="F46" s="186">
        <v>47143.334000000003</v>
      </c>
      <c r="G46" s="186">
        <v>49840</v>
      </c>
      <c r="H46" s="186">
        <v>45913</v>
      </c>
      <c r="I46" s="186">
        <v>45863</v>
      </c>
      <c r="J46" s="186">
        <v>45976</v>
      </c>
      <c r="K46" s="186">
        <v>47273</v>
      </c>
      <c r="L46" s="186">
        <v>46772</v>
      </c>
      <c r="M46" s="186">
        <v>46208</v>
      </c>
      <c r="N46" s="186">
        <v>45894</v>
      </c>
      <c r="O46" s="22">
        <f t="shared" si="3"/>
        <v>555576.33400000003</v>
      </c>
    </row>
    <row r="47" spans="2:15" x14ac:dyDescent="0.2">
      <c r="B47" s="83" t="s">
        <v>209</v>
      </c>
      <c r="C47" s="186">
        <v>6653.8180000000002</v>
      </c>
      <c r="D47" s="186">
        <v>6722.4350000000004</v>
      </c>
      <c r="E47" s="186">
        <v>6371.8159999999998</v>
      </c>
      <c r="F47" s="186">
        <v>6929.2560000000003</v>
      </c>
      <c r="G47" s="186">
        <v>6788.3680000000004</v>
      </c>
      <c r="H47" s="186">
        <v>6850.5789999999997</v>
      </c>
      <c r="I47" s="186">
        <v>6691.5240000000003</v>
      </c>
      <c r="J47" s="186">
        <v>6174.0619999999999</v>
      </c>
      <c r="K47" s="186">
        <v>7285.4610000000002</v>
      </c>
      <c r="L47" s="186">
        <v>6868.29</v>
      </c>
      <c r="M47" s="186">
        <v>6677.3860000000004</v>
      </c>
      <c r="N47" s="186">
        <v>6560.8559999999998</v>
      </c>
      <c r="O47" s="22">
        <f t="shared" si="3"/>
        <v>80573.850999999995</v>
      </c>
    </row>
    <row r="48" spans="2:15" x14ac:dyDescent="0.2">
      <c r="B48" s="83" t="s">
        <v>210</v>
      </c>
      <c r="C48" s="186">
        <v>138.94300000000001</v>
      </c>
      <c r="D48" s="186">
        <v>132.232</v>
      </c>
      <c r="E48" s="186">
        <v>128.99199999999999</v>
      </c>
      <c r="F48" s="186">
        <v>139.04499999999999</v>
      </c>
      <c r="G48" s="186">
        <v>127.645</v>
      </c>
      <c r="H48" s="186">
        <v>133.49100000000001</v>
      </c>
      <c r="I48" s="186">
        <v>136.14599999999999</v>
      </c>
      <c r="J48" s="186">
        <v>118.42700000000001</v>
      </c>
      <c r="K48" s="186">
        <v>135.71199999999999</v>
      </c>
      <c r="L48" s="186">
        <v>136.22900000000001</v>
      </c>
      <c r="M48" s="186">
        <v>132.31299999999999</v>
      </c>
      <c r="N48" s="186">
        <v>128.92699999999999</v>
      </c>
      <c r="O48" s="22">
        <f t="shared" si="3"/>
        <v>1588.1019999999996</v>
      </c>
    </row>
    <row r="49" spans="2:16" x14ac:dyDescent="0.2">
      <c r="B49" s="83" t="s">
        <v>324</v>
      </c>
      <c r="C49" s="186">
        <v>750</v>
      </c>
      <c r="D49" s="186">
        <v>750</v>
      </c>
      <c r="E49" s="186">
        <v>750</v>
      </c>
      <c r="F49" s="186">
        <v>750</v>
      </c>
      <c r="G49" s="186">
        <v>750</v>
      </c>
      <c r="H49" s="186">
        <v>750</v>
      </c>
      <c r="I49" s="186">
        <v>750</v>
      </c>
      <c r="J49" s="186">
        <v>750</v>
      </c>
      <c r="K49" s="186">
        <v>750</v>
      </c>
      <c r="L49" s="186">
        <v>750</v>
      </c>
      <c r="M49" s="186">
        <v>1500</v>
      </c>
      <c r="N49" s="186">
        <v>750</v>
      </c>
      <c r="O49" s="22">
        <f t="shared" si="3"/>
        <v>9750</v>
      </c>
    </row>
    <row r="50" spans="2:16" x14ac:dyDescent="0.2">
      <c r="B50" s="83" t="s">
        <v>211</v>
      </c>
      <c r="C50" s="186">
        <v>0</v>
      </c>
      <c r="D50" s="186">
        <v>0</v>
      </c>
      <c r="E50" s="186">
        <v>0</v>
      </c>
      <c r="F50" s="186">
        <v>0</v>
      </c>
      <c r="G50" s="186">
        <v>0</v>
      </c>
      <c r="H50" s="186">
        <v>0</v>
      </c>
      <c r="I50" s="186">
        <v>0</v>
      </c>
      <c r="J50" s="186">
        <v>0</v>
      </c>
      <c r="K50" s="186">
        <v>0</v>
      </c>
      <c r="L50" s="186">
        <v>0</v>
      </c>
      <c r="M50" s="186">
        <v>0</v>
      </c>
      <c r="N50" s="186">
        <v>0</v>
      </c>
      <c r="O50" s="22">
        <f t="shared" si="3"/>
        <v>0</v>
      </c>
    </row>
    <row r="51" spans="2:16" x14ac:dyDescent="0.2">
      <c r="B51" s="83" t="s">
        <v>212</v>
      </c>
      <c r="C51" s="186">
        <v>0</v>
      </c>
      <c r="D51" s="186">
        <v>0</v>
      </c>
      <c r="E51" s="186">
        <v>0</v>
      </c>
      <c r="F51" s="186">
        <v>0</v>
      </c>
      <c r="G51" s="186">
        <v>0</v>
      </c>
      <c r="H51" s="186">
        <v>0</v>
      </c>
      <c r="I51" s="186">
        <v>0</v>
      </c>
      <c r="J51" s="186">
        <v>0</v>
      </c>
      <c r="K51" s="186">
        <v>0</v>
      </c>
      <c r="L51" s="186">
        <v>0</v>
      </c>
      <c r="M51" s="186">
        <v>0</v>
      </c>
      <c r="N51" s="186">
        <v>0</v>
      </c>
      <c r="O51" s="22">
        <f t="shared" si="3"/>
        <v>0</v>
      </c>
    </row>
    <row r="52" spans="2:16" x14ac:dyDescent="0.2">
      <c r="B52" s="80" t="s">
        <v>247</v>
      </c>
      <c r="C52" s="186">
        <v>4</v>
      </c>
      <c r="D52" s="186">
        <v>4</v>
      </c>
      <c r="E52" s="186">
        <v>4</v>
      </c>
      <c r="F52" s="186">
        <v>4</v>
      </c>
      <c r="G52" s="186">
        <v>6</v>
      </c>
      <c r="H52" s="186">
        <v>6</v>
      </c>
      <c r="I52" s="186">
        <v>4</v>
      </c>
      <c r="J52" s="186">
        <v>4</v>
      </c>
      <c r="K52" s="186">
        <v>4</v>
      </c>
      <c r="L52" s="186">
        <v>4</v>
      </c>
      <c r="M52" s="186">
        <v>4</v>
      </c>
      <c r="N52" s="186">
        <v>4</v>
      </c>
      <c r="O52" s="22">
        <f t="shared" si="3"/>
        <v>52</v>
      </c>
    </row>
    <row r="53" spans="2:16" x14ac:dyDescent="0.2">
      <c r="B53" s="80" t="s">
        <v>248</v>
      </c>
      <c r="C53" s="186">
        <v>23930</v>
      </c>
      <c r="D53" s="186">
        <v>23930</v>
      </c>
      <c r="E53" s="186">
        <v>23930</v>
      </c>
      <c r="F53" s="186">
        <v>24030</v>
      </c>
      <c r="G53" s="186">
        <v>24030</v>
      </c>
      <c r="H53" s="186">
        <v>23930</v>
      </c>
      <c r="I53" s="186">
        <v>23930</v>
      </c>
      <c r="J53" s="186">
        <v>23930</v>
      </c>
      <c r="K53" s="186">
        <v>23930</v>
      </c>
      <c r="L53" s="186">
        <v>23930</v>
      </c>
      <c r="M53" s="186">
        <v>23930</v>
      </c>
      <c r="N53" s="186">
        <v>23930</v>
      </c>
      <c r="O53" s="22">
        <f t="shared" si="3"/>
        <v>287360</v>
      </c>
    </row>
    <row r="54" spans="2:16" x14ac:dyDescent="0.2">
      <c r="B54" s="80">
        <v>99</v>
      </c>
      <c r="C54" s="854"/>
      <c r="D54" s="855"/>
      <c r="E54" s="855"/>
      <c r="F54" s="855"/>
      <c r="G54" s="855"/>
      <c r="H54" s="857" t="s">
        <v>600</v>
      </c>
      <c r="I54" s="855"/>
      <c r="J54" s="855"/>
      <c r="K54" s="855"/>
      <c r="L54" s="855"/>
      <c r="M54" s="855"/>
      <c r="N54" s="855"/>
      <c r="O54" s="856"/>
    </row>
    <row r="55" spans="2:16" x14ac:dyDescent="0.2">
      <c r="B55" s="80" t="s">
        <v>113</v>
      </c>
      <c r="C55" s="43">
        <f t="shared" ref="C55:H55" si="4">SUM(C39:C54)</f>
        <v>537554.5290000001</v>
      </c>
      <c r="D55" s="43">
        <f t="shared" si="4"/>
        <v>516778.20099999994</v>
      </c>
      <c r="E55" s="43">
        <f t="shared" si="4"/>
        <v>502588.34699999995</v>
      </c>
      <c r="F55" s="43">
        <f t="shared" si="4"/>
        <v>516025.26299999992</v>
      </c>
      <c r="G55" s="43">
        <f t="shared" si="4"/>
        <v>517769.82400000002</v>
      </c>
      <c r="H55" s="43">
        <f t="shared" si="4"/>
        <v>520712.13900000002</v>
      </c>
      <c r="I55" s="43">
        <f>SUM(I39:I54)</f>
        <v>518744.90100000001</v>
      </c>
      <c r="J55" s="43">
        <f>SUM(J39:J54)</f>
        <v>492664.87200000003</v>
      </c>
      <c r="K55" s="43">
        <f>SUM(K39:K54)</f>
        <v>521726.08500000002</v>
      </c>
      <c r="L55" s="43">
        <f t="shared" ref="L55:N55" si="5">SUM(L39:L54)</f>
        <v>517767.875</v>
      </c>
      <c r="M55" s="43">
        <f t="shared" si="5"/>
        <v>504104.69500000001</v>
      </c>
      <c r="N55" s="43">
        <f t="shared" si="5"/>
        <v>555383.80599999998</v>
      </c>
      <c r="O55" s="43">
        <f>SUM(O39:O54)</f>
        <v>6221820.5369999986</v>
      </c>
    </row>
    <row r="56" spans="2:16" s="30" customFormat="1" x14ac:dyDescent="0.2">
      <c r="B56" s="80"/>
      <c r="C56"/>
      <c r="D56"/>
      <c r="E56"/>
      <c r="F56"/>
      <c r="G56"/>
      <c r="H56"/>
      <c r="I56"/>
      <c r="J56"/>
      <c r="K56"/>
      <c r="L56"/>
      <c r="M56"/>
      <c r="N56"/>
      <c r="O56" s="22"/>
      <c r="P56"/>
    </row>
    <row r="57" spans="2:16" x14ac:dyDescent="0.2"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</row>
    <row r="58" spans="2:16" x14ac:dyDescent="0.2">
      <c r="B58" s="95" t="s">
        <v>296</v>
      </c>
    </row>
    <row r="59" spans="2:16" x14ac:dyDescent="0.2">
      <c r="B59" t="s">
        <v>207</v>
      </c>
      <c r="C59" s="187">
        <v>0</v>
      </c>
      <c r="D59" s="187">
        <v>0</v>
      </c>
      <c r="E59" s="187">
        <v>0</v>
      </c>
      <c r="F59" s="187">
        <v>0</v>
      </c>
      <c r="G59" s="187">
        <v>0</v>
      </c>
      <c r="H59" s="187">
        <v>0</v>
      </c>
      <c r="I59" s="187">
        <v>0</v>
      </c>
      <c r="J59" s="187">
        <v>0</v>
      </c>
      <c r="K59" s="187">
        <v>0</v>
      </c>
      <c r="L59" s="187">
        <v>0</v>
      </c>
      <c r="M59" s="187">
        <v>0</v>
      </c>
      <c r="N59" s="187">
        <v>0</v>
      </c>
      <c r="O59" s="23">
        <f>SUM(C59:N59)</f>
        <v>0</v>
      </c>
    </row>
    <row r="60" spans="2:16" x14ac:dyDescent="0.2">
      <c r="B60" t="s">
        <v>208</v>
      </c>
      <c r="C60" s="187"/>
      <c r="D60" s="187">
        <v>0</v>
      </c>
      <c r="E60" s="187"/>
      <c r="F60" s="187">
        <v>0</v>
      </c>
      <c r="G60" s="187">
        <v>0</v>
      </c>
      <c r="H60" s="187">
        <v>0</v>
      </c>
      <c r="I60" s="187">
        <v>0</v>
      </c>
      <c r="J60" s="187"/>
      <c r="K60" s="187"/>
      <c r="L60" s="187"/>
      <c r="M60" s="187"/>
      <c r="N60" s="187"/>
      <c r="O60" s="23">
        <f t="shared" ref="O60:O68" si="6">SUM(C60:N60)</f>
        <v>0</v>
      </c>
    </row>
    <row r="61" spans="2:16" x14ac:dyDescent="0.2">
      <c r="B61" t="s">
        <v>245</v>
      </c>
      <c r="C61" s="187">
        <v>0</v>
      </c>
      <c r="D61" s="187">
        <v>0</v>
      </c>
      <c r="E61" s="187">
        <v>0</v>
      </c>
      <c r="F61" s="187">
        <v>0</v>
      </c>
      <c r="G61" s="187">
        <v>0</v>
      </c>
      <c r="H61" s="187"/>
      <c r="I61" s="187"/>
      <c r="J61" s="187">
        <v>0</v>
      </c>
      <c r="K61" s="187">
        <v>0</v>
      </c>
      <c r="L61" s="187"/>
      <c r="M61" s="187">
        <v>0</v>
      </c>
      <c r="N61" s="187">
        <v>0</v>
      </c>
      <c r="O61" s="23">
        <f t="shared" si="6"/>
        <v>0</v>
      </c>
    </row>
    <row r="62" spans="2:16" x14ac:dyDescent="0.2">
      <c r="B62" t="s">
        <v>246</v>
      </c>
      <c r="C62" s="187">
        <v>0</v>
      </c>
      <c r="D62" s="187">
        <v>4811.83</v>
      </c>
      <c r="E62" s="187">
        <v>0</v>
      </c>
      <c r="F62" s="187">
        <v>0</v>
      </c>
      <c r="G62" s="187">
        <v>0</v>
      </c>
      <c r="H62" s="187">
        <v>0</v>
      </c>
      <c r="I62" s="187">
        <v>0</v>
      </c>
      <c r="J62" s="187">
        <v>0</v>
      </c>
      <c r="K62" s="187">
        <v>0</v>
      </c>
      <c r="L62" s="187">
        <v>7750.42</v>
      </c>
      <c r="M62" s="187">
        <v>0</v>
      </c>
      <c r="N62" s="187">
        <v>0</v>
      </c>
      <c r="O62" s="23">
        <f t="shared" si="6"/>
        <v>12562.25</v>
      </c>
    </row>
    <row r="63" spans="2:16" x14ac:dyDescent="0.2">
      <c r="B63" t="s">
        <v>209</v>
      </c>
      <c r="C63" s="187">
        <v>615.7399999999999</v>
      </c>
      <c r="D63" s="187">
        <v>17079.060000000001</v>
      </c>
      <c r="E63" s="187">
        <v>10533.02</v>
      </c>
      <c r="F63" s="187">
        <v>152.78</v>
      </c>
      <c r="G63" s="187"/>
      <c r="H63" s="187">
        <v>0</v>
      </c>
      <c r="I63" s="187">
        <v>0</v>
      </c>
      <c r="J63" s="187">
        <v>0</v>
      </c>
      <c r="K63" s="187">
        <v>0</v>
      </c>
      <c r="L63" s="187">
        <v>0</v>
      </c>
      <c r="M63" s="187">
        <v>0</v>
      </c>
      <c r="N63" s="187">
        <v>0</v>
      </c>
      <c r="O63" s="23">
        <f t="shared" si="6"/>
        <v>28380.600000000002</v>
      </c>
    </row>
    <row r="64" spans="2:16" x14ac:dyDescent="0.2">
      <c r="B64" t="s">
        <v>210</v>
      </c>
      <c r="C64" s="187">
        <v>265.83999999999997</v>
      </c>
      <c r="D64" s="187">
        <v>67.319999999999993</v>
      </c>
      <c r="E64" s="187">
        <v>0</v>
      </c>
      <c r="F64" s="187"/>
      <c r="G64" s="187"/>
      <c r="H64" s="187"/>
      <c r="I64" s="187"/>
      <c r="J64" s="187"/>
      <c r="K64" s="187"/>
      <c r="L64" s="187"/>
      <c r="M64" s="187"/>
      <c r="N64" s="187"/>
      <c r="O64" s="23">
        <f t="shared" si="6"/>
        <v>333.15999999999997</v>
      </c>
    </row>
    <row r="65" spans="2:16" x14ac:dyDescent="0.2">
      <c r="B65" t="s">
        <v>324</v>
      </c>
      <c r="C65" s="187">
        <v>2626.2999999999997</v>
      </c>
      <c r="D65" s="187"/>
      <c r="E65" s="187">
        <v>2626.2999999999997</v>
      </c>
      <c r="F65" s="187">
        <v>3270.99</v>
      </c>
      <c r="G65" s="187"/>
      <c r="H65" s="187"/>
      <c r="I65" s="187"/>
      <c r="J65" s="187"/>
      <c r="K65" s="187"/>
      <c r="L65" s="187"/>
      <c r="M65" s="187"/>
      <c r="N65" s="187"/>
      <c r="O65" s="23">
        <f t="shared" si="6"/>
        <v>8523.59</v>
      </c>
    </row>
    <row r="66" spans="2:16" x14ac:dyDescent="0.2">
      <c r="B66" t="s">
        <v>211</v>
      </c>
      <c r="C66" s="187"/>
      <c r="D66" s="187">
        <v>0</v>
      </c>
      <c r="E66" s="187">
        <v>42191.22</v>
      </c>
      <c r="F66" s="187">
        <v>0</v>
      </c>
      <c r="G66" s="187"/>
      <c r="H66" s="187"/>
      <c r="I66" s="187"/>
      <c r="J66" s="187"/>
      <c r="K66" s="187"/>
      <c r="L66" s="187"/>
      <c r="M66" s="187"/>
      <c r="N66" s="187"/>
      <c r="O66" s="23">
        <f t="shared" si="6"/>
        <v>42191.22</v>
      </c>
    </row>
    <row r="67" spans="2:16" x14ac:dyDescent="0.2">
      <c r="B67" t="s">
        <v>247</v>
      </c>
      <c r="C67" s="187"/>
      <c r="D67" s="187"/>
      <c r="E67" s="187"/>
      <c r="F67" s="187">
        <v>0</v>
      </c>
      <c r="G67" s="187">
        <v>0</v>
      </c>
      <c r="H67" s="187"/>
      <c r="I67" s="187">
        <v>0</v>
      </c>
      <c r="J67" s="187"/>
      <c r="K67" s="187"/>
      <c r="L67" s="187"/>
      <c r="M67" s="187"/>
      <c r="N67" s="187"/>
      <c r="O67" s="23">
        <f t="shared" si="6"/>
        <v>0</v>
      </c>
    </row>
    <row r="68" spans="2:16" x14ac:dyDescent="0.2">
      <c r="B68" t="s">
        <v>248</v>
      </c>
      <c r="C68" s="187">
        <v>0</v>
      </c>
      <c r="D68" s="187"/>
      <c r="E68" s="187"/>
      <c r="F68" s="187"/>
      <c r="G68" s="187">
        <v>0</v>
      </c>
      <c r="H68" s="187">
        <v>0</v>
      </c>
      <c r="I68" s="187">
        <v>0</v>
      </c>
      <c r="J68" s="187"/>
      <c r="K68" s="187"/>
      <c r="L68" s="187">
        <v>0</v>
      </c>
      <c r="M68" s="187"/>
      <c r="N68" s="187"/>
      <c r="O68" s="23">
        <f t="shared" si="6"/>
        <v>0</v>
      </c>
    </row>
    <row r="69" spans="2:16" x14ac:dyDescent="0.2">
      <c r="B69" t="s">
        <v>113</v>
      </c>
      <c r="C69" s="24">
        <f t="shared" ref="C69:O69" si="7">SUM(C59:C68)</f>
        <v>3507.8799999999997</v>
      </c>
      <c r="D69" s="24">
        <f t="shared" si="7"/>
        <v>21958.21</v>
      </c>
      <c r="E69" s="24">
        <f t="shared" si="7"/>
        <v>55350.54</v>
      </c>
      <c r="F69" s="24">
        <f t="shared" si="7"/>
        <v>3423.77</v>
      </c>
      <c r="G69" s="24">
        <f t="shared" si="7"/>
        <v>0</v>
      </c>
      <c r="H69" s="24">
        <f t="shared" si="7"/>
        <v>0</v>
      </c>
      <c r="I69" s="24">
        <f t="shared" si="7"/>
        <v>0</v>
      </c>
      <c r="J69" s="24">
        <f t="shared" si="7"/>
        <v>0</v>
      </c>
      <c r="K69" s="24">
        <f t="shared" si="7"/>
        <v>0</v>
      </c>
      <c r="L69" s="24">
        <f t="shared" si="7"/>
        <v>7750.42</v>
      </c>
      <c r="M69" s="24">
        <f t="shared" si="7"/>
        <v>0</v>
      </c>
      <c r="N69" s="24">
        <f t="shared" si="7"/>
        <v>0</v>
      </c>
      <c r="O69" s="24">
        <f t="shared" si="7"/>
        <v>91990.82</v>
      </c>
    </row>
    <row r="72" spans="2:16" x14ac:dyDescent="0.2">
      <c r="B72" t="s">
        <v>545</v>
      </c>
    </row>
    <row r="73" spans="2:16" x14ac:dyDescent="0.2">
      <c r="C73" s="22"/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</row>
    <row r="74" spans="2:16" s="30" customFormat="1" x14ac:dyDescent="0.2"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</row>
    <row r="75" spans="2:16" s="30" customFormat="1" x14ac:dyDescent="0.2"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</row>
    <row r="76" spans="2:16" s="30" customFormat="1" x14ac:dyDescent="0.2"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</row>
    <row r="77" spans="2:16" s="30" customFormat="1" x14ac:dyDescent="0.2"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</row>
    <row r="78" spans="2:16" s="30" customFormat="1" x14ac:dyDescent="0.2"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</row>
    <row r="79" spans="2:16" s="30" customFormat="1" x14ac:dyDescent="0.2"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</row>
    <row r="80" spans="2:16" s="30" customFormat="1" x14ac:dyDescent="0.2"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</row>
    <row r="81" spans="2:16" s="30" customFormat="1" x14ac:dyDescent="0.2"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</row>
    <row r="82" spans="2:16" s="30" customFormat="1" x14ac:dyDescent="0.2"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</row>
    <row r="83" spans="2:16" s="30" customFormat="1" x14ac:dyDescent="0.2"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</row>
    <row r="84" spans="2:16" s="30" customFormat="1" x14ac:dyDescent="0.2"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</row>
    <row r="85" spans="2:16" s="30" customFormat="1" x14ac:dyDescent="0.2"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</row>
    <row r="86" spans="2:16" s="30" customFormat="1" x14ac:dyDescent="0.2"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</row>
    <row r="87" spans="2:16" s="30" customFormat="1" x14ac:dyDescent="0.2"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</row>
    <row r="88" spans="2:16" s="30" customFormat="1" x14ac:dyDescent="0.2"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</row>
    <row r="89" spans="2:16" s="30" customFormat="1" x14ac:dyDescent="0.2"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</row>
    <row r="90" spans="2:16" s="30" customFormat="1" x14ac:dyDescent="0.2"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</row>
    <row r="91" spans="2:16" s="30" customFormat="1" x14ac:dyDescent="0.2"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</row>
    <row r="111" spans="17:17" x14ac:dyDescent="0.2">
      <c r="Q111" s="17"/>
    </row>
    <row r="112" spans="17:17" x14ac:dyDescent="0.2">
      <c r="Q112" s="185"/>
    </row>
    <row r="199" spans="2:16" s="30" customFormat="1" x14ac:dyDescent="0.2"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</row>
    <row r="200" spans="2:16" s="30" customFormat="1" x14ac:dyDescent="0.2"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</row>
    <row r="201" spans="2:16" s="30" customFormat="1" x14ac:dyDescent="0.2"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</row>
    <row r="202" spans="2:16" s="30" customFormat="1" x14ac:dyDescent="0.2"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</row>
    <row r="203" spans="2:16" s="30" customFormat="1" x14ac:dyDescent="0.2"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</row>
    <row r="204" spans="2:16" s="30" customFormat="1" x14ac:dyDescent="0.2"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</row>
    <row r="205" spans="2:16" s="30" customFormat="1" x14ac:dyDescent="0.2"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</row>
    <row r="206" spans="2:16" s="30" customFormat="1" x14ac:dyDescent="0.2"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</row>
    <row r="207" spans="2:16" s="30" customFormat="1" x14ac:dyDescent="0.2"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</row>
    <row r="208" spans="2:16" s="30" customFormat="1" x14ac:dyDescent="0.2"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</row>
    <row r="209" spans="2:16" s="30" customFormat="1" x14ac:dyDescent="0.2"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</row>
    <row r="210" spans="2:16" s="30" customFormat="1" x14ac:dyDescent="0.2"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</row>
    <row r="211" spans="2:16" s="30" customFormat="1" x14ac:dyDescent="0.2"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</row>
    <row r="212" spans="2:16" s="30" customFormat="1" x14ac:dyDescent="0.2"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</row>
    <row r="240" ht="13.5" customHeight="1" x14ac:dyDescent="0.2"/>
  </sheetData>
  <mergeCells count="4">
    <mergeCell ref="B1:O1"/>
    <mergeCell ref="B4:O4"/>
    <mergeCell ref="B2:O2"/>
    <mergeCell ref="B3:O3"/>
  </mergeCells>
  <phoneticPr fontId="9" type="noConversion"/>
  <printOptions horizontalCentered="1"/>
  <pageMargins left="0.42" right="0.45" top="0.68" bottom="0.73" header="0.5" footer="0.5"/>
  <pageSetup scale="69" fitToHeight="2" orientation="landscape" horizontalDpi="300" verticalDpi="300" r:id="rId1"/>
  <headerFooter alignWithMargins="0">
    <oddFooter>&amp;L&amp;F  
&amp;A&amp;C&amp;P&amp;R&amp;D</oddFooter>
  </headerFooter>
  <rowBreaks count="1" manualBreakCount="1">
    <brk id="56" min="1" max="14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8"/>
  <sheetViews>
    <sheetView zoomScaleNormal="100" workbookViewId="0">
      <pane ySplit="6" topLeftCell="A22" activePane="bottomLeft" state="frozen"/>
      <selection activeCell="E33" sqref="E33"/>
      <selection pane="bottomLeft" activeCell="F71" sqref="F71"/>
    </sheetView>
  </sheetViews>
  <sheetFormatPr defaultColWidth="9.140625" defaultRowHeight="12.75" x14ac:dyDescent="0.2"/>
  <cols>
    <col min="1" max="1" width="5.42578125" style="133" customWidth="1"/>
    <col min="2" max="2" width="17.85546875" style="135" customWidth="1"/>
    <col min="3" max="3" width="50.42578125" style="133" bestFit="1" customWidth="1"/>
    <col min="4" max="4" width="7" style="135" customWidth="1"/>
    <col min="5" max="16" width="11.42578125" style="133" customWidth="1"/>
    <col min="17" max="17" width="12.42578125" style="133" customWidth="1"/>
    <col min="18" max="18" width="9.140625" style="135"/>
    <col min="19" max="19" width="12" style="135" bestFit="1" customWidth="1"/>
    <col min="20" max="16384" width="9.140625" style="135"/>
  </cols>
  <sheetData>
    <row r="1" spans="1:21" x14ac:dyDescent="0.2">
      <c r="B1" s="848" t="s">
        <v>1</v>
      </c>
      <c r="C1" s="848"/>
      <c r="D1" s="848"/>
      <c r="E1" s="848"/>
      <c r="F1" s="848"/>
      <c r="G1" s="848"/>
      <c r="H1" s="848"/>
      <c r="I1" s="848"/>
      <c r="J1" s="848"/>
      <c r="K1" s="848"/>
      <c r="L1" s="848"/>
      <c r="M1" s="848"/>
      <c r="N1" s="848"/>
      <c r="O1" s="848"/>
      <c r="P1" s="848"/>
      <c r="Q1" s="848"/>
    </row>
    <row r="2" spans="1:21" x14ac:dyDescent="0.2">
      <c r="B2" s="848" t="s">
        <v>397</v>
      </c>
      <c r="C2" s="848"/>
      <c r="D2" s="848"/>
      <c r="E2" s="848"/>
      <c r="F2" s="848"/>
      <c r="G2" s="848"/>
      <c r="H2" s="848"/>
      <c r="I2" s="848"/>
      <c r="J2" s="848"/>
      <c r="K2" s="848"/>
      <c r="L2" s="848"/>
      <c r="M2" s="848"/>
      <c r="N2" s="848"/>
      <c r="O2" s="848"/>
      <c r="P2" s="848"/>
      <c r="Q2" s="848"/>
    </row>
    <row r="3" spans="1:21" x14ac:dyDescent="0.2">
      <c r="B3" s="848" t="s">
        <v>398</v>
      </c>
      <c r="C3" s="848"/>
      <c r="D3" s="848"/>
      <c r="E3" s="848"/>
      <c r="F3" s="848"/>
      <c r="G3" s="848"/>
      <c r="H3" s="848"/>
      <c r="I3" s="848"/>
      <c r="J3" s="848"/>
      <c r="K3" s="848"/>
      <c r="L3" s="848"/>
      <c r="M3" s="848"/>
      <c r="N3" s="848"/>
      <c r="O3" s="848"/>
      <c r="P3" s="848"/>
      <c r="Q3" s="848"/>
    </row>
    <row r="4" spans="1:21" x14ac:dyDescent="0.2">
      <c r="B4" s="847" t="s">
        <v>542</v>
      </c>
      <c r="C4" s="847"/>
      <c r="D4" s="847"/>
      <c r="E4" s="847"/>
      <c r="F4" s="847"/>
      <c r="G4" s="847"/>
      <c r="H4" s="847"/>
      <c r="I4" s="847"/>
      <c r="J4" s="847"/>
      <c r="K4" s="847"/>
      <c r="L4" s="847"/>
      <c r="M4" s="847"/>
      <c r="N4" s="847"/>
      <c r="O4" s="847"/>
      <c r="P4" s="847"/>
      <c r="Q4" s="847"/>
    </row>
    <row r="5" spans="1:21" x14ac:dyDescent="0.2">
      <c r="C5" s="134"/>
      <c r="D5" s="136"/>
      <c r="E5" s="134"/>
      <c r="F5" s="134"/>
      <c r="G5" s="134"/>
      <c r="H5" s="134"/>
      <c r="I5" s="134"/>
      <c r="J5" s="134"/>
      <c r="K5" s="134"/>
      <c r="L5" s="134"/>
      <c r="M5" s="134"/>
      <c r="N5" s="134"/>
      <c r="O5" s="134"/>
      <c r="P5" s="134"/>
      <c r="Q5" s="134"/>
    </row>
    <row r="6" spans="1:21" s="141" customFormat="1" x14ac:dyDescent="0.2">
      <c r="A6" s="137"/>
      <c r="B6" s="138" t="s">
        <v>116</v>
      </c>
      <c r="C6" s="139" t="s">
        <v>140</v>
      </c>
      <c r="D6" s="138" t="s">
        <v>141</v>
      </c>
      <c r="E6" s="14">
        <v>42917</v>
      </c>
      <c r="F6" s="14">
        <f>EDATE(E6,1)</f>
        <v>42948</v>
      </c>
      <c r="G6" s="14">
        <f t="shared" ref="G6:P6" si="0">EDATE(F6,1)</f>
        <v>42979</v>
      </c>
      <c r="H6" s="14">
        <f t="shared" si="0"/>
        <v>43009</v>
      </c>
      <c r="I6" s="14">
        <f t="shared" si="0"/>
        <v>43040</v>
      </c>
      <c r="J6" s="14">
        <f t="shared" si="0"/>
        <v>43070</v>
      </c>
      <c r="K6" s="14">
        <f t="shared" si="0"/>
        <v>43101</v>
      </c>
      <c r="L6" s="14">
        <f t="shared" si="0"/>
        <v>43132</v>
      </c>
      <c r="M6" s="14">
        <f t="shared" si="0"/>
        <v>43160</v>
      </c>
      <c r="N6" s="14">
        <f t="shared" si="0"/>
        <v>43191</v>
      </c>
      <c r="O6" s="14">
        <f t="shared" si="0"/>
        <v>43221</v>
      </c>
      <c r="P6" s="14">
        <f t="shared" si="0"/>
        <v>43252</v>
      </c>
      <c r="Q6" s="140" t="s">
        <v>113</v>
      </c>
    </row>
    <row r="7" spans="1:21" x14ac:dyDescent="0.2">
      <c r="A7" s="142" t="s">
        <v>332</v>
      </c>
      <c r="B7" s="142" t="s">
        <v>192</v>
      </c>
      <c r="C7" s="176" t="s">
        <v>349</v>
      </c>
      <c r="D7" s="143" t="s">
        <v>396</v>
      </c>
      <c r="E7" s="147">
        <v>7628079.7920000004</v>
      </c>
      <c r="F7" s="147">
        <v>7453085.6330000004</v>
      </c>
      <c r="G7" s="147">
        <v>9048012.2430000007</v>
      </c>
      <c r="H7" s="147">
        <v>15986076.433</v>
      </c>
      <c r="I7" s="147">
        <v>23305718.149999999</v>
      </c>
      <c r="J7" s="147">
        <v>30383409.791000001</v>
      </c>
      <c r="K7" s="147">
        <v>28408420.164999999</v>
      </c>
      <c r="L7" s="147">
        <v>26930271.664999999</v>
      </c>
      <c r="M7" s="148">
        <v>25549762.872000001</v>
      </c>
      <c r="N7" s="148">
        <v>17553561.793000001</v>
      </c>
      <c r="O7" s="148">
        <v>10844495.560000001</v>
      </c>
      <c r="P7" s="148">
        <v>8894243.5490000006</v>
      </c>
      <c r="Q7" s="146">
        <f>SUM(E7:P7)</f>
        <v>211985137.646</v>
      </c>
      <c r="U7" s="192"/>
    </row>
    <row r="8" spans="1:21" x14ac:dyDescent="0.2">
      <c r="A8" s="142" t="s">
        <v>333</v>
      </c>
      <c r="B8" s="142" t="s">
        <v>192</v>
      </c>
      <c r="C8" s="176" t="s">
        <v>350</v>
      </c>
      <c r="D8" s="143" t="s">
        <v>396</v>
      </c>
      <c r="E8" s="147">
        <v>2436691.1039999998</v>
      </c>
      <c r="F8" s="147">
        <v>2305053.4160000002</v>
      </c>
      <c r="G8" s="147">
        <v>2781084.9019999998</v>
      </c>
      <c r="H8" s="147">
        <v>4458896.4029999999</v>
      </c>
      <c r="I8" s="147">
        <v>5661872.9620000003</v>
      </c>
      <c r="J8" s="147">
        <v>6994015.2349999994</v>
      </c>
      <c r="K8" s="147">
        <v>6582985.9359999998</v>
      </c>
      <c r="L8" s="147">
        <v>6376722.0830000006</v>
      </c>
      <c r="M8" s="148">
        <v>6234660.6830000002</v>
      </c>
      <c r="N8" s="148">
        <v>4788918.1710000001</v>
      </c>
      <c r="O8" s="148">
        <v>3300949.523</v>
      </c>
      <c r="P8" s="148">
        <v>1563898.8959999999</v>
      </c>
      <c r="Q8" s="146">
        <f t="shared" ref="Q8:Q65" si="1">SUM(E8:P8)</f>
        <v>53485749.313999996</v>
      </c>
      <c r="U8" s="192"/>
    </row>
    <row r="9" spans="1:21" x14ac:dyDescent="0.2">
      <c r="A9" s="149" t="s">
        <v>236</v>
      </c>
      <c r="B9" s="142" t="s">
        <v>192</v>
      </c>
      <c r="C9" s="142" t="s">
        <v>351</v>
      </c>
      <c r="D9" s="143" t="s">
        <v>396</v>
      </c>
      <c r="E9" s="144">
        <v>842278.49</v>
      </c>
      <c r="F9" s="144">
        <v>919204.60000000009</v>
      </c>
      <c r="G9" s="144">
        <v>874618.36</v>
      </c>
      <c r="H9" s="144">
        <v>1039536.68</v>
      </c>
      <c r="I9" s="144">
        <v>1141129.2390000001</v>
      </c>
      <c r="J9" s="144">
        <v>1249368.6400000001</v>
      </c>
      <c r="K9" s="147">
        <v>1255972.3900000001</v>
      </c>
      <c r="L9" s="147">
        <v>1219491.01</v>
      </c>
      <c r="M9" s="148">
        <v>1249375.8599999999</v>
      </c>
      <c r="N9" s="148">
        <v>1121319.93</v>
      </c>
      <c r="O9" s="148">
        <v>997442.22</v>
      </c>
      <c r="P9" s="148">
        <v>813156.53</v>
      </c>
      <c r="Q9" s="146">
        <f t="shared" si="1"/>
        <v>12722893.949000001</v>
      </c>
      <c r="U9" s="192"/>
    </row>
    <row r="10" spans="1:21" x14ac:dyDescent="0.2">
      <c r="A10" s="142" t="s">
        <v>387</v>
      </c>
      <c r="B10" s="142" t="s">
        <v>192</v>
      </c>
      <c r="C10" s="176" t="s">
        <v>352</v>
      </c>
      <c r="D10" s="143" t="s">
        <v>396</v>
      </c>
      <c r="E10" s="147">
        <v>833.33</v>
      </c>
      <c r="F10" s="147">
        <v>852.46</v>
      </c>
      <c r="G10" s="147">
        <v>1004.34</v>
      </c>
      <c r="H10" s="147">
        <v>1858.11</v>
      </c>
      <c r="I10" s="147">
        <v>2420.34</v>
      </c>
      <c r="J10" s="147">
        <v>3639.8599999999997</v>
      </c>
      <c r="K10" s="147">
        <v>2356.8000000000002</v>
      </c>
      <c r="L10" s="147">
        <v>2713.47</v>
      </c>
      <c r="M10" s="148">
        <v>2240.84</v>
      </c>
      <c r="N10" s="148">
        <v>1514.91</v>
      </c>
      <c r="O10" s="148">
        <v>975.42</v>
      </c>
      <c r="P10" s="148">
        <v>955</v>
      </c>
      <c r="Q10" s="146">
        <f t="shared" si="1"/>
        <v>21364.879999999994</v>
      </c>
      <c r="U10" s="192"/>
    </row>
    <row r="11" spans="1:21" x14ac:dyDescent="0.2">
      <c r="A11" s="142" t="s">
        <v>334</v>
      </c>
      <c r="B11" s="142" t="s">
        <v>192</v>
      </c>
      <c r="C11" s="177" t="s">
        <v>353</v>
      </c>
      <c r="D11" s="143" t="s">
        <v>396</v>
      </c>
      <c r="E11" s="147">
        <v>718072.78200000001</v>
      </c>
      <c r="F11" s="147">
        <v>664389.50499999989</v>
      </c>
      <c r="G11" s="147">
        <v>792053.55200000003</v>
      </c>
      <c r="H11" s="147">
        <v>1250756.3330000001</v>
      </c>
      <c r="I11" s="147">
        <v>1551311.9750000001</v>
      </c>
      <c r="J11" s="147">
        <v>1866442.2080000001</v>
      </c>
      <c r="K11" s="147">
        <v>1710515.939</v>
      </c>
      <c r="L11" s="147">
        <v>1579736.5380000002</v>
      </c>
      <c r="M11" s="148">
        <v>1642259.1359999999</v>
      </c>
      <c r="N11" s="148">
        <v>1243655.1359999999</v>
      </c>
      <c r="O11" s="148">
        <v>920234.88600000006</v>
      </c>
      <c r="P11" s="148">
        <v>709740.74400000006</v>
      </c>
      <c r="Q11" s="146">
        <f t="shared" si="1"/>
        <v>14649168.734000001</v>
      </c>
      <c r="U11" s="192"/>
    </row>
    <row r="12" spans="1:21" x14ac:dyDescent="0.2">
      <c r="A12" s="149" t="s">
        <v>231</v>
      </c>
      <c r="B12" s="142" t="s">
        <v>192</v>
      </c>
      <c r="C12" s="177" t="s">
        <v>354</v>
      </c>
      <c r="D12" s="143" t="s">
        <v>396</v>
      </c>
      <c r="E12" s="147">
        <v>1570935.13</v>
      </c>
      <c r="F12" s="147">
        <v>1652500.78</v>
      </c>
      <c r="G12" s="147">
        <v>1563451.74</v>
      </c>
      <c r="H12" s="147">
        <v>1823153.78</v>
      </c>
      <c r="I12" s="147">
        <v>1960693.12</v>
      </c>
      <c r="J12" s="147">
        <v>2174610.2800000003</v>
      </c>
      <c r="K12" s="147">
        <v>2118211.92</v>
      </c>
      <c r="L12" s="147">
        <v>2005289.4500000002</v>
      </c>
      <c r="M12" s="148">
        <v>2104200.58</v>
      </c>
      <c r="N12" s="148">
        <v>1832042.1</v>
      </c>
      <c r="O12" s="148">
        <v>1801033.12</v>
      </c>
      <c r="P12" s="148">
        <v>1732174.3499999999</v>
      </c>
      <c r="Q12" s="146">
        <f t="shared" si="1"/>
        <v>22338296.350000005</v>
      </c>
      <c r="U12" s="192"/>
    </row>
    <row r="13" spans="1:21" x14ac:dyDescent="0.2">
      <c r="A13" s="142" t="s">
        <v>335</v>
      </c>
      <c r="B13" s="142" t="s">
        <v>192</v>
      </c>
      <c r="C13" s="142" t="s">
        <v>355</v>
      </c>
      <c r="D13" s="143" t="s">
        <v>396</v>
      </c>
      <c r="E13" s="147">
        <v>208746.55599999998</v>
      </c>
      <c r="F13" s="147">
        <v>193052.79699999999</v>
      </c>
      <c r="G13" s="147">
        <v>320287.72700000001</v>
      </c>
      <c r="H13" s="147">
        <v>752339.98400000005</v>
      </c>
      <c r="I13" s="147">
        <v>1027027.388</v>
      </c>
      <c r="J13" s="147">
        <v>1282526.0389999999</v>
      </c>
      <c r="K13" s="147">
        <v>1186743.409</v>
      </c>
      <c r="L13" s="147">
        <v>1096745.9580000001</v>
      </c>
      <c r="M13" s="148">
        <v>1108771.162</v>
      </c>
      <c r="N13" s="148">
        <v>838893.72800000012</v>
      </c>
      <c r="O13" s="148">
        <v>477239.02300000004</v>
      </c>
      <c r="P13" s="148">
        <v>307851.304</v>
      </c>
      <c r="Q13" s="146">
        <f t="shared" si="1"/>
        <v>8800225.0750000011</v>
      </c>
      <c r="U13" s="192"/>
    </row>
    <row r="14" spans="1:21" x14ac:dyDescent="0.2">
      <c r="A14" s="142" t="s">
        <v>336</v>
      </c>
      <c r="B14" s="142" t="s">
        <v>192</v>
      </c>
      <c r="C14" s="177" t="s">
        <v>356</v>
      </c>
      <c r="D14" s="143" t="s">
        <v>396</v>
      </c>
      <c r="E14" s="147">
        <v>1205163.1340000001</v>
      </c>
      <c r="F14" s="147">
        <v>1191232.98</v>
      </c>
      <c r="G14" s="147">
        <v>1297454.0249999999</v>
      </c>
      <c r="H14" s="147">
        <v>1958326.8969999999</v>
      </c>
      <c r="I14" s="147">
        <v>2341872.3509999998</v>
      </c>
      <c r="J14" s="147">
        <v>2817477.4819999998</v>
      </c>
      <c r="K14" s="147">
        <v>2488073.4070000001</v>
      </c>
      <c r="L14" s="147">
        <v>2506045.7620000001</v>
      </c>
      <c r="M14" s="148">
        <v>2429944.3769999999</v>
      </c>
      <c r="N14" s="148">
        <v>2066250.916</v>
      </c>
      <c r="O14" s="148">
        <v>1485710.202</v>
      </c>
      <c r="P14" s="148">
        <v>1430551.095</v>
      </c>
      <c r="Q14" s="146">
        <f t="shared" si="1"/>
        <v>23218102.627999999</v>
      </c>
      <c r="U14" s="192"/>
    </row>
    <row r="15" spans="1:21" x14ac:dyDescent="0.2">
      <c r="A15" s="149" t="s">
        <v>232</v>
      </c>
      <c r="B15" s="142" t="s">
        <v>192</v>
      </c>
      <c r="C15" s="177" t="s">
        <v>357</v>
      </c>
      <c r="D15" s="143" t="s">
        <v>396</v>
      </c>
      <c r="E15" s="147">
        <v>1084131.21</v>
      </c>
      <c r="F15" s="147">
        <v>1076261.75</v>
      </c>
      <c r="G15" s="147">
        <v>1104327.17</v>
      </c>
      <c r="H15" s="147">
        <v>1494217.02</v>
      </c>
      <c r="I15" s="147">
        <v>1811392.06</v>
      </c>
      <c r="J15" s="147">
        <v>2114674.64</v>
      </c>
      <c r="K15" s="147">
        <v>1951459.87</v>
      </c>
      <c r="L15" s="147">
        <v>1961093.9500000002</v>
      </c>
      <c r="M15" s="148">
        <v>1857442.65</v>
      </c>
      <c r="N15" s="148">
        <v>1599860.8800000001</v>
      </c>
      <c r="O15" s="148">
        <v>1278689.8499999999</v>
      </c>
      <c r="P15" s="148">
        <v>1168040.95</v>
      </c>
      <c r="Q15" s="146">
        <f t="shared" si="1"/>
        <v>18501592.000000004</v>
      </c>
      <c r="U15" s="192"/>
    </row>
    <row r="16" spans="1:21" x14ac:dyDescent="0.2">
      <c r="C16" s="150"/>
      <c r="D16" s="142"/>
      <c r="E16" s="151"/>
      <c r="F16" s="151"/>
      <c r="G16" s="151"/>
      <c r="H16" s="151"/>
      <c r="I16" s="151"/>
      <c r="J16" s="151"/>
      <c r="K16" s="151"/>
      <c r="L16" s="151"/>
      <c r="M16" s="151"/>
      <c r="N16" s="151"/>
      <c r="O16" s="151"/>
      <c r="P16" s="151"/>
      <c r="Q16" s="146">
        <f t="shared" si="1"/>
        <v>0</v>
      </c>
      <c r="U16" s="192"/>
    </row>
    <row r="17" spans="1:21" x14ac:dyDescent="0.2">
      <c r="A17" s="142" t="s">
        <v>332</v>
      </c>
      <c r="B17" s="142" t="s">
        <v>195</v>
      </c>
      <c r="C17" s="142" t="s">
        <v>358</v>
      </c>
      <c r="D17" s="143" t="s">
        <v>396</v>
      </c>
      <c r="E17" s="147">
        <v>395133.00599999999</v>
      </c>
      <c r="F17" s="147">
        <v>415618.07</v>
      </c>
      <c r="G17" s="147">
        <v>500846.97600000002</v>
      </c>
      <c r="H17" s="147">
        <v>1006993.794</v>
      </c>
      <c r="I17" s="147">
        <v>1528407.077</v>
      </c>
      <c r="J17" s="147">
        <v>2041098.7910000002</v>
      </c>
      <c r="K17" s="147">
        <v>1964791.37</v>
      </c>
      <c r="L17" s="147">
        <v>1882934.0430000001</v>
      </c>
      <c r="M17" s="148">
        <v>1682660.3740000001</v>
      </c>
      <c r="N17" s="148">
        <v>1063918.2120000001</v>
      </c>
      <c r="O17" s="148">
        <v>559791.22699999996</v>
      </c>
      <c r="P17" s="148">
        <v>429753.88400000002</v>
      </c>
      <c r="Q17" s="146">
        <f t="shared" si="1"/>
        <v>13471946.823999999</v>
      </c>
      <c r="U17" s="192"/>
    </row>
    <row r="18" spans="1:21" x14ac:dyDescent="0.2">
      <c r="A18" s="12" t="s">
        <v>387</v>
      </c>
      <c r="B18" s="12" t="s">
        <v>195</v>
      </c>
      <c r="C18" s="12" t="s">
        <v>400</v>
      </c>
      <c r="D18" s="143" t="s">
        <v>396</v>
      </c>
      <c r="E18" s="147">
        <v>76.98</v>
      </c>
      <c r="F18" s="147">
        <v>27.25</v>
      </c>
      <c r="G18" s="147">
        <v>218.87</v>
      </c>
      <c r="H18" s="147">
        <v>1982.63</v>
      </c>
      <c r="I18" s="147">
        <v>3323.76</v>
      </c>
      <c r="J18" s="147">
        <v>4410.21</v>
      </c>
      <c r="K18" s="147">
        <v>2530.87</v>
      </c>
      <c r="L18" s="147">
        <v>3905.98</v>
      </c>
      <c r="M18" s="148">
        <v>2821.34</v>
      </c>
      <c r="N18" s="148">
        <v>1980.65</v>
      </c>
      <c r="O18" s="148">
        <v>595.91</v>
      </c>
      <c r="P18" s="148">
        <v>27.44</v>
      </c>
      <c r="Q18" s="146">
        <f t="shared" si="1"/>
        <v>21901.89</v>
      </c>
      <c r="U18" s="192"/>
    </row>
    <row r="19" spans="1:21" x14ac:dyDescent="0.2">
      <c r="A19" s="142" t="s">
        <v>333</v>
      </c>
      <c r="B19" s="142" t="s">
        <v>195</v>
      </c>
      <c r="C19" s="142" t="s">
        <v>359</v>
      </c>
      <c r="D19" s="143" t="s">
        <v>396</v>
      </c>
      <c r="E19" s="147">
        <v>715686.64599999995</v>
      </c>
      <c r="F19" s="147">
        <v>723322.54399999999</v>
      </c>
      <c r="G19" s="147">
        <v>721587.85899999994</v>
      </c>
      <c r="H19" s="147">
        <v>895018.30300000007</v>
      </c>
      <c r="I19" s="147">
        <v>893863.43400000012</v>
      </c>
      <c r="J19" s="147">
        <v>978320.95299999998</v>
      </c>
      <c r="K19" s="147">
        <v>946435.92099999997</v>
      </c>
      <c r="L19" s="147">
        <v>901078.02300000004</v>
      </c>
      <c r="M19" s="148">
        <v>919254.62699999998</v>
      </c>
      <c r="N19" s="148">
        <v>811446.06</v>
      </c>
      <c r="O19" s="148">
        <v>700117.15899999999</v>
      </c>
      <c r="P19" s="148">
        <v>208689.174</v>
      </c>
      <c r="Q19" s="146">
        <f t="shared" si="1"/>
        <v>9414820.7030000016</v>
      </c>
      <c r="U19" s="192"/>
    </row>
    <row r="20" spans="1:21" x14ac:dyDescent="0.2">
      <c r="A20" s="149" t="s">
        <v>236</v>
      </c>
      <c r="B20" s="142" t="s">
        <v>195</v>
      </c>
      <c r="C20" s="142" t="s">
        <v>360</v>
      </c>
      <c r="D20" s="143" t="s">
        <v>396</v>
      </c>
      <c r="E20" s="147">
        <v>566917.64</v>
      </c>
      <c r="F20" s="147">
        <v>536778.17999999993</v>
      </c>
      <c r="G20" s="147">
        <v>501521.2</v>
      </c>
      <c r="H20" s="147">
        <v>548774.43999999994</v>
      </c>
      <c r="I20" s="147">
        <v>530865.47</v>
      </c>
      <c r="J20" s="147">
        <v>502356.32999999996</v>
      </c>
      <c r="K20" s="147">
        <v>587041.71</v>
      </c>
      <c r="L20" s="147">
        <v>560063.15999999992</v>
      </c>
      <c r="M20" s="148">
        <v>653291.67999999993</v>
      </c>
      <c r="N20" s="148">
        <v>562059.31000000006</v>
      </c>
      <c r="O20" s="148">
        <v>465111.51</v>
      </c>
      <c r="P20" s="148">
        <v>456972.94</v>
      </c>
      <c r="Q20" s="146">
        <f t="shared" si="1"/>
        <v>6471753.5699999994</v>
      </c>
      <c r="U20" s="192"/>
    </row>
    <row r="21" spans="1:21" x14ac:dyDescent="0.2">
      <c r="A21" s="142" t="s">
        <v>334</v>
      </c>
      <c r="B21" s="142" t="s">
        <v>195</v>
      </c>
      <c r="C21" s="142" t="s">
        <v>361</v>
      </c>
      <c r="D21" s="143" t="s">
        <v>396</v>
      </c>
      <c r="E21" s="147">
        <v>118216.663</v>
      </c>
      <c r="F21" s="147">
        <v>108078.61899999999</v>
      </c>
      <c r="G21" s="147">
        <v>117621.26699999999</v>
      </c>
      <c r="H21" s="147">
        <v>132658.54500000001</v>
      </c>
      <c r="I21" s="147">
        <v>150576.024</v>
      </c>
      <c r="J21" s="147">
        <v>162942.16400000002</v>
      </c>
      <c r="K21" s="147">
        <v>152783.32999999999</v>
      </c>
      <c r="L21" s="147">
        <v>144144.49599999998</v>
      </c>
      <c r="M21" s="148">
        <v>145396.611</v>
      </c>
      <c r="N21" s="148">
        <v>149688.77699999997</v>
      </c>
      <c r="O21" s="148">
        <v>126713.5</v>
      </c>
      <c r="P21" s="148">
        <v>112017.696</v>
      </c>
      <c r="Q21" s="146">
        <f t="shared" si="1"/>
        <v>1620837.692</v>
      </c>
      <c r="U21" s="192"/>
    </row>
    <row r="22" spans="1:21" x14ac:dyDescent="0.2">
      <c r="A22" s="149" t="s">
        <v>231</v>
      </c>
      <c r="B22" s="142" t="s">
        <v>195</v>
      </c>
      <c r="C22" s="142" t="s">
        <v>362</v>
      </c>
      <c r="D22" s="143" t="s">
        <v>396</v>
      </c>
      <c r="E22" s="147">
        <v>4280828.5600000005</v>
      </c>
      <c r="F22" s="147">
        <v>4715349.79</v>
      </c>
      <c r="G22" s="147">
        <v>4631320.07</v>
      </c>
      <c r="H22" s="147">
        <v>5126915.4399999995</v>
      </c>
      <c r="I22" s="147">
        <v>4478198.82</v>
      </c>
      <c r="J22" s="147">
        <v>4595260.34</v>
      </c>
      <c r="K22" s="147">
        <v>4463633.12</v>
      </c>
      <c r="L22" s="147">
        <v>4116771.16</v>
      </c>
      <c r="M22" s="148">
        <v>4871480.7699999996</v>
      </c>
      <c r="N22" s="148">
        <v>4319936.82</v>
      </c>
      <c r="O22" s="148">
        <v>4256767.37</v>
      </c>
      <c r="P22" s="148">
        <v>4233782.51</v>
      </c>
      <c r="Q22" s="146">
        <f t="shared" si="1"/>
        <v>54090244.769999988</v>
      </c>
      <c r="U22" s="192"/>
    </row>
    <row r="23" spans="1:21" x14ac:dyDescent="0.2">
      <c r="A23" s="142" t="s">
        <v>335</v>
      </c>
      <c r="B23" s="142" t="s">
        <v>195</v>
      </c>
      <c r="C23" s="142" t="s">
        <v>363</v>
      </c>
      <c r="D23" s="143" t="s">
        <v>396</v>
      </c>
      <c r="E23" s="147">
        <v>7050.719000000001</v>
      </c>
      <c r="F23" s="147">
        <v>6990.4639999999999</v>
      </c>
      <c r="G23" s="147">
        <v>59473.29</v>
      </c>
      <c r="H23" s="147">
        <v>65278.603999999999</v>
      </c>
      <c r="I23" s="147">
        <v>18252.848999999998</v>
      </c>
      <c r="J23" s="147">
        <v>18496.313999999998</v>
      </c>
      <c r="K23" s="147">
        <v>17702.267</v>
      </c>
      <c r="L23" s="147">
        <v>18723.310999999998</v>
      </c>
      <c r="M23" s="148">
        <v>17030.457000000002</v>
      </c>
      <c r="N23" s="148">
        <v>21970.927</v>
      </c>
      <c r="O23" s="148">
        <v>11131.916000000001</v>
      </c>
      <c r="P23" s="148">
        <v>8571.3490000000002</v>
      </c>
      <c r="Q23" s="146">
        <f t="shared" si="1"/>
        <v>270672.46699999995</v>
      </c>
      <c r="U23" s="192"/>
    </row>
    <row r="24" spans="1:21" x14ac:dyDescent="0.2">
      <c r="A24" s="142" t="s">
        <v>298</v>
      </c>
      <c r="B24" s="142" t="s">
        <v>195</v>
      </c>
      <c r="C24" s="152" t="s">
        <v>364</v>
      </c>
      <c r="D24" s="143" t="s">
        <v>396</v>
      </c>
      <c r="E24" s="144">
        <v>24835.61</v>
      </c>
      <c r="F24" s="144">
        <v>18950.099999999999</v>
      </c>
      <c r="G24" s="144">
        <v>14249</v>
      </c>
      <c r="H24" s="144">
        <v>31358.14</v>
      </c>
      <c r="I24" s="144">
        <v>28587.62</v>
      </c>
      <c r="J24" s="144">
        <v>29791.48</v>
      </c>
      <c r="K24" s="144">
        <v>49343.94</v>
      </c>
      <c r="L24" s="144">
        <v>52603.87</v>
      </c>
      <c r="M24" s="145">
        <v>40825.67</v>
      </c>
      <c r="N24" s="145">
        <v>24785.5</v>
      </c>
      <c r="O24" s="145">
        <v>18363.18</v>
      </c>
      <c r="P24" s="145">
        <v>20942.59</v>
      </c>
      <c r="Q24" s="146">
        <f t="shared" si="1"/>
        <v>354636.7</v>
      </c>
      <c r="U24" s="192"/>
    </row>
    <row r="25" spans="1:21" x14ac:dyDescent="0.2">
      <c r="A25" s="142" t="s">
        <v>336</v>
      </c>
      <c r="B25" s="142" t="s">
        <v>195</v>
      </c>
      <c r="C25" s="142" t="s">
        <v>365</v>
      </c>
      <c r="D25" s="143" t="s">
        <v>396</v>
      </c>
      <c r="E25" s="147">
        <v>0</v>
      </c>
      <c r="F25" s="147">
        <v>0</v>
      </c>
      <c r="G25" s="147">
        <v>0</v>
      </c>
      <c r="H25" s="147">
        <v>0</v>
      </c>
      <c r="I25" s="147">
        <v>0</v>
      </c>
      <c r="J25" s="147">
        <v>0</v>
      </c>
      <c r="K25" s="147">
        <v>0</v>
      </c>
      <c r="L25" s="147">
        <v>0</v>
      </c>
      <c r="M25" s="148">
        <v>0</v>
      </c>
      <c r="N25" s="148">
        <v>0</v>
      </c>
      <c r="O25" s="148">
        <v>0</v>
      </c>
      <c r="P25" s="148">
        <v>0</v>
      </c>
      <c r="Q25" s="146">
        <f t="shared" si="1"/>
        <v>0</v>
      </c>
      <c r="U25" s="192"/>
    </row>
    <row r="26" spans="1:21" x14ac:dyDescent="0.2">
      <c r="A26" s="149" t="s">
        <v>232</v>
      </c>
      <c r="B26" s="142" t="s">
        <v>195</v>
      </c>
      <c r="C26" s="142" t="s">
        <v>366</v>
      </c>
      <c r="D26" s="143" t="s">
        <v>396</v>
      </c>
      <c r="E26" s="147">
        <v>7598296.1299999999</v>
      </c>
      <c r="F26" s="147">
        <v>7734935.3200000003</v>
      </c>
      <c r="G26" s="147">
        <v>7364818.1600000001</v>
      </c>
      <c r="H26" s="147">
        <v>7444983.4000000004</v>
      </c>
      <c r="I26" s="147">
        <v>6267312.4800000004</v>
      </c>
      <c r="J26" s="147">
        <v>7766997.3499999996</v>
      </c>
      <c r="K26" s="147">
        <v>6317281.6500000004</v>
      </c>
      <c r="L26" s="147">
        <v>6906246.4400000004</v>
      </c>
      <c r="M26" s="148">
        <v>7685171.5099999998</v>
      </c>
      <c r="N26" s="148">
        <v>6615627.5999999996</v>
      </c>
      <c r="O26" s="148">
        <v>6953514.0099999998</v>
      </c>
      <c r="P26" s="148">
        <v>6482373.2000000002</v>
      </c>
      <c r="Q26" s="146">
        <f t="shared" si="1"/>
        <v>85137557.25</v>
      </c>
      <c r="U26" s="192"/>
    </row>
    <row r="27" spans="1:21" x14ac:dyDescent="0.2">
      <c r="A27" s="168" t="s">
        <v>346</v>
      </c>
      <c r="B27" s="142" t="s">
        <v>195</v>
      </c>
      <c r="C27" s="142" t="s">
        <v>367</v>
      </c>
      <c r="D27" s="143" t="s">
        <v>396</v>
      </c>
      <c r="E27" s="702">
        <v>1921334.9100000001</v>
      </c>
      <c r="F27" s="702">
        <v>1869187.75</v>
      </c>
      <c r="G27" s="702">
        <v>1943193.99</v>
      </c>
      <c r="H27" s="702">
        <v>3014511.56</v>
      </c>
      <c r="I27" s="702">
        <v>3745262.62</v>
      </c>
      <c r="J27" s="702">
        <v>4436578.41</v>
      </c>
      <c r="K27" s="702">
        <v>4032427.7399999998</v>
      </c>
      <c r="L27" s="702">
        <v>4114898.2699999996</v>
      </c>
      <c r="M27" s="702">
        <v>3806410.93</v>
      </c>
      <c r="N27" s="702">
        <v>3156368.4099999997</v>
      </c>
      <c r="O27" s="702">
        <v>2317402.04</v>
      </c>
      <c r="P27" s="702">
        <v>2136885.0499999998</v>
      </c>
      <c r="Q27" s="703">
        <f t="shared" si="1"/>
        <v>36494461.68</v>
      </c>
      <c r="U27" s="192"/>
    </row>
    <row r="28" spans="1:21" x14ac:dyDescent="0.2">
      <c r="B28" s="142"/>
      <c r="C28" s="150"/>
      <c r="E28" s="151"/>
      <c r="F28" s="151"/>
      <c r="G28" s="151"/>
      <c r="H28" s="151"/>
      <c r="I28" s="151"/>
      <c r="J28" s="151"/>
      <c r="K28" s="151"/>
      <c r="L28" s="151"/>
      <c r="M28" s="151"/>
      <c r="N28" s="151"/>
      <c r="O28" s="151"/>
      <c r="P28" s="151"/>
      <c r="Q28" s="146"/>
      <c r="U28" s="192"/>
    </row>
    <row r="29" spans="1:21" x14ac:dyDescent="0.2">
      <c r="A29" s="133" t="str">
        <f>LEFT(C29,2)</f>
        <v>16</v>
      </c>
      <c r="B29" s="135" t="s">
        <v>142</v>
      </c>
      <c r="C29" s="153" t="s">
        <v>199</v>
      </c>
      <c r="D29" s="143" t="s">
        <v>396</v>
      </c>
      <c r="E29" s="151"/>
      <c r="F29" s="151"/>
      <c r="G29" s="151"/>
      <c r="H29" s="151"/>
      <c r="I29" s="151"/>
      <c r="J29" s="151"/>
      <c r="K29" s="151"/>
      <c r="L29" s="151"/>
      <c r="M29" s="151"/>
      <c r="N29" s="151"/>
      <c r="O29" s="151"/>
      <c r="P29" s="151"/>
      <c r="Q29" s="146"/>
      <c r="U29" s="192"/>
    </row>
    <row r="30" spans="1:21" x14ac:dyDescent="0.2">
      <c r="A30" s="133" t="str">
        <f>LEFT(C30,2)</f>
        <v>16</v>
      </c>
      <c r="B30" s="135" t="s">
        <v>142</v>
      </c>
      <c r="C30" s="153" t="s">
        <v>200</v>
      </c>
      <c r="D30" s="143" t="s">
        <v>396</v>
      </c>
      <c r="E30" s="151">
        <v>826.07600000000002</v>
      </c>
      <c r="F30" s="151">
        <v>820.92700000000002</v>
      </c>
      <c r="G30" s="151">
        <v>774.51800000000003</v>
      </c>
      <c r="H30" s="151">
        <v>824.08199999999999</v>
      </c>
      <c r="I30" s="151">
        <v>783.54899999999998</v>
      </c>
      <c r="J30" s="151">
        <v>800.10699999999997</v>
      </c>
      <c r="K30" s="151">
        <v>797.62900000000002</v>
      </c>
      <c r="L30" s="151">
        <v>723.62300000000005</v>
      </c>
      <c r="M30" s="151">
        <v>835.85599999999999</v>
      </c>
      <c r="N30" s="151">
        <v>821.65099999999995</v>
      </c>
      <c r="O30" s="151">
        <v>818.67499999999995</v>
      </c>
      <c r="P30" s="151">
        <v>765.35199999999998</v>
      </c>
      <c r="Q30" s="146">
        <f>SUM(E30:P30)</f>
        <v>9592.0450000000001</v>
      </c>
      <c r="U30" s="192"/>
    </row>
    <row r="31" spans="1:21" x14ac:dyDescent="0.2">
      <c r="C31" s="153"/>
      <c r="D31" s="142"/>
      <c r="E31" s="151"/>
      <c r="F31" s="151"/>
      <c r="G31" s="151"/>
      <c r="H31" s="151"/>
      <c r="I31" s="151"/>
      <c r="J31" s="151"/>
      <c r="K31" s="151"/>
      <c r="L31" s="151"/>
      <c r="M31" s="151"/>
      <c r="N31" s="151"/>
      <c r="O31" s="151"/>
      <c r="P31" s="151"/>
      <c r="Q31" s="146"/>
      <c r="U31" s="192"/>
    </row>
    <row r="32" spans="1:21" x14ac:dyDescent="0.2">
      <c r="A32" s="142" t="s">
        <v>337</v>
      </c>
      <c r="B32" s="142" t="s">
        <v>201</v>
      </c>
      <c r="C32" s="142" t="s">
        <v>368</v>
      </c>
      <c r="D32" s="143" t="s">
        <v>396</v>
      </c>
      <c r="E32" s="148">
        <v>13443846.632999999</v>
      </c>
      <c r="F32" s="147">
        <v>12736009.979</v>
      </c>
      <c r="G32" s="147">
        <v>19953051.936999999</v>
      </c>
      <c r="H32" s="147">
        <v>46428765.25</v>
      </c>
      <c r="I32" s="147">
        <v>70958837.160999998</v>
      </c>
      <c r="J32" s="147">
        <v>92223262.627000004</v>
      </c>
      <c r="K32" s="147">
        <v>85100009.343999997</v>
      </c>
      <c r="L32" s="147">
        <v>80982698.152999997</v>
      </c>
      <c r="M32" s="148">
        <v>75370532.385000005</v>
      </c>
      <c r="N32" s="148">
        <v>47861731.055</v>
      </c>
      <c r="O32" s="148">
        <v>24077760.546</v>
      </c>
      <c r="P32" s="148">
        <v>17715113.866999999</v>
      </c>
      <c r="Q32" s="146">
        <f t="shared" si="1"/>
        <v>586851618.93699992</v>
      </c>
      <c r="U32" s="192"/>
    </row>
    <row r="33" spans="1:21" x14ac:dyDescent="0.2">
      <c r="A33" s="142" t="s">
        <v>338</v>
      </c>
      <c r="B33" s="142" t="s">
        <v>201</v>
      </c>
      <c r="C33" s="142" t="s">
        <v>369</v>
      </c>
      <c r="D33" s="143" t="s">
        <v>396</v>
      </c>
      <c r="E33" s="148">
        <v>9.0079999999999991</v>
      </c>
      <c r="F33" s="147">
        <v>9.2899999999999991</v>
      </c>
      <c r="G33" s="147">
        <v>23.614000000000001</v>
      </c>
      <c r="H33" s="147">
        <v>52.81</v>
      </c>
      <c r="I33" s="147">
        <v>67.945999999999998</v>
      </c>
      <c r="J33" s="147">
        <v>68.12700000000001</v>
      </c>
      <c r="K33" s="147">
        <v>56.914999999999999</v>
      </c>
      <c r="L33" s="147">
        <v>7.5629999999999997</v>
      </c>
      <c r="M33" s="148">
        <v>0</v>
      </c>
      <c r="N33" s="148">
        <v>0</v>
      </c>
      <c r="O33" s="148">
        <v>0</v>
      </c>
      <c r="P33" s="148">
        <v>0</v>
      </c>
      <c r="Q33" s="146">
        <f t="shared" si="1"/>
        <v>295.27300000000002</v>
      </c>
      <c r="U33" s="192"/>
    </row>
    <row r="34" spans="1:21" x14ac:dyDescent="0.2">
      <c r="C34" s="150"/>
      <c r="E34" s="146"/>
      <c r="F34" s="146"/>
      <c r="G34" s="146"/>
      <c r="H34" s="146"/>
      <c r="I34" s="146"/>
      <c r="J34" s="146"/>
      <c r="K34" s="146"/>
      <c r="L34" s="146"/>
      <c r="M34" s="146"/>
      <c r="N34" s="146"/>
      <c r="O34" s="146"/>
      <c r="P34" s="146"/>
      <c r="Q34" s="146"/>
    </row>
    <row r="35" spans="1:21" x14ac:dyDescent="0.2">
      <c r="B35" s="136" t="s">
        <v>144</v>
      </c>
      <c r="E35" s="146"/>
      <c r="F35" s="146"/>
      <c r="G35" s="146"/>
      <c r="H35" s="146"/>
      <c r="I35" s="146"/>
      <c r="J35" s="146"/>
      <c r="K35" s="146"/>
      <c r="L35" s="146"/>
      <c r="M35" s="146"/>
      <c r="N35" s="146"/>
      <c r="O35" s="146"/>
      <c r="P35" s="146"/>
      <c r="Q35" s="146"/>
    </row>
    <row r="36" spans="1:21" x14ac:dyDescent="0.2">
      <c r="B36" s="136" t="s">
        <v>72</v>
      </c>
      <c r="Q36" s="146"/>
    </row>
    <row r="37" spans="1:21" x14ac:dyDescent="0.2">
      <c r="C37" s="133">
        <v>16</v>
      </c>
      <c r="E37" s="146">
        <f>SUM(E29:E30)</f>
        <v>826.07600000000002</v>
      </c>
      <c r="F37" s="146">
        <f t="shared" ref="F37:M37" si="2">SUM(F29:F30)</f>
        <v>820.92700000000002</v>
      </c>
      <c r="G37" s="146">
        <f t="shared" si="2"/>
        <v>774.51800000000003</v>
      </c>
      <c r="H37" s="146">
        <f t="shared" si="2"/>
        <v>824.08199999999999</v>
      </c>
      <c r="I37" s="146">
        <f t="shared" si="2"/>
        <v>783.54899999999998</v>
      </c>
      <c r="J37" s="146">
        <f t="shared" si="2"/>
        <v>800.10699999999997</v>
      </c>
      <c r="K37" s="146">
        <f t="shared" si="2"/>
        <v>797.62900000000002</v>
      </c>
      <c r="L37" s="146">
        <f t="shared" si="2"/>
        <v>723.62300000000005</v>
      </c>
      <c r="M37" s="146">
        <f t="shared" si="2"/>
        <v>835.85599999999999</v>
      </c>
      <c r="N37" s="146">
        <f t="shared" ref="N37:P37" si="3">SUM(N29:N30)</f>
        <v>821.65099999999995</v>
      </c>
      <c r="O37" s="146">
        <f t="shared" si="3"/>
        <v>818.67499999999995</v>
      </c>
      <c r="P37" s="146">
        <f t="shared" si="3"/>
        <v>765.35199999999998</v>
      </c>
      <c r="Q37" s="146">
        <f t="shared" si="1"/>
        <v>9592.0450000000001</v>
      </c>
    </row>
    <row r="38" spans="1:21" x14ac:dyDescent="0.2">
      <c r="C38" s="133">
        <v>23</v>
      </c>
      <c r="E38" s="146">
        <f t="shared" ref="E38:P39" si="4">SUMIF($A$32:$A$33,$C38,E$32:E$33)</f>
        <v>13443846.632999999</v>
      </c>
      <c r="F38" s="146">
        <f t="shared" si="4"/>
        <v>12736009.979</v>
      </c>
      <c r="G38" s="146">
        <f t="shared" si="4"/>
        <v>19953051.936999999</v>
      </c>
      <c r="H38" s="146">
        <f t="shared" si="4"/>
        <v>46428765.25</v>
      </c>
      <c r="I38" s="146">
        <f t="shared" si="4"/>
        <v>70958837.160999998</v>
      </c>
      <c r="J38" s="146">
        <f t="shared" si="4"/>
        <v>92223262.627000004</v>
      </c>
      <c r="K38" s="146">
        <f t="shared" si="4"/>
        <v>85100009.343999997</v>
      </c>
      <c r="L38" s="146">
        <f t="shared" si="4"/>
        <v>80982698.152999997</v>
      </c>
      <c r="M38" s="146">
        <f t="shared" si="4"/>
        <v>75370532.385000005</v>
      </c>
      <c r="N38" s="146">
        <f t="shared" si="4"/>
        <v>47861731.055</v>
      </c>
      <c r="O38" s="146">
        <f t="shared" si="4"/>
        <v>24077760.546</v>
      </c>
      <c r="P38" s="146">
        <f t="shared" si="4"/>
        <v>17715113.866999999</v>
      </c>
      <c r="Q38" s="146">
        <f t="shared" si="1"/>
        <v>586851618.93699992</v>
      </c>
    </row>
    <row r="39" spans="1:21" x14ac:dyDescent="0.2">
      <c r="C39" s="133">
        <v>53</v>
      </c>
      <c r="E39" s="146">
        <f t="shared" si="4"/>
        <v>9.0079999999999991</v>
      </c>
      <c r="F39" s="146">
        <f t="shared" si="4"/>
        <v>9.2899999999999991</v>
      </c>
      <c r="G39" s="146">
        <f t="shared" si="4"/>
        <v>23.614000000000001</v>
      </c>
      <c r="H39" s="146">
        <f t="shared" si="4"/>
        <v>52.81</v>
      </c>
      <c r="I39" s="146">
        <f t="shared" si="4"/>
        <v>67.945999999999998</v>
      </c>
      <c r="J39" s="146">
        <f t="shared" si="4"/>
        <v>68.12700000000001</v>
      </c>
      <c r="K39" s="146">
        <f t="shared" si="4"/>
        <v>56.914999999999999</v>
      </c>
      <c r="L39" s="146">
        <f t="shared" si="4"/>
        <v>7.5629999999999997</v>
      </c>
      <c r="M39" s="146">
        <f t="shared" si="4"/>
        <v>0</v>
      </c>
      <c r="N39" s="146">
        <f t="shared" si="4"/>
        <v>0</v>
      </c>
      <c r="O39" s="146">
        <f t="shared" si="4"/>
        <v>0</v>
      </c>
      <c r="P39" s="146">
        <f t="shared" si="4"/>
        <v>0</v>
      </c>
      <c r="Q39" s="146">
        <f t="shared" si="1"/>
        <v>295.27300000000002</v>
      </c>
    </row>
    <row r="40" spans="1:21" x14ac:dyDescent="0.2">
      <c r="Q40" s="146">
        <f t="shared" si="1"/>
        <v>0</v>
      </c>
    </row>
    <row r="41" spans="1:21" x14ac:dyDescent="0.2">
      <c r="B41" s="136" t="s">
        <v>131</v>
      </c>
      <c r="C41" s="154"/>
      <c r="Q41" s="146"/>
    </row>
    <row r="42" spans="1:21" x14ac:dyDescent="0.2">
      <c r="C42" s="154">
        <v>31</v>
      </c>
      <c r="E42" s="155">
        <f t="shared" ref="E42:P50" si="5">SUMIF($A$7:$A$15,$C42,E$7:E$15)</f>
        <v>7628079.7920000004</v>
      </c>
      <c r="F42" s="155">
        <f t="shared" si="5"/>
        <v>7453085.6330000004</v>
      </c>
      <c r="G42" s="155">
        <f t="shared" si="5"/>
        <v>9048012.2430000007</v>
      </c>
      <c r="H42" s="155">
        <f t="shared" si="5"/>
        <v>15986076.433</v>
      </c>
      <c r="I42" s="155">
        <f t="shared" si="5"/>
        <v>23305718.149999999</v>
      </c>
      <c r="J42" s="155">
        <f t="shared" si="5"/>
        <v>30383409.791000001</v>
      </c>
      <c r="K42" s="155">
        <f t="shared" si="5"/>
        <v>28408420.164999999</v>
      </c>
      <c r="L42" s="155">
        <f t="shared" si="5"/>
        <v>26930271.664999999</v>
      </c>
      <c r="M42" s="155">
        <f t="shared" si="5"/>
        <v>25549762.872000001</v>
      </c>
      <c r="N42" s="155">
        <f t="shared" si="5"/>
        <v>17553561.793000001</v>
      </c>
      <c r="O42" s="155">
        <f t="shared" si="5"/>
        <v>10844495.560000001</v>
      </c>
      <c r="P42" s="155">
        <f t="shared" si="5"/>
        <v>8894243.5490000006</v>
      </c>
      <c r="Q42" s="146">
        <f t="shared" si="1"/>
        <v>211985137.646</v>
      </c>
    </row>
    <row r="43" spans="1:21" x14ac:dyDescent="0.2">
      <c r="C43" s="154" t="s">
        <v>387</v>
      </c>
      <c r="E43" s="155">
        <f t="shared" ref="E43:P45" si="6">SUMIF($A$7:$A$15,$C43,E$7:E$15)</f>
        <v>833.33</v>
      </c>
      <c r="F43" s="155">
        <f t="shared" si="6"/>
        <v>852.46</v>
      </c>
      <c r="G43" s="155">
        <f t="shared" si="6"/>
        <v>1004.34</v>
      </c>
      <c r="H43" s="155">
        <f t="shared" si="6"/>
        <v>1858.11</v>
      </c>
      <c r="I43" s="155">
        <f t="shared" si="6"/>
        <v>2420.34</v>
      </c>
      <c r="J43" s="155">
        <f t="shared" si="6"/>
        <v>3639.8599999999997</v>
      </c>
      <c r="K43" s="155">
        <f t="shared" si="6"/>
        <v>2356.8000000000002</v>
      </c>
      <c r="L43" s="155">
        <f t="shared" si="6"/>
        <v>2713.47</v>
      </c>
      <c r="M43" s="155">
        <f t="shared" si="6"/>
        <v>2240.84</v>
      </c>
      <c r="N43" s="155">
        <f t="shared" si="6"/>
        <v>1514.91</v>
      </c>
      <c r="O43" s="155">
        <f t="shared" si="6"/>
        <v>975.42</v>
      </c>
      <c r="P43" s="155">
        <f t="shared" si="6"/>
        <v>955</v>
      </c>
      <c r="Q43" s="146">
        <f>SUM(E43:P43)</f>
        <v>21364.879999999994</v>
      </c>
    </row>
    <row r="44" spans="1:21" ht="12" customHeight="1" x14ac:dyDescent="0.2">
      <c r="C44" s="154">
        <v>41</v>
      </c>
      <c r="E44" s="155">
        <f t="shared" si="6"/>
        <v>2436691.1039999998</v>
      </c>
      <c r="F44" s="155">
        <f t="shared" si="6"/>
        <v>2305053.4160000002</v>
      </c>
      <c r="G44" s="155">
        <f t="shared" si="6"/>
        <v>2781084.9019999998</v>
      </c>
      <c r="H44" s="155">
        <f t="shared" si="6"/>
        <v>4458896.4029999999</v>
      </c>
      <c r="I44" s="155">
        <f t="shared" si="6"/>
        <v>5661872.9620000003</v>
      </c>
      <c r="J44" s="155">
        <f t="shared" si="6"/>
        <v>6994015.2349999994</v>
      </c>
      <c r="K44" s="155">
        <f t="shared" si="6"/>
        <v>6582985.9359999998</v>
      </c>
      <c r="L44" s="155">
        <f t="shared" si="6"/>
        <v>6376722.0830000006</v>
      </c>
      <c r="M44" s="155">
        <f t="shared" si="6"/>
        <v>6234660.6830000002</v>
      </c>
      <c r="N44" s="155">
        <f t="shared" si="6"/>
        <v>4788918.1710000001</v>
      </c>
      <c r="O44" s="155">
        <f t="shared" si="6"/>
        <v>3300949.523</v>
      </c>
      <c r="P44" s="155">
        <f t="shared" si="6"/>
        <v>1563898.8959999999</v>
      </c>
      <c r="Q44" s="146">
        <f>SUM(E44:P44)</f>
        <v>53485749.313999996</v>
      </c>
    </row>
    <row r="45" spans="1:21" x14ac:dyDescent="0.2">
      <c r="C45" s="154" t="s">
        <v>236</v>
      </c>
      <c r="E45" s="155">
        <f t="shared" si="6"/>
        <v>842278.49</v>
      </c>
      <c r="F45" s="155">
        <f t="shared" si="6"/>
        <v>919204.60000000009</v>
      </c>
      <c r="G45" s="155">
        <f t="shared" si="6"/>
        <v>874618.36</v>
      </c>
      <c r="H45" s="155">
        <f t="shared" si="6"/>
        <v>1039536.68</v>
      </c>
      <c r="I45" s="155">
        <f t="shared" si="6"/>
        <v>1141129.2390000001</v>
      </c>
      <c r="J45" s="155">
        <f t="shared" si="6"/>
        <v>1249368.6400000001</v>
      </c>
      <c r="K45" s="155">
        <f t="shared" si="6"/>
        <v>1255972.3900000001</v>
      </c>
      <c r="L45" s="155">
        <f t="shared" si="6"/>
        <v>1219491.01</v>
      </c>
      <c r="M45" s="155">
        <f t="shared" si="6"/>
        <v>1249375.8599999999</v>
      </c>
      <c r="N45" s="155">
        <f t="shared" si="6"/>
        <v>1121319.93</v>
      </c>
      <c r="O45" s="155">
        <f t="shared" si="6"/>
        <v>997442.22</v>
      </c>
      <c r="P45" s="155">
        <f t="shared" si="6"/>
        <v>813156.53</v>
      </c>
      <c r="Q45" s="146">
        <f>SUM(E45:P45)</f>
        <v>12722893.949000001</v>
      </c>
    </row>
    <row r="46" spans="1:21" x14ac:dyDescent="0.2">
      <c r="C46" s="154">
        <v>85</v>
      </c>
      <c r="E46" s="155">
        <f t="shared" si="5"/>
        <v>718072.78200000001</v>
      </c>
      <c r="F46" s="155">
        <f t="shared" si="5"/>
        <v>664389.50499999989</v>
      </c>
      <c r="G46" s="155">
        <f t="shared" si="5"/>
        <v>792053.55200000003</v>
      </c>
      <c r="H46" s="155">
        <f t="shared" si="5"/>
        <v>1250756.3330000001</v>
      </c>
      <c r="I46" s="155">
        <f t="shared" si="5"/>
        <v>1551311.9750000001</v>
      </c>
      <c r="J46" s="155">
        <f t="shared" si="5"/>
        <v>1866442.2080000001</v>
      </c>
      <c r="K46" s="155">
        <f t="shared" si="5"/>
        <v>1710515.939</v>
      </c>
      <c r="L46" s="155">
        <f t="shared" si="5"/>
        <v>1579736.5380000002</v>
      </c>
      <c r="M46" s="155">
        <f t="shared" si="5"/>
        <v>1642259.1359999999</v>
      </c>
      <c r="N46" s="155">
        <f t="shared" si="5"/>
        <v>1243655.1359999999</v>
      </c>
      <c r="O46" s="155">
        <f t="shared" si="5"/>
        <v>920234.88600000006</v>
      </c>
      <c r="P46" s="155">
        <f t="shared" si="5"/>
        <v>709740.74400000006</v>
      </c>
      <c r="Q46" s="146">
        <f t="shared" si="1"/>
        <v>14649168.734000001</v>
      </c>
    </row>
    <row r="47" spans="1:21" x14ac:dyDescent="0.2">
      <c r="C47" s="154" t="s">
        <v>231</v>
      </c>
      <c r="E47" s="155">
        <f t="shared" si="5"/>
        <v>1570935.13</v>
      </c>
      <c r="F47" s="155">
        <f t="shared" si="5"/>
        <v>1652500.78</v>
      </c>
      <c r="G47" s="155">
        <f t="shared" si="5"/>
        <v>1563451.74</v>
      </c>
      <c r="H47" s="155">
        <f t="shared" si="5"/>
        <v>1823153.78</v>
      </c>
      <c r="I47" s="155">
        <f t="shared" si="5"/>
        <v>1960693.12</v>
      </c>
      <c r="J47" s="155">
        <f t="shared" si="5"/>
        <v>2174610.2800000003</v>
      </c>
      <c r="K47" s="155">
        <f t="shared" si="5"/>
        <v>2118211.92</v>
      </c>
      <c r="L47" s="155">
        <f t="shared" si="5"/>
        <v>2005289.4500000002</v>
      </c>
      <c r="M47" s="155">
        <f t="shared" si="5"/>
        <v>2104200.58</v>
      </c>
      <c r="N47" s="155">
        <f t="shared" si="5"/>
        <v>1832042.1</v>
      </c>
      <c r="O47" s="155">
        <f t="shared" si="5"/>
        <v>1801033.12</v>
      </c>
      <c r="P47" s="155">
        <f t="shared" si="5"/>
        <v>1732174.3499999999</v>
      </c>
      <c r="Q47" s="146">
        <f t="shared" si="1"/>
        <v>22338296.350000005</v>
      </c>
    </row>
    <row r="48" spans="1:21" x14ac:dyDescent="0.2">
      <c r="C48" s="154">
        <v>86</v>
      </c>
      <c r="E48" s="155">
        <f t="shared" si="5"/>
        <v>208746.55599999998</v>
      </c>
      <c r="F48" s="155">
        <f t="shared" si="5"/>
        <v>193052.79699999999</v>
      </c>
      <c r="G48" s="155">
        <f t="shared" si="5"/>
        <v>320287.72700000001</v>
      </c>
      <c r="H48" s="155">
        <f t="shared" si="5"/>
        <v>752339.98400000005</v>
      </c>
      <c r="I48" s="155">
        <f t="shared" si="5"/>
        <v>1027027.388</v>
      </c>
      <c r="J48" s="155">
        <f t="shared" si="5"/>
        <v>1282526.0389999999</v>
      </c>
      <c r="K48" s="155">
        <f t="shared" si="5"/>
        <v>1186743.409</v>
      </c>
      <c r="L48" s="155">
        <f t="shared" si="5"/>
        <v>1096745.9580000001</v>
      </c>
      <c r="M48" s="155">
        <f t="shared" si="5"/>
        <v>1108771.162</v>
      </c>
      <c r="N48" s="155">
        <f t="shared" si="5"/>
        <v>838893.72800000012</v>
      </c>
      <c r="O48" s="155">
        <f t="shared" si="5"/>
        <v>477239.02300000004</v>
      </c>
      <c r="P48" s="155">
        <f t="shared" si="5"/>
        <v>307851.304</v>
      </c>
      <c r="Q48" s="146">
        <f t="shared" si="1"/>
        <v>8800225.0750000011</v>
      </c>
    </row>
    <row r="49" spans="2:17" x14ac:dyDescent="0.2">
      <c r="C49" s="154">
        <v>87</v>
      </c>
      <c r="E49" s="155">
        <f t="shared" si="5"/>
        <v>1205163.1340000001</v>
      </c>
      <c r="F49" s="155">
        <f t="shared" si="5"/>
        <v>1191232.98</v>
      </c>
      <c r="G49" s="155">
        <f t="shared" si="5"/>
        <v>1297454.0249999999</v>
      </c>
      <c r="H49" s="155">
        <f t="shared" si="5"/>
        <v>1958326.8969999999</v>
      </c>
      <c r="I49" s="155">
        <f t="shared" si="5"/>
        <v>2341872.3509999998</v>
      </c>
      <c r="J49" s="155">
        <f t="shared" si="5"/>
        <v>2817477.4819999998</v>
      </c>
      <c r="K49" s="155">
        <f t="shared" si="5"/>
        <v>2488073.4070000001</v>
      </c>
      <c r="L49" s="155">
        <f t="shared" si="5"/>
        <v>2506045.7620000001</v>
      </c>
      <c r="M49" s="155">
        <f t="shared" si="5"/>
        <v>2429944.3769999999</v>
      </c>
      <c r="N49" s="155">
        <f t="shared" si="5"/>
        <v>2066250.916</v>
      </c>
      <c r="O49" s="155">
        <f t="shared" si="5"/>
        <v>1485710.202</v>
      </c>
      <c r="P49" s="155">
        <f t="shared" si="5"/>
        <v>1430551.095</v>
      </c>
      <c r="Q49" s="146">
        <f t="shared" si="1"/>
        <v>23218102.627999999</v>
      </c>
    </row>
    <row r="50" spans="2:17" x14ac:dyDescent="0.2">
      <c r="C50" s="154" t="s">
        <v>232</v>
      </c>
      <c r="E50" s="155">
        <f t="shared" si="5"/>
        <v>1084131.21</v>
      </c>
      <c r="F50" s="155">
        <f t="shared" si="5"/>
        <v>1076261.75</v>
      </c>
      <c r="G50" s="155">
        <f t="shared" si="5"/>
        <v>1104327.17</v>
      </c>
      <c r="H50" s="155">
        <f t="shared" si="5"/>
        <v>1494217.02</v>
      </c>
      <c r="I50" s="155">
        <f t="shared" si="5"/>
        <v>1811392.06</v>
      </c>
      <c r="J50" s="155">
        <f t="shared" si="5"/>
        <v>2114674.64</v>
      </c>
      <c r="K50" s="155">
        <f t="shared" si="5"/>
        <v>1951459.87</v>
      </c>
      <c r="L50" s="155">
        <f t="shared" si="5"/>
        <v>1961093.9500000002</v>
      </c>
      <c r="M50" s="155">
        <f t="shared" si="5"/>
        <v>1857442.65</v>
      </c>
      <c r="N50" s="155">
        <f t="shared" si="5"/>
        <v>1599860.8800000001</v>
      </c>
      <c r="O50" s="155">
        <f t="shared" si="5"/>
        <v>1278689.8499999999</v>
      </c>
      <c r="P50" s="155">
        <f t="shared" si="5"/>
        <v>1168040.95</v>
      </c>
      <c r="Q50" s="146">
        <f t="shared" si="1"/>
        <v>18501592.000000004</v>
      </c>
    </row>
    <row r="51" spans="2:17" x14ac:dyDescent="0.2">
      <c r="C51" s="154"/>
      <c r="Q51" s="146"/>
    </row>
    <row r="52" spans="2:17" x14ac:dyDescent="0.2">
      <c r="B52" s="136" t="s">
        <v>132</v>
      </c>
      <c r="C52" s="154"/>
      <c r="Q52" s="146"/>
    </row>
    <row r="53" spans="2:17" x14ac:dyDescent="0.2">
      <c r="C53" s="154">
        <v>31</v>
      </c>
      <c r="E53" s="155">
        <f t="shared" ref="E53:P53" si="7">SUMIF($A$17:$A$27,$C53,E$17:E$27)</f>
        <v>395133.00599999999</v>
      </c>
      <c r="F53" s="155">
        <f t="shared" si="7"/>
        <v>415618.07</v>
      </c>
      <c r="G53" s="155">
        <f t="shared" si="7"/>
        <v>500846.97600000002</v>
      </c>
      <c r="H53" s="155">
        <f t="shared" si="7"/>
        <v>1006993.794</v>
      </c>
      <c r="I53" s="155">
        <f t="shared" si="7"/>
        <v>1528407.077</v>
      </c>
      <c r="J53" s="155">
        <f t="shared" si="7"/>
        <v>2041098.7910000002</v>
      </c>
      <c r="K53" s="155">
        <f t="shared" si="7"/>
        <v>1964791.37</v>
      </c>
      <c r="L53" s="155">
        <f t="shared" si="7"/>
        <v>1882934.0430000001</v>
      </c>
      <c r="M53" s="155">
        <f t="shared" si="7"/>
        <v>1682660.3740000001</v>
      </c>
      <c r="N53" s="155">
        <f t="shared" si="7"/>
        <v>1063918.2120000001</v>
      </c>
      <c r="O53" s="155">
        <f t="shared" si="7"/>
        <v>559791.22699999996</v>
      </c>
      <c r="P53" s="155">
        <f t="shared" si="7"/>
        <v>429753.88400000002</v>
      </c>
      <c r="Q53" s="146">
        <f t="shared" si="1"/>
        <v>13471946.823999999</v>
      </c>
    </row>
    <row r="54" spans="2:17" x14ac:dyDescent="0.2">
      <c r="C54" s="167" t="s">
        <v>387</v>
      </c>
      <c r="E54" s="155">
        <f t="shared" ref="E54:E63" si="8">SUMIF($A$17:$A$27,$C54,E$17:E$27)</f>
        <v>76.98</v>
      </c>
      <c r="F54" s="155">
        <f t="shared" ref="F54:P54" si="9">SUMIF($A$17:$A$27,$C54,F$17:F$27)</f>
        <v>27.25</v>
      </c>
      <c r="G54" s="155">
        <f t="shared" si="9"/>
        <v>218.87</v>
      </c>
      <c r="H54" s="155">
        <f t="shared" si="9"/>
        <v>1982.63</v>
      </c>
      <c r="I54" s="155">
        <f t="shared" si="9"/>
        <v>3323.76</v>
      </c>
      <c r="J54" s="155">
        <f t="shared" si="9"/>
        <v>4410.21</v>
      </c>
      <c r="K54" s="155">
        <f t="shared" si="9"/>
        <v>2530.87</v>
      </c>
      <c r="L54" s="155">
        <f t="shared" si="9"/>
        <v>3905.98</v>
      </c>
      <c r="M54" s="155">
        <f t="shared" si="9"/>
        <v>2821.34</v>
      </c>
      <c r="N54" s="155">
        <f t="shared" si="9"/>
        <v>1980.65</v>
      </c>
      <c r="O54" s="155">
        <f t="shared" si="9"/>
        <v>595.91</v>
      </c>
      <c r="P54" s="155">
        <f t="shared" si="9"/>
        <v>27.44</v>
      </c>
      <c r="Q54" s="146">
        <f t="shared" si="1"/>
        <v>21901.89</v>
      </c>
    </row>
    <row r="55" spans="2:17" x14ac:dyDescent="0.2">
      <c r="C55" s="154">
        <v>41</v>
      </c>
      <c r="E55" s="155">
        <f t="shared" si="8"/>
        <v>715686.64599999995</v>
      </c>
      <c r="F55" s="155">
        <f t="shared" ref="F55:P63" si="10">SUMIF($A$17:$A$27,$C55,F$17:F$27)</f>
        <v>723322.54399999999</v>
      </c>
      <c r="G55" s="155">
        <f t="shared" si="10"/>
        <v>721587.85899999994</v>
      </c>
      <c r="H55" s="155">
        <f t="shared" si="10"/>
        <v>895018.30300000007</v>
      </c>
      <c r="I55" s="155">
        <f t="shared" si="10"/>
        <v>893863.43400000012</v>
      </c>
      <c r="J55" s="155">
        <f t="shared" si="10"/>
        <v>978320.95299999998</v>
      </c>
      <c r="K55" s="155">
        <f t="shared" si="10"/>
        <v>946435.92099999997</v>
      </c>
      <c r="L55" s="155">
        <f t="shared" si="10"/>
        <v>901078.02300000004</v>
      </c>
      <c r="M55" s="155">
        <f t="shared" si="10"/>
        <v>919254.62699999998</v>
      </c>
      <c r="N55" s="155">
        <f t="shared" si="10"/>
        <v>811446.06</v>
      </c>
      <c r="O55" s="155">
        <f t="shared" si="10"/>
        <v>700117.15899999999</v>
      </c>
      <c r="P55" s="155">
        <f t="shared" si="10"/>
        <v>208689.174</v>
      </c>
      <c r="Q55" s="146">
        <f t="shared" si="1"/>
        <v>9414820.7030000016</v>
      </c>
    </row>
    <row r="56" spans="2:17" x14ac:dyDescent="0.2">
      <c r="C56" s="154" t="s">
        <v>236</v>
      </c>
      <c r="E56" s="155">
        <f t="shared" si="8"/>
        <v>566917.64</v>
      </c>
      <c r="F56" s="155">
        <f t="shared" si="10"/>
        <v>536778.17999999993</v>
      </c>
      <c r="G56" s="155">
        <f t="shared" si="10"/>
        <v>501521.2</v>
      </c>
      <c r="H56" s="155">
        <f t="shared" si="10"/>
        <v>548774.43999999994</v>
      </c>
      <c r="I56" s="155">
        <f t="shared" si="10"/>
        <v>530865.47</v>
      </c>
      <c r="J56" s="155">
        <f t="shared" si="10"/>
        <v>502356.32999999996</v>
      </c>
      <c r="K56" s="155">
        <f t="shared" si="10"/>
        <v>587041.71</v>
      </c>
      <c r="L56" s="155">
        <f t="shared" si="10"/>
        <v>560063.15999999992</v>
      </c>
      <c r="M56" s="155">
        <f t="shared" si="10"/>
        <v>653291.67999999993</v>
      </c>
      <c r="N56" s="155">
        <f t="shared" si="10"/>
        <v>562059.31000000006</v>
      </c>
      <c r="O56" s="155">
        <f t="shared" si="10"/>
        <v>465111.51</v>
      </c>
      <c r="P56" s="155">
        <f t="shared" si="10"/>
        <v>456972.94</v>
      </c>
      <c r="Q56" s="146">
        <f t="shared" si="1"/>
        <v>6471753.5699999994</v>
      </c>
    </row>
    <row r="57" spans="2:17" x14ac:dyDescent="0.2">
      <c r="C57" s="154">
        <v>85</v>
      </c>
      <c r="E57" s="155">
        <f t="shared" si="8"/>
        <v>118216.663</v>
      </c>
      <c r="F57" s="155">
        <f t="shared" si="10"/>
        <v>108078.61899999999</v>
      </c>
      <c r="G57" s="155">
        <f t="shared" si="10"/>
        <v>117621.26699999999</v>
      </c>
      <c r="H57" s="155">
        <f t="shared" si="10"/>
        <v>132658.54500000001</v>
      </c>
      <c r="I57" s="155">
        <f t="shared" si="10"/>
        <v>150576.024</v>
      </c>
      <c r="J57" s="155">
        <f t="shared" si="10"/>
        <v>162942.16400000002</v>
      </c>
      <c r="K57" s="155">
        <f t="shared" si="10"/>
        <v>152783.32999999999</v>
      </c>
      <c r="L57" s="155">
        <f t="shared" si="10"/>
        <v>144144.49599999998</v>
      </c>
      <c r="M57" s="155">
        <f t="shared" si="10"/>
        <v>145396.611</v>
      </c>
      <c r="N57" s="155">
        <f t="shared" si="10"/>
        <v>149688.77699999997</v>
      </c>
      <c r="O57" s="155">
        <f t="shared" si="10"/>
        <v>126713.5</v>
      </c>
      <c r="P57" s="155">
        <f t="shared" si="10"/>
        <v>112017.696</v>
      </c>
      <c r="Q57" s="146">
        <f t="shared" si="1"/>
        <v>1620837.692</v>
      </c>
    </row>
    <row r="58" spans="2:17" x14ac:dyDescent="0.2">
      <c r="C58" s="154" t="s">
        <v>231</v>
      </c>
      <c r="E58" s="155">
        <f t="shared" si="8"/>
        <v>4280828.5600000005</v>
      </c>
      <c r="F58" s="155">
        <f t="shared" si="10"/>
        <v>4715349.79</v>
      </c>
      <c r="G58" s="155">
        <f t="shared" si="10"/>
        <v>4631320.07</v>
      </c>
      <c r="H58" s="155">
        <f t="shared" si="10"/>
        <v>5126915.4399999995</v>
      </c>
      <c r="I58" s="155">
        <f t="shared" si="10"/>
        <v>4478198.82</v>
      </c>
      <c r="J58" s="155">
        <f t="shared" si="10"/>
        <v>4595260.34</v>
      </c>
      <c r="K58" s="155">
        <f t="shared" si="10"/>
        <v>4463633.12</v>
      </c>
      <c r="L58" s="155">
        <f t="shared" si="10"/>
        <v>4116771.16</v>
      </c>
      <c r="M58" s="155">
        <f t="shared" si="10"/>
        <v>4871480.7699999996</v>
      </c>
      <c r="N58" s="155">
        <f t="shared" si="10"/>
        <v>4319936.82</v>
      </c>
      <c r="O58" s="155">
        <f t="shared" si="10"/>
        <v>4256767.37</v>
      </c>
      <c r="P58" s="155">
        <f t="shared" si="10"/>
        <v>4233782.51</v>
      </c>
      <c r="Q58" s="146">
        <f t="shared" si="1"/>
        <v>54090244.769999988</v>
      </c>
    </row>
    <row r="59" spans="2:17" x14ac:dyDescent="0.2">
      <c r="C59" s="154">
        <v>86</v>
      </c>
      <c r="E59" s="155">
        <f t="shared" si="8"/>
        <v>7050.719000000001</v>
      </c>
      <c r="F59" s="155">
        <f t="shared" si="10"/>
        <v>6990.4639999999999</v>
      </c>
      <c r="G59" s="155">
        <f t="shared" si="10"/>
        <v>59473.29</v>
      </c>
      <c r="H59" s="155">
        <f t="shared" si="10"/>
        <v>65278.603999999999</v>
      </c>
      <c r="I59" s="155">
        <f t="shared" si="10"/>
        <v>18252.848999999998</v>
      </c>
      <c r="J59" s="155">
        <f t="shared" si="10"/>
        <v>18496.313999999998</v>
      </c>
      <c r="K59" s="155">
        <f t="shared" si="10"/>
        <v>17702.267</v>
      </c>
      <c r="L59" s="155">
        <f t="shared" si="10"/>
        <v>18723.310999999998</v>
      </c>
      <c r="M59" s="155">
        <f t="shared" si="10"/>
        <v>17030.457000000002</v>
      </c>
      <c r="N59" s="155">
        <f t="shared" si="10"/>
        <v>21970.927</v>
      </c>
      <c r="O59" s="155">
        <f t="shared" si="10"/>
        <v>11131.916000000001</v>
      </c>
      <c r="P59" s="155">
        <f t="shared" si="10"/>
        <v>8571.3490000000002</v>
      </c>
      <c r="Q59" s="146">
        <f t="shared" si="1"/>
        <v>270672.46699999995</v>
      </c>
    </row>
    <row r="60" spans="2:17" x14ac:dyDescent="0.2">
      <c r="C60" s="154" t="s">
        <v>298</v>
      </c>
      <c r="E60" s="155">
        <f t="shared" si="8"/>
        <v>24835.61</v>
      </c>
      <c r="F60" s="155">
        <f t="shared" si="10"/>
        <v>18950.099999999999</v>
      </c>
      <c r="G60" s="155">
        <f t="shared" si="10"/>
        <v>14249</v>
      </c>
      <c r="H60" s="155">
        <f t="shared" si="10"/>
        <v>31358.14</v>
      </c>
      <c r="I60" s="155">
        <f t="shared" si="10"/>
        <v>28587.62</v>
      </c>
      <c r="J60" s="155">
        <f t="shared" si="10"/>
        <v>29791.48</v>
      </c>
      <c r="K60" s="155">
        <f t="shared" si="10"/>
        <v>49343.94</v>
      </c>
      <c r="L60" s="155">
        <f t="shared" si="10"/>
        <v>52603.87</v>
      </c>
      <c r="M60" s="155">
        <f t="shared" si="10"/>
        <v>40825.67</v>
      </c>
      <c r="N60" s="155">
        <f t="shared" si="10"/>
        <v>24785.5</v>
      </c>
      <c r="O60" s="155">
        <f t="shared" si="10"/>
        <v>18363.18</v>
      </c>
      <c r="P60" s="155">
        <f t="shared" si="10"/>
        <v>20942.59</v>
      </c>
      <c r="Q60" s="146">
        <f t="shared" si="1"/>
        <v>354636.7</v>
      </c>
    </row>
    <row r="61" spans="2:17" x14ac:dyDescent="0.2">
      <c r="C61" s="154">
        <v>87</v>
      </c>
      <c r="E61" s="155">
        <f t="shared" si="8"/>
        <v>0</v>
      </c>
      <c r="F61" s="155">
        <f t="shared" si="10"/>
        <v>0</v>
      </c>
      <c r="G61" s="155">
        <f t="shared" si="10"/>
        <v>0</v>
      </c>
      <c r="H61" s="155">
        <f t="shared" si="10"/>
        <v>0</v>
      </c>
      <c r="I61" s="155">
        <f t="shared" si="10"/>
        <v>0</v>
      </c>
      <c r="J61" s="155">
        <f t="shared" si="10"/>
        <v>0</v>
      </c>
      <c r="K61" s="155">
        <f t="shared" si="10"/>
        <v>0</v>
      </c>
      <c r="L61" s="155">
        <f t="shared" si="10"/>
        <v>0</v>
      </c>
      <c r="M61" s="155">
        <f t="shared" si="10"/>
        <v>0</v>
      </c>
      <c r="N61" s="155">
        <f t="shared" si="10"/>
        <v>0</v>
      </c>
      <c r="O61" s="155">
        <f t="shared" si="10"/>
        <v>0</v>
      </c>
      <c r="P61" s="155">
        <f t="shared" si="10"/>
        <v>0</v>
      </c>
      <c r="Q61" s="146">
        <f t="shared" si="1"/>
        <v>0</v>
      </c>
    </row>
    <row r="62" spans="2:17" x14ac:dyDescent="0.2">
      <c r="C62" s="154" t="s">
        <v>232</v>
      </c>
      <c r="E62" s="155">
        <f t="shared" si="8"/>
        <v>7598296.1299999999</v>
      </c>
      <c r="F62" s="155">
        <f t="shared" si="10"/>
        <v>7734935.3200000003</v>
      </c>
      <c r="G62" s="155">
        <f t="shared" si="10"/>
        <v>7364818.1600000001</v>
      </c>
      <c r="H62" s="155">
        <f t="shared" si="10"/>
        <v>7444983.4000000004</v>
      </c>
      <c r="I62" s="155">
        <f t="shared" si="10"/>
        <v>6267312.4800000004</v>
      </c>
      <c r="J62" s="155">
        <f t="shared" si="10"/>
        <v>7766997.3499999996</v>
      </c>
      <c r="K62" s="155">
        <f t="shared" si="10"/>
        <v>6317281.6500000004</v>
      </c>
      <c r="L62" s="155">
        <f t="shared" si="10"/>
        <v>6906246.4400000004</v>
      </c>
      <c r="M62" s="155">
        <f t="shared" si="10"/>
        <v>7685171.5099999998</v>
      </c>
      <c r="N62" s="155">
        <f t="shared" si="10"/>
        <v>6615627.5999999996</v>
      </c>
      <c r="O62" s="155">
        <f t="shared" si="10"/>
        <v>6953514.0099999998</v>
      </c>
      <c r="P62" s="155">
        <f t="shared" si="10"/>
        <v>6482373.2000000002</v>
      </c>
      <c r="Q62" s="146">
        <f t="shared" si="1"/>
        <v>85137557.25</v>
      </c>
    </row>
    <row r="63" spans="2:17" x14ac:dyDescent="0.2">
      <c r="C63" s="167" t="s">
        <v>346</v>
      </c>
      <c r="E63" s="704">
        <f t="shared" si="8"/>
        <v>1921334.9100000001</v>
      </c>
      <c r="F63" s="704">
        <f t="shared" si="10"/>
        <v>1869187.75</v>
      </c>
      <c r="G63" s="704">
        <f t="shared" si="10"/>
        <v>1943193.99</v>
      </c>
      <c r="H63" s="704">
        <f t="shared" si="10"/>
        <v>3014511.56</v>
      </c>
      <c r="I63" s="704">
        <f t="shared" si="10"/>
        <v>3745262.62</v>
      </c>
      <c r="J63" s="704">
        <f t="shared" si="10"/>
        <v>4436578.41</v>
      </c>
      <c r="K63" s="704">
        <f t="shared" si="10"/>
        <v>4032427.7399999998</v>
      </c>
      <c r="L63" s="704">
        <f t="shared" si="10"/>
        <v>4114898.2699999996</v>
      </c>
      <c r="M63" s="704">
        <f t="shared" si="10"/>
        <v>3806410.93</v>
      </c>
      <c r="N63" s="704">
        <f t="shared" si="10"/>
        <v>3156368.4099999997</v>
      </c>
      <c r="O63" s="704">
        <f t="shared" si="10"/>
        <v>2317402.04</v>
      </c>
      <c r="P63" s="704">
        <f t="shared" si="10"/>
        <v>2136885.0499999998</v>
      </c>
      <c r="Q63" s="703">
        <f t="shared" si="1"/>
        <v>36494461.68</v>
      </c>
    </row>
    <row r="64" spans="2:17" x14ac:dyDescent="0.2">
      <c r="C64" s="154"/>
      <c r="E64" s="155"/>
      <c r="F64" s="155"/>
      <c r="G64" s="155"/>
      <c r="H64" s="155"/>
      <c r="I64" s="155"/>
      <c r="J64" s="155"/>
      <c r="K64" s="155"/>
      <c r="L64" s="155"/>
      <c r="M64" s="155"/>
      <c r="N64" s="155"/>
      <c r="O64" s="155"/>
      <c r="P64" s="155"/>
      <c r="Q64" s="146"/>
    </row>
    <row r="65" spans="2:17" x14ac:dyDescent="0.2">
      <c r="B65" s="190" t="s">
        <v>113</v>
      </c>
      <c r="E65" s="146">
        <f>SUM(E37:E39,E42:E50,E53:E63)</f>
        <v>44767990.108999997</v>
      </c>
      <c r="F65" s="146">
        <f t="shared" ref="F65:P65" si="11">SUM(F37:F39,F42:F50,F53:F63)</f>
        <v>44321712.204000004</v>
      </c>
      <c r="G65" s="146">
        <f t="shared" si="11"/>
        <v>53590994.809999995</v>
      </c>
      <c r="H65" s="146">
        <f t="shared" si="11"/>
        <v>93463278.638000011</v>
      </c>
      <c r="I65" s="146">
        <f t="shared" si="11"/>
        <v>127407776.39500003</v>
      </c>
      <c r="J65" s="146">
        <f t="shared" si="11"/>
        <v>161646547.37800002</v>
      </c>
      <c r="K65" s="146">
        <f t="shared" si="11"/>
        <v>149339575.64200005</v>
      </c>
      <c r="L65" s="146">
        <f t="shared" si="11"/>
        <v>143362907.97800002</v>
      </c>
      <c r="M65" s="146">
        <f t="shared" si="11"/>
        <v>137374370.37000003</v>
      </c>
      <c r="N65" s="146">
        <f t="shared" si="11"/>
        <v>95636352.535999969</v>
      </c>
      <c r="O65" s="146">
        <f t="shared" si="11"/>
        <v>60594856.846999995</v>
      </c>
      <c r="P65" s="146">
        <f t="shared" si="11"/>
        <v>48426507.470000006</v>
      </c>
      <c r="Q65" s="146">
        <f t="shared" si="1"/>
        <v>1159932870.3770001</v>
      </c>
    </row>
    <row r="66" spans="2:17" x14ac:dyDescent="0.2">
      <c r="B66" s="135" t="s">
        <v>114</v>
      </c>
      <c r="E66" s="11">
        <f>E65-SUM(E7:E33)</f>
        <v>0</v>
      </c>
      <c r="F66" s="11">
        <f t="shared" ref="F66:P66" si="12">F65-SUM(F7:F33)</f>
        <v>0</v>
      </c>
      <c r="G66" s="11">
        <f t="shared" si="12"/>
        <v>0</v>
      </c>
      <c r="H66" s="11">
        <f t="shared" si="12"/>
        <v>0</v>
      </c>
      <c r="I66" s="11">
        <f t="shared" si="12"/>
        <v>0</v>
      </c>
      <c r="J66" s="11">
        <f t="shared" si="12"/>
        <v>0</v>
      </c>
      <c r="K66" s="11">
        <f t="shared" si="12"/>
        <v>0</v>
      </c>
      <c r="L66" s="11">
        <f t="shared" si="12"/>
        <v>0</v>
      </c>
      <c r="M66" s="11">
        <f t="shared" si="12"/>
        <v>0</v>
      </c>
      <c r="N66" s="11">
        <f t="shared" si="12"/>
        <v>0</v>
      </c>
      <c r="O66" s="11">
        <f t="shared" si="12"/>
        <v>0</v>
      </c>
      <c r="P66" s="11">
        <f t="shared" si="12"/>
        <v>0</v>
      </c>
      <c r="Q66" s="10">
        <f>SUM(E66:P66)</f>
        <v>0</v>
      </c>
    </row>
    <row r="67" spans="2:17" x14ac:dyDescent="0.2">
      <c r="E67" s="146"/>
      <c r="F67" s="146"/>
      <c r="G67" s="146"/>
      <c r="H67" s="146"/>
      <c r="I67" s="146"/>
      <c r="J67" s="146"/>
      <c r="K67" s="146"/>
      <c r="L67" s="146"/>
      <c r="M67" s="146"/>
      <c r="N67" s="146"/>
      <c r="O67" s="146"/>
      <c r="P67" s="146"/>
      <c r="Q67" s="146"/>
    </row>
    <row r="68" spans="2:17" x14ac:dyDescent="0.2">
      <c r="B68" t="s">
        <v>545</v>
      </c>
      <c r="E68" s="146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</row>
  </sheetData>
  <mergeCells count="4">
    <mergeCell ref="B1:Q1"/>
    <mergeCell ref="B2:Q2"/>
    <mergeCell ref="B3:Q3"/>
    <mergeCell ref="B4:Q4"/>
  </mergeCells>
  <printOptions horizontalCentered="1"/>
  <pageMargins left="0.25" right="0.25" top="1" bottom="0.75" header="0.5" footer="0.25"/>
  <pageSetup scale="57" fitToHeight="10" orientation="landscape" blackAndWhite="1" horizontalDpi="300" verticalDpi="300" r:id="rId1"/>
  <headerFooter alignWithMargins="0">
    <oddFooter>&amp;L&amp;F 
&amp;A&amp;C&amp;P&amp;R&amp;D</oddFooter>
  </headerFooter>
  <rowBreaks count="2" manualBreakCount="2">
    <brk id="34" min="1" max="16" man="1"/>
    <brk id="133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P135"/>
  <sheetViews>
    <sheetView zoomScaleNormal="100" workbookViewId="0">
      <pane xSplit="1" ySplit="7" topLeftCell="B95" activePane="bottomRight" state="frozen"/>
      <selection activeCell="E33" sqref="E33"/>
      <selection pane="topRight" activeCell="E33" sqref="E33"/>
      <selection pane="bottomLeft" activeCell="E33" sqref="E33"/>
      <selection pane="bottomRight" activeCell="H137" sqref="H137"/>
    </sheetView>
  </sheetViews>
  <sheetFormatPr defaultRowHeight="12.75" x14ac:dyDescent="0.2"/>
  <cols>
    <col min="1" max="1" width="32.7109375" style="9" bestFit="1" customWidth="1"/>
    <col min="2" max="4" width="12.85546875" style="9" bestFit="1" customWidth="1"/>
    <col min="5" max="13" width="12.28515625" style="9" customWidth="1"/>
    <col min="14" max="14" width="14" style="9" bestFit="1" customWidth="1"/>
    <col min="15" max="16" width="9.140625" style="9" customWidth="1"/>
    <col min="17" max="16384" width="9.140625" style="9"/>
  </cols>
  <sheetData>
    <row r="1" spans="1:14" x14ac:dyDescent="0.2">
      <c r="A1" s="847" t="s">
        <v>1</v>
      </c>
      <c r="B1" s="847"/>
      <c r="C1" s="847"/>
      <c r="D1" s="847"/>
      <c r="E1" s="847"/>
      <c r="F1" s="847"/>
      <c r="G1" s="847"/>
      <c r="H1" s="847"/>
      <c r="I1" s="847"/>
      <c r="J1" s="847"/>
      <c r="K1" s="847"/>
      <c r="L1" s="847"/>
      <c r="M1" s="847"/>
      <c r="N1" s="847"/>
    </row>
    <row r="2" spans="1:14" x14ac:dyDescent="0.2">
      <c r="A2" s="847" t="s">
        <v>397</v>
      </c>
      <c r="B2" s="847"/>
      <c r="C2" s="847"/>
      <c r="D2" s="847"/>
      <c r="E2" s="847"/>
      <c r="F2" s="847"/>
      <c r="G2" s="847"/>
      <c r="H2" s="847"/>
      <c r="I2" s="847"/>
      <c r="J2" s="847"/>
      <c r="K2" s="847"/>
      <c r="L2" s="847"/>
      <c r="M2" s="847"/>
      <c r="N2" s="847"/>
    </row>
    <row r="3" spans="1:14" x14ac:dyDescent="0.2">
      <c r="A3" s="847" t="s">
        <v>599</v>
      </c>
      <c r="B3" s="847"/>
      <c r="C3" s="847"/>
      <c r="D3" s="847"/>
      <c r="E3" s="847"/>
      <c r="F3" s="847"/>
      <c r="G3" s="847"/>
      <c r="H3" s="847"/>
      <c r="I3" s="847"/>
      <c r="J3" s="847"/>
      <c r="K3" s="847"/>
      <c r="L3" s="847"/>
      <c r="M3" s="847"/>
      <c r="N3" s="847"/>
    </row>
    <row r="4" spans="1:14" x14ac:dyDescent="0.2">
      <c r="A4" s="847" t="s">
        <v>542</v>
      </c>
      <c r="B4" s="847"/>
      <c r="C4" s="847"/>
      <c r="D4" s="847"/>
      <c r="E4" s="847"/>
      <c r="F4" s="847"/>
      <c r="G4" s="847"/>
      <c r="H4" s="847"/>
      <c r="I4" s="847"/>
      <c r="J4" s="847"/>
      <c r="K4" s="847"/>
      <c r="L4" s="847"/>
      <c r="M4" s="847"/>
      <c r="N4" s="847"/>
    </row>
    <row r="6" spans="1:14" x14ac:dyDescent="0.2">
      <c r="N6" s="8"/>
    </row>
    <row r="7" spans="1:14" x14ac:dyDescent="0.2">
      <c r="A7" s="7" t="s">
        <v>140</v>
      </c>
      <c r="B7" s="198">
        <v>42917</v>
      </c>
      <c r="C7" s="198">
        <f>EDATE(B7,1)</f>
        <v>42948</v>
      </c>
      <c r="D7" s="198">
        <f t="shared" ref="D7:M7" si="0">EDATE(C7,1)</f>
        <v>42979</v>
      </c>
      <c r="E7" s="198">
        <f t="shared" si="0"/>
        <v>43009</v>
      </c>
      <c r="F7" s="198">
        <f t="shared" si="0"/>
        <v>43040</v>
      </c>
      <c r="G7" s="198">
        <f t="shared" si="0"/>
        <v>43070</v>
      </c>
      <c r="H7" s="198">
        <f t="shared" si="0"/>
        <v>43101</v>
      </c>
      <c r="I7" s="198">
        <f t="shared" si="0"/>
        <v>43132</v>
      </c>
      <c r="J7" s="198">
        <f t="shared" si="0"/>
        <v>43160</v>
      </c>
      <c r="K7" s="198">
        <f t="shared" si="0"/>
        <v>43191</v>
      </c>
      <c r="L7" s="198">
        <f t="shared" si="0"/>
        <v>43221</v>
      </c>
      <c r="M7" s="198">
        <f t="shared" si="0"/>
        <v>43252</v>
      </c>
      <c r="N7" s="6" t="s">
        <v>113</v>
      </c>
    </row>
    <row r="8" spans="1:14" ht="15" x14ac:dyDescent="0.25">
      <c r="A8" s="5" t="s">
        <v>193</v>
      </c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3"/>
    </row>
    <row r="9" spans="1:14" x14ac:dyDescent="0.2">
      <c r="A9" s="2" t="s">
        <v>377</v>
      </c>
      <c r="B9" s="1">
        <v>886832.65700000001</v>
      </c>
      <c r="C9" s="1">
        <v>884440.07</v>
      </c>
      <c r="D9" s="1">
        <v>973850.66299999994</v>
      </c>
      <c r="E9" s="1">
        <v>1142376.115</v>
      </c>
      <c r="F9" s="1">
        <v>1109547.08</v>
      </c>
      <c r="G9" s="1">
        <v>1160802.577</v>
      </c>
      <c r="H9" s="1">
        <v>1157860.787</v>
      </c>
      <c r="I9" s="1">
        <v>1062897.169</v>
      </c>
      <c r="J9" s="1">
        <v>1190628.3959999999</v>
      </c>
      <c r="K9" s="1">
        <v>1151326.18</v>
      </c>
      <c r="L9" s="1">
        <v>1069778.638</v>
      </c>
      <c r="M9" s="1">
        <v>624301.44700000004</v>
      </c>
      <c r="N9" s="3">
        <f t="shared" ref="N9:N12" si="1">SUM(B9:M9)</f>
        <v>12414641.779000001</v>
      </c>
    </row>
    <row r="10" spans="1:14" x14ac:dyDescent="0.2">
      <c r="A10" s="2" t="s">
        <v>372</v>
      </c>
      <c r="B10" s="1">
        <v>1083303.8770000001</v>
      </c>
      <c r="C10" s="1">
        <v>1035590.325</v>
      </c>
      <c r="D10" s="1">
        <v>1324279.4210000001</v>
      </c>
      <c r="E10" s="1">
        <v>2293452.0189999999</v>
      </c>
      <c r="F10" s="1">
        <v>2912216.0520000001</v>
      </c>
      <c r="G10" s="1">
        <v>3410283.6340000001</v>
      </c>
      <c r="H10" s="1">
        <v>3303141.4559999998</v>
      </c>
      <c r="I10" s="1">
        <v>3137631.9730000002</v>
      </c>
      <c r="J10" s="1">
        <v>3158401.8859999999</v>
      </c>
      <c r="K10" s="1">
        <v>2445650.395</v>
      </c>
      <c r="L10" s="1">
        <v>1621469.713</v>
      </c>
      <c r="M10" s="1">
        <v>790567.19799999997</v>
      </c>
      <c r="N10" s="3">
        <f t="shared" si="1"/>
        <v>26515987.948999997</v>
      </c>
    </row>
    <row r="11" spans="1:14" x14ac:dyDescent="0.2">
      <c r="A11" s="2" t="s">
        <v>373</v>
      </c>
      <c r="B11" s="1">
        <v>466554.57</v>
      </c>
      <c r="C11" s="1">
        <v>385023.02100000001</v>
      </c>
      <c r="D11" s="1">
        <v>482954.81800000003</v>
      </c>
      <c r="E11" s="1">
        <v>1023068.269</v>
      </c>
      <c r="F11" s="1">
        <v>1640109.83</v>
      </c>
      <c r="G11" s="1">
        <v>2422929.0240000002</v>
      </c>
      <c r="H11" s="1">
        <v>2121983.693</v>
      </c>
      <c r="I11" s="1">
        <v>2176192.9410000001</v>
      </c>
      <c r="J11" s="1">
        <v>1885630.4010000001</v>
      </c>
      <c r="K11" s="1">
        <v>1191941.5959999999</v>
      </c>
      <c r="L11" s="1">
        <v>609701.17200000002</v>
      </c>
      <c r="M11" s="1">
        <v>149030.25099999999</v>
      </c>
      <c r="N11" s="3">
        <f t="shared" si="1"/>
        <v>14555119.585999999</v>
      </c>
    </row>
    <row r="12" spans="1:14" s="3" customFormat="1" ht="15" x14ac:dyDescent="0.25">
      <c r="A12" s="2" t="s">
        <v>113</v>
      </c>
      <c r="B12" s="4">
        <f t="shared" ref="B12:M12" si="2">SUM(B9:B11)</f>
        <v>2436691.1039999998</v>
      </c>
      <c r="C12" s="4">
        <f t="shared" si="2"/>
        <v>2305053.4160000002</v>
      </c>
      <c r="D12" s="4">
        <f t="shared" si="2"/>
        <v>2781084.9019999998</v>
      </c>
      <c r="E12" s="4">
        <f t="shared" si="2"/>
        <v>4458896.4029999999</v>
      </c>
      <c r="F12" s="4">
        <f t="shared" si="2"/>
        <v>5661872.9620000003</v>
      </c>
      <c r="G12" s="4">
        <f t="shared" si="2"/>
        <v>6994015.2350000003</v>
      </c>
      <c r="H12" s="4">
        <f t="shared" si="2"/>
        <v>6582985.9359999998</v>
      </c>
      <c r="I12" s="4">
        <f t="shared" si="2"/>
        <v>6376722.0830000006</v>
      </c>
      <c r="J12" s="4">
        <f t="shared" si="2"/>
        <v>6234660.6830000002</v>
      </c>
      <c r="K12" s="4">
        <f t="shared" si="2"/>
        <v>4788918.1710000001</v>
      </c>
      <c r="L12" s="4">
        <f t="shared" si="2"/>
        <v>3300949.523</v>
      </c>
      <c r="M12" s="4">
        <f t="shared" si="2"/>
        <v>1563898.8959999999</v>
      </c>
      <c r="N12" s="3">
        <f t="shared" si="1"/>
        <v>53485749.313999996</v>
      </c>
    </row>
    <row r="13" spans="1:14" ht="15" x14ac:dyDescent="0.25">
      <c r="A13" s="2" t="s">
        <v>114</v>
      </c>
      <c r="B13" s="4">
        <v>0</v>
      </c>
      <c r="C13" s="4">
        <v>0</v>
      </c>
      <c r="D13" s="4"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</row>
    <row r="14" spans="1:14" ht="15" x14ac:dyDescent="0.25">
      <c r="A14" s="2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3"/>
    </row>
    <row r="15" spans="1:14" ht="15" x14ac:dyDescent="0.25">
      <c r="A15" s="5" t="s">
        <v>196</v>
      </c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3"/>
    </row>
    <row r="16" spans="1:14" x14ac:dyDescent="0.2">
      <c r="A16" s="2" t="s">
        <v>377</v>
      </c>
      <c r="B16" s="1">
        <v>66455.850999999995</v>
      </c>
      <c r="C16" s="1">
        <v>65810.383000000002</v>
      </c>
      <c r="D16" s="1">
        <v>65174.857000000004</v>
      </c>
      <c r="E16" s="1">
        <v>68991.076000000001</v>
      </c>
      <c r="F16" s="1">
        <v>65734.865000000005</v>
      </c>
      <c r="G16" s="1">
        <v>68226.277000000002</v>
      </c>
      <c r="H16" s="1">
        <v>65669.274000000005</v>
      </c>
      <c r="I16" s="1">
        <v>62094.766000000003</v>
      </c>
      <c r="J16" s="1">
        <v>67369.051000000007</v>
      </c>
      <c r="K16" s="1">
        <v>65894.456000000006</v>
      </c>
      <c r="L16" s="1">
        <v>64681.207000000002</v>
      </c>
      <c r="M16" s="1">
        <v>28021.076000000001</v>
      </c>
      <c r="N16" s="3">
        <f t="shared" ref="N16:N19" si="3">SUM(B16:M16)</f>
        <v>754123.13899999997</v>
      </c>
    </row>
    <row r="17" spans="1:16" x14ac:dyDescent="0.2">
      <c r="A17" s="2" t="s">
        <v>372</v>
      </c>
      <c r="B17" s="1">
        <v>206546.99400000001</v>
      </c>
      <c r="C17" s="1">
        <v>207953.351</v>
      </c>
      <c r="D17" s="1">
        <v>213176.33499999999</v>
      </c>
      <c r="E17" s="1">
        <v>248447.16800000001</v>
      </c>
      <c r="F17" s="1">
        <v>249445.00899999999</v>
      </c>
      <c r="G17" s="1">
        <v>260066.27799999999</v>
      </c>
      <c r="H17" s="1">
        <v>251095.27799999999</v>
      </c>
      <c r="I17" s="1">
        <v>239327.72</v>
      </c>
      <c r="J17" s="1">
        <v>254583.26</v>
      </c>
      <c r="K17" s="1">
        <v>240732.26</v>
      </c>
      <c r="L17" s="1">
        <v>216637.33</v>
      </c>
      <c r="M17" s="1">
        <v>81984.774000000005</v>
      </c>
      <c r="N17" s="3">
        <f t="shared" si="3"/>
        <v>2669995.7570000002</v>
      </c>
    </row>
    <row r="18" spans="1:16" x14ac:dyDescent="0.2">
      <c r="A18" s="2" t="s">
        <v>373</v>
      </c>
      <c r="B18" s="1">
        <v>442683.80099999998</v>
      </c>
      <c r="C18" s="1">
        <v>449558.81</v>
      </c>
      <c r="D18" s="1">
        <v>443236.66700000002</v>
      </c>
      <c r="E18" s="1">
        <v>577580.05900000001</v>
      </c>
      <c r="F18" s="1">
        <v>578683.56000000006</v>
      </c>
      <c r="G18" s="1">
        <v>650028.39800000004</v>
      </c>
      <c r="H18" s="1">
        <v>629671.36899999995</v>
      </c>
      <c r="I18" s="1">
        <v>599655.53700000001</v>
      </c>
      <c r="J18" s="1">
        <v>597302.31599999999</v>
      </c>
      <c r="K18" s="1">
        <v>504819.34399999998</v>
      </c>
      <c r="L18" s="1">
        <v>418798.62199999997</v>
      </c>
      <c r="M18" s="1">
        <v>98683.323999999993</v>
      </c>
      <c r="N18" s="3">
        <f t="shared" si="3"/>
        <v>5990701.8069999991</v>
      </c>
    </row>
    <row r="19" spans="1:16" s="3" customFormat="1" ht="15" x14ac:dyDescent="0.25">
      <c r="A19" s="2" t="s">
        <v>113</v>
      </c>
      <c r="B19" s="4">
        <f t="shared" ref="B19:M19" si="4">SUM(B16:B18)</f>
        <v>715686.64599999995</v>
      </c>
      <c r="C19" s="4">
        <f t="shared" si="4"/>
        <v>723322.54399999999</v>
      </c>
      <c r="D19" s="4">
        <f t="shared" si="4"/>
        <v>721587.85899999994</v>
      </c>
      <c r="E19" s="4">
        <f t="shared" si="4"/>
        <v>895018.30300000007</v>
      </c>
      <c r="F19" s="4">
        <f t="shared" si="4"/>
        <v>893863.43400000012</v>
      </c>
      <c r="G19" s="4">
        <f t="shared" si="4"/>
        <v>978320.95299999998</v>
      </c>
      <c r="H19" s="4">
        <f t="shared" si="4"/>
        <v>946435.92099999997</v>
      </c>
      <c r="I19" s="4">
        <f t="shared" si="4"/>
        <v>901078.02300000004</v>
      </c>
      <c r="J19" s="4">
        <f t="shared" si="4"/>
        <v>919254.62699999998</v>
      </c>
      <c r="K19" s="4">
        <f t="shared" si="4"/>
        <v>811446.06</v>
      </c>
      <c r="L19" s="4">
        <f t="shared" si="4"/>
        <v>700117.15899999999</v>
      </c>
      <c r="M19" s="4">
        <f t="shared" si="4"/>
        <v>208689.174</v>
      </c>
      <c r="N19" s="3">
        <f t="shared" si="3"/>
        <v>9414820.7030000016</v>
      </c>
    </row>
    <row r="20" spans="1:16" ht="15" x14ac:dyDescent="0.25">
      <c r="A20" s="2" t="s">
        <v>114</v>
      </c>
      <c r="B20" s="4">
        <v>0</v>
      </c>
      <c r="C20" s="4">
        <v>0</v>
      </c>
      <c r="D20" s="4"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</row>
    <row r="21" spans="1:16" ht="15" x14ac:dyDescent="0.25">
      <c r="A21" s="2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3"/>
      <c r="P21" s="3"/>
    </row>
    <row r="22" spans="1:16" x14ac:dyDescent="0.2">
      <c r="A22" s="2" t="s">
        <v>370</v>
      </c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P22" s="3"/>
    </row>
    <row r="23" spans="1:16" x14ac:dyDescent="0.2">
      <c r="A23" s="2" t="s">
        <v>371</v>
      </c>
      <c r="B23" s="1">
        <v>61737.599999999999</v>
      </c>
      <c r="C23" s="1">
        <v>62165.19</v>
      </c>
      <c r="D23" s="1">
        <v>63433.68</v>
      </c>
      <c r="E23" s="1">
        <v>66525.899999999994</v>
      </c>
      <c r="F23" s="1">
        <v>67500</v>
      </c>
      <c r="G23" s="1">
        <v>67334.38</v>
      </c>
      <c r="H23" s="1">
        <v>69360</v>
      </c>
      <c r="I23" s="1">
        <v>70980</v>
      </c>
      <c r="J23" s="1">
        <v>71100</v>
      </c>
      <c r="K23" s="1">
        <v>72000</v>
      </c>
      <c r="L23" s="1">
        <v>70241.990000000005</v>
      </c>
      <c r="M23" s="1">
        <v>70979.11</v>
      </c>
      <c r="N23" s="3">
        <f>SUM(B23:M23)</f>
        <v>813357.85</v>
      </c>
      <c r="P23" s="3"/>
    </row>
    <row r="24" spans="1:16" x14ac:dyDescent="0.2">
      <c r="A24" s="2" t="s">
        <v>372</v>
      </c>
      <c r="B24" s="1">
        <v>190222.91</v>
      </c>
      <c r="C24" s="1">
        <v>188862.49</v>
      </c>
      <c r="D24" s="1">
        <v>196876.2</v>
      </c>
      <c r="E24" s="1">
        <v>241816.23</v>
      </c>
      <c r="F24" s="1">
        <v>260935.1</v>
      </c>
      <c r="G24" s="1">
        <v>276147.83</v>
      </c>
      <c r="H24" s="1">
        <v>278423.61</v>
      </c>
      <c r="I24" s="1">
        <v>284808.07</v>
      </c>
      <c r="J24" s="1">
        <v>280728.15999999997</v>
      </c>
      <c r="K24" s="1">
        <v>264094.78999999998</v>
      </c>
      <c r="L24" s="1">
        <v>232893.8</v>
      </c>
      <c r="M24" s="1">
        <v>224854.84</v>
      </c>
      <c r="N24" s="3">
        <f t="shared" ref="N24:N25" si="5">SUM(B24:M24)</f>
        <v>2920664.03</v>
      </c>
      <c r="P24" s="3"/>
    </row>
    <row r="25" spans="1:16" x14ac:dyDescent="0.2">
      <c r="A25" s="2" t="s">
        <v>373</v>
      </c>
      <c r="B25" s="1">
        <v>590317.98</v>
      </c>
      <c r="C25" s="1">
        <v>668176.92000000004</v>
      </c>
      <c r="D25" s="1">
        <v>614308.48</v>
      </c>
      <c r="E25" s="1">
        <v>731194.55</v>
      </c>
      <c r="F25" s="1">
        <v>812694.13899999997</v>
      </c>
      <c r="G25" s="1">
        <v>905886.43</v>
      </c>
      <c r="H25" s="1">
        <v>908188.78</v>
      </c>
      <c r="I25" s="1">
        <v>863702.94</v>
      </c>
      <c r="J25" s="1">
        <v>897547.7</v>
      </c>
      <c r="K25" s="1">
        <v>785225.14</v>
      </c>
      <c r="L25" s="1">
        <v>694306.43</v>
      </c>
      <c r="M25" s="1">
        <v>517322.58</v>
      </c>
      <c r="N25" s="3">
        <f t="shared" si="5"/>
        <v>8988872.0690000001</v>
      </c>
      <c r="P25" s="3"/>
    </row>
    <row r="26" spans="1:16" ht="15" x14ac:dyDescent="0.25">
      <c r="A26" s="2" t="s">
        <v>113</v>
      </c>
      <c r="B26" s="4">
        <f t="shared" ref="B26:M26" si="6">SUM(B23:B25)</f>
        <v>842278.49</v>
      </c>
      <c r="C26" s="4">
        <f t="shared" si="6"/>
        <v>919204.60000000009</v>
      </c>
      <c r="D26" s="4">
        <f t="shared" si="6"/>
        <v>874618.36</v>
      </c>
      <c r="E26" s="4">
        <f t="shared" si="6"/>
        <v>1039536.68</v>
      </c>
      <c r="F26" s="4">
        <f t="shared" si="6"/>
        <v>1141129.2390000001</v>
      </c>
      <c r="G26" s="4">
        <f t="shared" si="6"/>
        <v>1249368.6400000001</v>
      </c>
      <c r="H26" s="4">
        <f t="shared" si="6"/>
        <v>1255972.3900000001</v>
      </c>
      <c r="I26" s="4">
        <f t="shared" si="6"/>
        <v>1219491.01</v>
      </c>
      <c r="J26" s="4">
        <f t="shared" si="6"/>
        <v>1249375.8599999999</v>
      </c>
      <c r="K26" s="4">
        <f t="shared" si="6"/>
        <v>1121319.93</v>
      </c>
      <c r="L26" s="4">
        <f t="shared" si="6"/>
        <v>997442.22</v>
      </c>
      <c r="M26" s="4">
        <f t="shared" si="6"/>
        <v>813156.53</v>
      </c>
      <c r="N26" s="3">
        <f>SUM(B26:M26)</f>
        <v>12722893.949000001</v>
      </c>
      <c r="P26" s="3"/>
    </row>
    <row r="27" spans="1:16" ht="15" x14ac:dyDescent="0.25">
      <c r="A27" s="3" t="s">
        <v>114</v>
      </c>
      <c r="B27" s="4">
        <v>0</v>
      </c>
      <c r="C27" s="4">
        <v>0</v>
      </c>
      <c r="D27" s="4"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P27" s="3"/>
    </row>
    <row r="28" spans="1:16" ht="15" x14ac:dyDescent="0.25">
      <c r="A28" s="2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3"/>
      <c r="P28" s="3"/>
    </row>
    <row r="29" spans="1:16" ht="15" x14ac:dyDescent="0.25">
      <c r="A29" s="2" t="s">
        <v>374</v>
      </c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3"/>
      <c r="P29" s="3"/>
    </row>
    <row r="30" spans="1:16" x14ac:dyDescent="0.2">
      <c r="A30" s="2" t="s">
        <v>371</v>
      </c>
      <c r="B30" s="1">
        <v>24300</v>
      </c>
      <c r="C30" s="1">
        <v>23400</v>
      </c>
      <c r="D30" s="1">
        <v>23400</v>
      </c>
      <c r="E30" s="1">
        <v>23156.81</v>
      </c>
      <c r="F30" s="1">
        <v>23400</v>
      </c>
      <c r="G30" s="1">
        <v>23430</v>
      </c>
      <c r="H30" s="1">
        <v>23430</v>
      </c>
      <c r="I30" s="1">
        <v>23400</v>
      </c>
      <c r="J30" s="1">
        <v>23400</v>
      </c>
      <c r="K30" s="1">
        <v>22500</v>
      </c>
      <c r="L30" s="1">
        <v>19800</v>
      </c>
      <c r="M30" s="1">
        <v>19800</v>
      </c>
      <c r="N30" s="3">
        <f>SUM(B30:M30)</f>
        <v>273416.81</v>
      </c>
      <c r="P30" s="3"/>
    </row>
    <row r="31" spans="1:16" x14ac:dyDescent="0.2">
      <c r="A31" s="2" t="s">
        <v>372</v>
      </c>
      <c r="B31" s="1">
        <v>107260.05</v>
      </c>
      <c r="C31" s="1">
        <v>104230.96</v>
      </c>
      <c r="D31" s="1">
        <v>103865.95</v>
      </c>
      <c r="E31" s="1">
        <v>101005.09</v>
      </c>
      <c r="F31" s="1">
        <v>104060.37</v>
      </c>
      <c r="G31" s="1">
        <v>104997</v>
      </c>
      <c r="H31" s="1">
        <v>105881.71</v>
      </c>
      <c r="I31" s="1">
        <v>104439.87</v>
      </c>
      <c r="J31" s="1">
        <v>104239.07</v>
      </c>
      <c r="K31" s="1">
        <v>100178.73</v>
      </c>
      <c r="L31" s="1">
        <v>87607.43</v>
      </c>
      <c r="M31" s="1">
        <v>85479.8</v>
      </c>
      <c r="N31" s="3">
        <f t="shared" ref="N31:N33" si="7">SUM(B31:M31)</f>
        <v>1213246.03</v>
      </c>
      <c r="P31" s="3"/>
    </row>
    <row r="32" spans="1:16" x14ac:dyDescent="0.2">
      <c r="A32" s="2" t="s">
        <v>373</v>
      </c>
      <c r="B32" s="1">
        <v>435357.59</v>
      </c>
      <c r="C32" s="1">
        <v>409147.22</v>
      </c>
      <c r="D32" s="1">
        <v>374255.25</v>
      </c>
      <c r="E32" s="1">
        <v>424612.54</v>
      </c>
      <c r="F32" s="1">
        <v>403405.1</v>
      </c>
      <c r="G32" s="1">
        <v>373929.33</v>
      </c>
      <c r="H32" s="1">
        <v>457730</v>
      </c>
      <c r="I32" s="1">
        <v>432223.29</v>
      </c>
      <c r="J32" s="1">
        <v>525652.61</v>
      </c>
      <c r="K32" s="1">
        <v>439380.58</v>
      </c>
      <c r="L32" s="1">
        <v>357704.08</v>
      </c>
      <c r="M32" s="1">
        <v>351693.14</v>
      </c>
      <c r="N32" s="3">
        <f t="shared" si="7"/>
        <v>4985090.7299999995</v>
      </c>
      <c r="P32" s="3"/>
    </row>
    <row r="33" spans="1:16" ht="15" x14ac:dyDescent="0.25">
      <c r="A33" s="2" t="s">
        <v>113</v>
      </c>
      <c r="B33" s="4">
        <f t="shared" ref="B33:M33" si="8">SUM(B30:B32)</f>
        <v>566917.64</v>
      </c>
      <c r="C33" s="4">
        <f t="shared" si="8"/>
        <v>536778.17999999993</v>
      </c>
      <c r="D33" s="4">
        <f t="shared" si="8"/>
        <v>501521.2</v>
      </c>
      <c r="E33" s="4">
        <f t="shared" si="8"/>
        <v>548774.43999999994</v>
      </c>
      <c r="F33" s="4">
        <f t="shared" si="8"/>
        <v>530865.47</v>
      </c>
      <c r="G33" s="4">
        <f t="shared" si="8"/>
        <v>502356.33</v>
      </c>
      <c r="H33" s="4">
        <f t="shared" si="8"/>
        <v>587041.71</v>
      </c>
      <c r="I33" s="4">
        <f t="shared" si="8"/>
        <v>560063.15999999992</v>
      </c>
      <c r="J33" s="4">
        <f t="shared" si="8"/>
        <v>653291.67999999993</v>
      </c>
      <c r="K33" s="4">
        <f t="shared" si="8"/>
        <v>562059.31000000006</v>
      </c>
      <c r="L33" s="4">
        <f t="shared" si="8"/>
        <v>465111.51</v>
      </c>
      <c r="M33" s="4">
        <f t="shared" si="8"/>
        <v>456972.94</v>
      </c>
      <c r="N33" s="3">
        <f t="shared" si="7"/>
        <v>6471753.5699999994</v>
      </c>
      <c r="P33" s="3"/>
    </row>
    <row r="34" spans="1:16" ht="15" x14ac:dyDescent="0.25">
      <c r="A34" s="2" t="s">
        <v>114</v>
      </c>
      <c r="B34" s="4">
        <v>0</v>
      </c>
      <c r="C34" s="4">
        <v>0</v>
      </c>
      <c r="D34" s="4"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P34" s="3"/>
    </row>
    <row r="35" spans="1:16" x14ac:dyDescent="0.2">
      <c r="P35" s="3"/>
    </row>
    <row r="36" spans="1:16" ht="15" x14ac:dyDescent="0.25">
      <c r="A36" s="9" t="s">
        <v>250</v>
      </c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3"/>
      <c r="P36" s="3"/>
    </row>
    <row r="37" spans="1:16" x14ac:dyDescent="0.2">
      <c r="A37" s="2" t="s">
        <v>31</v>
      </c>
      <c r="B37" s="1">
        <v>477465.83299999998</v>
      </c>
      <c r="C37" s="1">
        <v>455876.00099999999</v>
      </c>
      <c r="D37" s="1">
        <v>475597.31800000003</v>
      </c>
      <c r="E37" s="1">
        <v>585808.54399999999</v>
      </c>
      <c r="F37" s="1">
        <v>609730.79299999995</v>
      </c>
      <c r="G37" s="1">
        <v>627459.95499999996</v>
      </c>
      <c r="H37" s="1">
        <v>619196.05900000001</v>
      </c>
      <c r="I37" s="1">
        <v>596871.32700000005</v>
      </c>
      <c r="J37" s="1">
        <v>628194.80700000003</v>
      </c>
      <c r="K37" s="1">
        <v>590443.04700000002</v>
      </c>
      <c r="L37" s="1">
        <v>535177.755</v>
      </c>
      <c r="M37" s="1">
        <v>453570.95</v>
      </c>
      <c r="N37" s="3">
        <f t="shared" ref="N37:N40" si="9">SUM(B37:M37)</f>
        <v>6655392.3890000004</v>
      </c>
    </row>
    <row r="38" spans="1:16" x14ac:dyDescent="0.2">
      <c r="A38" s="2" t="s">
        <v>32</v>
      </c>
      <c r="B38" s="1">
        <v>207016.51500000001</v>
      </c>
      <c r="C38" s="1">
        <v>190848.08100000001</v>
      </c>
      <c r="D38" s="1">
        <v>227262.685</v>
      </c>
      <c r="E38" s="1">
        <v>328943.587</v>
      </c>
      <c r="F38" s="1">
        <v>390519.83799999999</v>
      </c>
      <c r="G38" s="1">
        <v>478153.67599999998</v>
      </c>
      <c r="H38" s="1">
        <v>453670.63400000002</v>
      </c>
      <c r="I38" s="1">
        <v>395277.45</v>
      </c>
      <c r="J38" s="1">
        <v>414001.36099999998</v>
      </c>
      <c r="K38" s="1">
        <v>295900.73800000001</v>
      </c>
      <c r="L38" s="1">
        <v>251734.97399999999</v>
      </c>
      <c r="M38" s="1">
        <v>208698.899</v>
      </c>
      <c r="N38" s="3">
        <f t="shared" si="9"/>
        <v>3842028.4380000001</v>
      </c>
    </row>
    <row r="39" spans="1:16" x14ac:dyDescent="0.2">
      <c r="A39" s="2" t="s">
        <v>379</v>
      </c>
      <c r="B39" s="1">
        <v>33590.434000000001</v>
      </c>
      <c r="C39" s="1">
        <v>17665.422999999999</v>
      </c>
      <c r="D39" s="1">
        <v>89193.548999999999</v>
      </c>
      <c r="E39" s="1">
        <v>336004.20199999999</v>
      </c>
      <c r="F39" s="1">
        <v>551061.34400000004</v>
      </c>
      <c r="G39" s="1">
        <v>760828.57700000005</v>
      </c>
      <c r="H39" s="1">
        <v>637649.24600000004</v>
      </c>
      <c r="I39" s="1">
        <v>587587.76100000006</v>
      </c>
      <c r="J39" s="1">
        <v>600062.96799999999</v>
      </c>
      <c r="K39" s="1">
        <v>357311.35100000002</v>
      </c>
      <c r="L39" s="1">
        <v>133322.15700000001</v>
      </c>
      <c r="M39" s="1">
        <v>47470.894999999997</v>
      </c>
      <c r="N39" s="3">
        <f t="shared" si="9"/>
        <v>4151747.9070000006</v>
      </c>
    </row>
    <row r="40" spans="1:16" ht="15" x14ac:dyDescent="0.25">
      <c r="A40" s="2" t="s">
        <v>113</v>
      </c>
      <c r="B40" s="4">
        <f t="shared" ref="B40:M40" si="10">SUM(B37:B39)</f>
        <v>718072.78200000001</v>
      </c>
      <c r="C40" s="4">
        <f t="shared" si="10"/>
        <v>664389.50499999989</v>
      </c>
      <c r="D40" s="4">
        <f t="shared" si="10"/>
        <v>792053.55200000003</v>
      </c>
      <c r="E40" s="4">
        <f t="shared" si="10"/>
        <v>1250756.3330000001</v>
      </c>
      <c r="F40" s="4">
        <f t="shared" si="10"/>
        <v>1551311.9750000001</v>
      </c>
      <c r="G40" s="4">
        <f t="shared" si="10"/>
        <v>1866442.2080000001</v>
      </c>
      <c r="H40" s="4">
        <f t="shared" si="10"/>
        <v>1710515.939</v>
      </c>
      <c r="I40" s="4">
        <f t="shared" si="10"/>
        <v>1579736.5380000002</v>
      </c>
      <c r="J40" s="4">
        <f t="shared" si="10"/>
        <v>1642259.1359999999</v>
      </c>
      <c r="K40" s="4">
        <f t="shared" si="10"/>
        <v>1243655.1359999999</v>
      </c>
      <c r="L40" s="4">
        <f t="shared" si="10"/>
        <v>920234.88600000006</v>
      </c>
      <c r="M40" s="4">
        <f t="shared" si="10"/>
        <v>709740.74400000006</v>
      </c>
      <c r="N40" s="3">
        <f t="shared" si="9"/>
        <v>14649168.734000001</v>
      </c>
    </row>
    <row r="41" spans="1:16" ht="15" x14ac:dyDescent="0.25">
      <c r="A41" s="2" t="s">
        <v>114</v>
      </c>
      <c r="B41" s="4">
        <v>0</v>
      </c>
      <c r="C41" s="4">
        <v>0</v>
      </c>
      <c r="D41" s="4"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</row>
    <row r="42" spans="1:16" ht="15" x14ac:dyDescent="0.25">
      <c r="A42" s="2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3"/>
      <c r="P42" s="3"/>
    </row>
    <row r="43" spans="1:16" ht="15" x14ac:dyDescent="0.25">
      <c r="A43" s="9" t="s">
        <v>252</v>
      </c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3"/>
      <c r="P43" s="3"/>
    </row>
    <row r="44" spans="1:16" x14ac:dyDescent="0.2">
      <c r="A44" s="2" t="s">
        <v>31</v>
      </c>
      <c r="B44" s="1">
        <v>92736.415999999997</v>
      </c>
      <c r="C44" s="1">
        <v>88705.854999999996</v>
      </c>
      <c r="D44" s="1">
        <v>88846.324999999997</v>
      </c>
      <c r="E44" s="1">
        <v>96948.638000000006</v>
      </c>
      <c r="F44" s="1">
        <v>99609.741999999998</v>
      </c>
      <c r="G44" s="1">
        <v>98942.221999999994</v>
      </c>
      <c r="H44" s="1">
        <v>100694.553</v>
      </c>
      <c r="I44" s="1">
        <v>95970.812999999995</v>
      </c>
      <c r="J44" s="1">
        <v>99781.682000000001</v>
      </c>
      <c r="K44" s="1">
        <v>100107.56</v>
      </c>
      <c r="L44" s="1">
        <v>91522.342999999993</v>
      </c>
      <c r="M44" s="1">
        <v>87325.294999999998</v>
      </c>
      <c r="N44" s="3">
        <f t="shared" ref="N44:N47" si="11">SUM(B44:M44)</f>
        <v>1141191.4439999997</v>
      </c>
      <c r="P44" s="3"/>
    </row>
    <row r="45" spans="1:16" x14ac:dyDescent="0.2">
      <c r="A45" s="2" t="s">
        <v>32</v>
      </c>
      <c r="B45" s="1">
        <v>25480.246999999999</v>
      </c>
      <c r="C45" s="1">
        <v>19372.763999999999</v>
      </c>
      <c r="D45" s="1">
        <v>28774.941999999999</v>
      </c>
      <c r="E45" s="1">
        <v>35709.906999999999</v>
      </c>
      <c r="F45" s="1">
        <v>45196.078000000001</v>
      </c>
      <c r="G45" s="1">
        <v>53216.502999999997</v>
      </c>
      <c r="H45" s="1">
        <v>47232.860999999997</v>
      </c>
      <c r="I45" s="1">
        <v>41418.798999999999</v>
      </c>
      <c r="J45" s="1">
        <v>37198.016000000003</v>
      </c>
      <c r="K45" s="1">
        <v>47052.500999999997</v>
      </c>
      <c r="L45" s="1">
        <v>35115.035000000003</v>
      </c>
      <c r="M45" s="1">
        <v>24692.401000000002</v>
      </c>
      <c r="N45" s="3">
        <f t="shared" si="11"/>
        <v>440460.05400000006</v>
      </c>
      <c r="P45" s="3"/>
    </row>
    <row r="46" spans="1:16" x14ac:dyDescent="0.2">
      <c r="A46" s="2" t="s">
        <v>379</v>
      </c>
      <c r="B46" s="1">
        <v>0</v>
      </c>
      <c r="C46" s="1">
        <v>0</v>
      </c>
      <c r="D46" s="1">
        <v>0</v>
      </c>
      <c r="E46" s="1">
        <v>0</v>
      </c>
      <c r="F46" s="1">
        <v>5770.2039999999997</v>
      </c>
      <c r="G46" s="1">
        <v>10783.439</v>
      </c>
      <c r="H46" s="1">
        <v>4855.9160000000002</v>
      </c>
      <c r="I46" s="1">
        <v>6754.884</v>
      </c>
      <c r="J46" s="1">
        <v>8416.9130000000005</v>
      </c>
      <c r="K46" s="1">
        <v>2528.7159999999999</v>
      </c>
      <c r="L46" s="1">
        <v>76.122</v>
      </c>
      <c r="M46" s="1">
        <v>0</v>
      </c>
      <c r="N46" s="3">
        <f t="shared" si="11"/>
        <v>39186.194000000003</v>
      </c>
      <c r="P46" s="3"/>
    </row>
    <row r="47" spans="1:16" ht="15" x14ac:dyDescent="0.25">
      <c r="A47" s="2" t="s">
        <v>113</v>
      </c>
      <c r="B47" s="4">
        <f t="shared" ref="B47:M47" si="12">SUM(B44:B46)</f>
        <v>118216.663</v>
      </c>
      <c r="C47" s="4">
        <f t="shared" si="12"/>
        <v>108078.61899999999</v>
      </c>
      <c r="D47" s="4">
        <f t="shared" si="12"/>
        <v>117621.26699999999</v>
      </c>
      <c r="E47" s="4">
        <f t="shared" si="12"/>
        <v>132658.54500000001</v>
      </c>
      <c r="F47" s="4">
        <f t="shared" si="12"/>
        <v>150576.024</v>
      </c>
      <c r="G47" s="4">
        <f t="shared" si="12"/>
        <v>162942.16399999999</v>
      </c>
      <c r="H47" s="4">
        <f t="shared" si="12"/>
        <v>152783.32999999999</v>
      </c>
      <c r="I47" s="4">
        <f t="shared" si="12"/>
        <v>144144.49599999998</v>
      </c>
      <c r="J47" s="4">
        <f t="shared" si="12"/>
        <v>145396.611</v>
      </c>
      <c r="K47" s="4">
        <f t="shared" si="12"/>
        <v>149688.77699999997</v>
      </c>
      <c r="L47" s="4">
        <f t="shared" si="12"/>
        <v>126713.5</v>
      </c>
      <c r="M47" s="4">
        <f t="shared" si="12"/>
        <v>112017.696</v>
      </c>
      <c r="N47" s="3">
        <f t="shared" si="11"/>
        <v>1620837.692</v>
      </c>
      <c r="P47" s="3"/>
    </row>
    <row r="48" spans="1:16" ht="15" x14ac:dyDescent="0.25">
      <c r="A48" s="2" t="s">
        <v>114</v>
      </c>
      <c r="B48" s="4">
        <v>0</v>
      </c>
      <c r="C48" s="4">
        <v>0</v>
      </c>
      <c r="D48" s="4"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P48" s="3"/>
    </row>
    <row r="49" spans="1:16" x14ac:dyDescent="0.2">
      <c r="P49" s="3"/>
    </row>
    <row r="50" spans="1:16" ht="15" x14ac:dyDescent="0.25">
      <c r="A50" s="2" t="s">
        <v>378</v>
      </c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3"/>
      <c r="P50" s="3"/>
    </row>
    <row r="51" spans="1:16" x14ac:dyDescent="0.2">
      <c r="A51" s="2" t="s">
        <v>31</v>
      </c>
      <c r="B51" s="1">
        <v>766888.77</v>
      </c>
      <c r="C51" s="1">
        <v>765804.68</v>
      </c>
      <c r="D51" s="1">
        <v>768877.91</v>
      </c>
      <c r="E51" s="1">
        <v>786959.22</v>
      </c>
      <c r="F51" s="1">
        <v>782983.73</v>
      </c>
      <c r="G51" s="1">
        <v>806226.5</v>
      </c>
      <c r="H51" s="1">
        <v>795648.58</v>
      </c>
      <c r="I51" s="1">
        <v>769515.8</v>
      </c>
      <c r="J51" s="1">
        <v>788760.82</v>
      </c>
      <c r="K51" s="1">
        <v>775878.28</v>
      </c>
      <c r="L51" s="1">
        <v>779542.12</v>
      </c>
      <c r="M51" s="1">
        <v>782090.09</v>
      </c>
      <c r="N51" s="3">
        <f t="shared" ref="N51:N54" si="13">SUM(B51:M51)</f>
        <v>9369176.5</v>
      </c>
      <c r="P51" s="3"/>
    </row>
    <row r="52" spans="1:16" ht="15" x14ac:dyDescent="0.25">
      <c r="A52" s="2" t="s">
        <v>32</v>
      </c>
      <c r="B52" s="1">
        <v>443250.74</v>
      </c>
      <c r="C52" s="1">
        <v>463829.1</v>
      </c>
      <c r="D52" s="1">
        <v>429032.8</v>
      </c>
      <c r="E52" s="1">
        <v>504504.02</v>
      </c>
      <c r="F52" s="1">
        <v>536322.56000000006</v>
      </c>
      <c r="G52" s="1">
        <v>534661.91</v>
      </c>
      <c r="H52" s="1">
        <v>542927.29</v>
      </c>
      <c r="I52" s="1">
        <v>521896.28</v>
      </c>
      <c r="J52" s="1">
        <v>553130.56999999995</v>
      </c>
      <c r="K52" s="1">
        <v>502540.24</v>
      </c>
      <c r="L52" s="1">
        <v>489533.2</v>
      </c>
      <c r="M52" s="1">
        <v>495352.57</v>
      </c>
      <c r="N52" s="3">
        <f t="shared" si="13"/>
        <v>6016981.2800000012</v>
      </c>
      <c r="O52" s="4"/>
      <c r="P52" s="3"/>
    </row>
    <row r="53" spans="1:16" x14ac:dyDescent="0.2">
      <c r="A53" s="2" t="s">
        <v>379</v>
      </c>
      <c r="B53" s="1">
        <v>360795.62</v>
      </c>
      <c r="C53" s="1">
        <v>422867</v>
      </c>
      <c r="D53" s="1">
        <v>365541.03</v>
      </c>
      <c r="E53" s="1">
        <v>531690.54</v>
      </c>
      <c r="F53" s="1">
        <v>641386.82999999996</v>
      </c>
      <c r="G53" s="1">
        <v>833721.87</v>
      </c>
      <c r="H53" s="1">
        <v>779636.05</v>
      </c>
      <c r="I53" s="1">
        <v>713877.37</v>
      </c>
      <c r="J53" s="1">
        <v>762309.19</v>
      </c>
      <c r="K53" s="1">
        <v>553623.57999999996</v>
      </c>
      <c r="L53" s="1">
        <v>531957.80000000005</v>
      </c>
      <c r="M53" s="1">
        <v>454731.69</v>
      </c>
      <c r="N53" s="3">
        <f t="shared" si="13"/>
        <v>6952138.5700000003</v>
      </c>
      <c r="P53" s="3"/>
    </row>
    <row r="54" spans="1:16" ht="15" x14ac:dyDescent="0.25">
      <c r="A54" s="2" t="s">
        <v>113</v>
      </c>
      <c r="B54" s="4">
        <f t="shared" ref="B54:M54" si="14">SUM(B51:B53)</f>
        <v>1570935.13</v>
      </c>
      <c r="C54" s="4">
        <f t="shared" si="14"/>
        <v>1652500.78</v>
      </c>
      <c r="D54" s="4">
        <f t="shared" si="14"/>
        <v>1563451.74</v>
      </c>
      <c r="E54" s="4">
        <f t="shared" si="14"/>
        <v>1823153.78</v>
      </c>
      <c r="F54" s="4">
        <f t="shared" si="14"/>
        <v>1960693.12</v>
      </c>
      <c r="G54" s="4">
        <f t="shared" si="14"/>
        <v>2174610.2800000003</v>
      </c>
      <c r="H54" s="4">
        <f t="shared" si="14"/>
        <v>2118211.92</v>
      </c>
      <c r="I54" s="4">
        <f t="shared" si="14"/>
        <v>2005289.4500000002</v>
      </c>
      <c r="J54" s="4">
        <f t="shared" si="14"/>
        <v>2104200.58</v>
      </c>
      <c r="K54" s="4">
        <f t="shared" si="14"/>
        <v>1832042.1</v>
      </c>
      <c r="L54" s="4">
        <f t="shared" si="14"/>
        <v>1801033.12</v>
      </c>
      <c r="M54" s="4">
        <f t="shared" si="14"/>
        <v>1732174.3499999999</v>
      </c>
      <c r="N54" s="3">
        <f t="shared" si="13"/>
        <v>22338296.350000005</v>
      </c>
      <c r="P54" s="3"/>
    </row>
    <row r="55" spans="1:16" ht="15" x14ac:dyDescent="0.25">
      <c r="A55" s="2" t="s">
        <v>114</v>
      </c>
      <c r="B55" s="4">
        <v>0</v>
      </c>
      <c r="C55" s="4">
        <v>0</v>
      </c>
      <c r="D55" s="4"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P55" s="3"/>
    </row>
    <row r="56" spans="1:16" ht="15" x14ac:dyDescent="0.25">
      <c r="A56" s="2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3"/>
      <c r="P56" s="3"/>
    </row>
    <row r="57" spans="1:16" ht="15" x14ac:dyDescent="0.25">
      <c r="A57" s="2" t="s">
        <v>380</v>
      </c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3"/>
      <c r="P57" s="3"/>
    </row>
    <row r="58" spans="1:16" x14ac:dyDescent="0.2">
      <c r="A58" s="2" t="s">
        <v>31</v>
      </c>
      <c r="B58" s="1">
        <v>1561528.83</v>
      </c>
      <c r="C58" s="1">
        <v>1556380.97</v>
      </c>
      <c r="D58" s="1">
        <v>1598541.33</v>
      </c>
      <c r="E58" s="1">
        <v>1638582.18</v>
      </c>
      <c r="F58" s="1">
        <v>1588806.52</v>
      </c>
      <c r="G58" s="1">
        <v>1505284.1</v>
      </c>
      <c r="H58" s="1">
        <v>1462114.96</v>
      </c>
      <c r="I58" s="1">
        <v>1504173.8</v>
      </c>
      <c r="J58" s="1">
        <v>1601952.22</v>
      </c>
      <c r="K58" s="1">
        <v>1597650.4</v>
      </c>
      <c r="L58" s="1">
        <v>1600042.06</v>
      </c>
      <c r="M58" s="1">
        <v>1608072.67</v>
      </c>
      <c r="N58" s="3">
        <f t="shared" ref="N58:N61" si="15">SUM(B58:M58)</f>
        <v>18823130.039999999</v>
      </c>
      <c r="P58" s="3"/>
    </row>
    <row r="59" spans="1:16" x14ac:dyDescent="0.2">
      <c r="A59" s="2" t="s">
        <v>32</v>
      </c>
      <c r="B59" s="1">
        <v>1105338.79</v>
      </c>
      <c r="C59" s="1">
        <v>1127142.8500000001</v>
      </c>
      <c r="D59" s="1">
        <v>1073013.7</v>
      </c>
      <c r="E59" s="1">
        <v>1212633.3899999999</v>
      </c>
      <c r="F59" s="1">
        <v>1044503.57</v>
      </c>
      <c r="G59" s="1">
        <v>1068403.94</v>
      </c>
      <c r="H59" s="1">
        <v>1038998.88</v>
      </c>
      <c r="I59" s="1">
        <v>947370.73</v>
      </c>
      <c r="J59" s="1">
        <v>1098021.3700000001</v>
      </c>
      <c r="K59" s="1">
        <v>1061605.1299999999</v>
      </c>
      <c r="L59" s="1">
        <v>1159432.25</v>
      </c>
      <c r="M59" s="1">
        <v>1071304.6599999999</v>
      </c>
      <c r="N59" s="3">
        <f t="shared" si="15"/>
        <v>13007769.259999998</v>
      </c>
      <c r="P59" s="3"/>
    </row>
    <row r="60" spans="1:16" x14ac:dyDescent="0.2">
      <c r="A60" s="2" t="s">
        <v>379</v>
      </c>
      <c r="B60" s="1">
        <v>1613960.94</v>
      </c>
      <c r="C60" s="1">
        <v>2031825.97</v>
      </c>
      <c r="D60" s="1">
        <v>1959765.04</v>
      </c>
      <c r="E60" s="1">
        <v>2275699.87</v>
      </c>
      <c r="F60" s="1">
        <v>1844888.73</v>
      </c>
      <c r="G60" s="1">
        <v>2021572.3</v>
      </c>
      <c r="H60" s="1">
        <v>1962519.28</v>
      </c>
      <c r="I60" s="1">
        <v>1665226.63</v>
      </c>
      <c r="J60" s="1">
        <v>2171507.1800000002</v>
      </c>
      <c r="K60" s="1">
        <v>1660681.29</v>
      </c>
      <c r="L60" s="1">
        <v>1497293.06</v>
      </c>
      <c r="M60" s="1">
        <v>1554405.18</v>
      </c>
      <c r="N60" s="3">
        <f t="shared" si="15"/>
        <v>22259345.469999999</v>
      </c>
      <c r="P60" s="3"/>
    </row>
    <row r="61" spans="1:16" s="3" customFormat="1" ht="15" x14ac:dyDescent="0.25">
      <c r="A61" s="2" t="s">
        <v>113</v>
      </c>
      <c r="B61" s="4">
        <f t="shared" ref="B61:M61" si="16">SUM(B58:B60)</f>
        <v>4280828.5600000005</v>
      </c>
      <c r="C61" s="4">
        <f t="shared" si="16"/>
        <v>4715349.79</v>
      </c>
      <c r="D61" s="4">
        <f t="shared" si="16"/>
        <v>4631320.07</v>
      </c>
      <c r="E61" s="4">
        <f t="shared" si="16"/>
        <v>5126915.4399999995</v>
      </c>
      <c r="F61" s="4">
        <f t="shared" si="16"/>
        <v>4478198.82</v>
      </c>
      <c r="G61" s="4">
        <f t="shared" si="16"/>
        <v>4595260.34</v>
      </c>
      <c r="H61" s="4">
        <f t="shared" si="16"/>
        <v>4463633.12</v>
      </c>
      <c r="I61" s="4">
        <f t="shared" si="16"/>
        <v>4116771.16</v>
      </c>
      <c r="J61" s="4">
        <f t="shared" si="16"/>
        <v>4871480.7699999996</v>
      </c>
      <c r="K61" s="4">
        <f t="shared" si="16"/>
        <v>4319936.82</v>
      </c>
      <c r="L61" s="4">
        <f t="shared" si="16"/>
        <v>4256767.37</v>
      </c>
      <c r="M61" s="4">
        <f t="shared" si="16"/>
        <v>4233782.51</v>
      </c>
      <c r="N61" s="3">
        <f t="shared" si="15"/>
        <v>54090244.769999988</v>
      </c>
    </row>
    <row r="62" spans="1:16" ht="15" x14ac:dyDescent="0.25">
      <c r="A62" s="2" t="s">
        <v>114</v>
      </c>
      <c r="B62" s="4">
        <v>0</v>
      </c>
      <c r="C62" s="4">
        <v>0</v>
      </c>
      <c r="D62" s="4">
        <v>0</v>
      </c>
      <c r="E62" s="4">
        <v>0</v>
      </c>
      <c r="F62" s="4">
        <v>0</v>
      </c>
      <c r="G62" s="4">
        <v>0</v>
      </c>
      <c r="H62" s="4">
        <v>0</v>
      </c>
      <c r="I62" s="4">
        <v>0</v>
      </c>
      <c r="J62" s="4">
        <v>0</v>
      </c>
      <c r="K62" s="4">
        <v>0</v>
      </c>
      <c r="L62" s="4">
        <v>0</v>
      </c>
      <c r="M62" s="4">
        <v>0</v>
      </c>
      <c r="N62" s="4">
        <v>0</v>
      </c>
      <c r="P62" s="3"/>
    </row>
    <row r="63" spans="1:16" x14ac:dyDescent="0.2">
      <c r="A63" s="2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P63" s="3"/>
    </row>
    <row r="64" spans="1:16" ht="15" x14ac:dyDescent="0.25">
      <c r="A64" s="2" t="s">
        <v>194</v>
      </c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3"/>
      <c r="P64" s="3"/>
    </row>
    <row r="65" spans="1:16" x14ac:dyDescent="0.2">
      <c r="A65" s="2" t="s">
        <v>375</v>
      </c>
      <c r="B65" s="1">
        <v>87597.444000000003</v>
      </c>
      <c r="C65" s="1">
        <v>84631.491999999998</v>
      </c>
      <c r="D65" s="1">
        <v>126225.602</v>
      </c>
      <c r="E65" s="1">
        <v>195108.80900000001</v>
      </c>
      <c r="F65" s="1">
        <v>201337.30300000001</v>
      </c>
      <c r="G65" s="1">
        <v>210305.31200000001</v>
      </c>
      <c r="H65" s="1">
        <v>210017.342</v>
      </c>
      <c r="I65" s="1">
        <v>192508.152</v>
      </c>
      <c r="J65" s="1">
        <v>216360.37599999999</v>
      </c>
      <c r="K65" s="1">
        <v>203989.42300000001</v>
      </c>
      <c r="L65" s="1">
        <v>163752.66</v>
      </c>
      <c r="M65" s="1">
        <v>121940.942</v>
      </c>
      <c r="N65" s="3">
        <f t="shared" ref="N65:N67" si="17">SUM(B65:M65)</f>
        <v>2013774.8569999998</v>
      </c>
      <c r="P65" s="3"/>
    </row>
    <row r="66" spans="1:16" x14ac:dyDescent="0.2">
      <c r="A66" s="2" t="s">
        <v>376</v>
      </c>
      <c r="B66" s="1">
        <v>121149.11199999999</v>
      </c>
      <c r="C66" s="1">
        <v>108421.30499999999</v>
      </c>
      <c r="D66" s="1">
        <v>194062.125</v>
      </c>
      <c r="E66" s="1">
        <v>557231.17500000005</v>
      </c>
      <c r="F66" s="1">
        <v>825690.08499999996</v>
      </c>
      <c r="G66" s="1">
        <v>1072220.727</v>
      </c>
      <c r="H66" s="1">
        <v>976726.06700000004</v>
      </c>
      <c r="I66" s="1">
        <v>904237.80599999998</v>
      </c>
      <c r="J66" s="1">
        <v>892410.78599999996</v>
      </c>
      <c r="K66" s="1">
        <v>634904.30500000005</v>
      </c>
      <c r="L66" s="1">
        <v>313486.36300000001</v>
      </c>
      <c r="M66" s="1">
        <v>185910.36199999999</v>
      </c>
      <c r="N66" s="3">
        <f t="shared" si="17"/>
        <v>6786450.2179999994</v>
      </c>
      <c r="P66" s="3"/>
    </row>
    <row r="67" spans="1:16" ht="15" x14ac:dyDescent="0.25">
      <c r="A67" s="2" t="s">
        <v>113</v>
      </c>
      <c r="B67" s="4">
        <f t="shared" ref="B67:M67" si="18">SUM(B65:B66)</f>
        <v>208746.55599999998</v>
      </c>
      <c r="C67" s="4">
        <f t="shared" si="18"/>
        <v>193052.79699999999</v>
      </c>
      <c r="D67" s="4">
        <f t="shared" si="18"/>
        <v>320287.72700000001</v>
      </c>
      <c r="E67" s="4">
        <f t="shared" si="18"/>
        <v>752339.98400000005</v>
      </c>
      <c r="F67" s="4">
        <f t="shared" si="18"/>
        <v>1027027.388</v>
      </c>
      <c r="G67" s="4">
        <f t="shared" si="18"/>
        <v>1282526.0389999999</v>
      </c>
      <c r="H67" s="4">
        <f t="shared" si="18"/>
        <v>1186743.409</v>
      </c>
      <c r="I67" s="4">
        <f t="shared" si="18"/>
        <v>1096745.9580000001</v>
      </c>
      <c r="J67" s="4">
        <f t="shared" si="18"/>
        <v>1108771.162</v>
      </c>
      <c r="K67" s="4">
        <f t="shared" si="18"/>
        <v>838893.72800000012</v>
      </c>
      <c r="L67" s="4">
        <f t="shared" si="18"/>
        <v>477239.02300000004</v>
      </c>
      <c r="M67" s="4">
        <f t="shared" si="18"/>
        <v>307851.304</v>
      </c>
      <c r="N67" s="3">
        <f t="shared" si="17"/>
        <v>8800225.0750000011</v>
      </c>
      <c r="P67" s="3"/>
    </row>
    <row r="68" spans="1:16" s="3" customFormat="1" ht="15" x14ac:dyDescent="0.25">
      <c r="A68" s="2" t="s">
        <v>114</v>
      </c>
      <c r="B68" s="4">
        <v>0</v>
      </c>
      <c r="C68" s="4">
        <v>0</v>
      </c>
      <c r="D68" s="4">
        <v>0</v>
      </c>
      <c r="E68" s="4">
        <v>0</v>
      </c>
      <c r="F68" s="4">
        <v>0</v>
      </c>
      <c r="G68" s="4">
        <v>0</v>
      </c>
      <c r="H68" s="4">
        <v>0</v>
      </c>
      <c r="I68" s="4">
        <v>0</v>
      </c>
      <c r="J68" s="4">
        <v>0</v>
      </c>
      <c r="K68" s="4">
        <v>0</v>
      </c>
      <c r="L68" s="4">
        <v>0</v>
      </c>
      <c r="M68" s="4">
        <v>0</v>
      </c>
      <c r="N68" s="4">
        <v>0</v>
      </c>
    </row>
    <row r="69" spans="1:16" ht="15" x14ac:dyDescent="0.25">
      <c r="A69" s="2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3"/>
      <c r="P69" s="3"/>
    </row>
    <row r="70" spans="1:16" ht="15" x14ac:dyDescent="0.25">
      <c r="A70" s="3" t="s">
        <v>197</v>
      </c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3"/>
      <c r="P70" s="3"/>
    </row>
    <row r="71" spans="1:16" x14ac:dyDescent="0.2">
      <c r="A71" s="2" t="s">
        <v>375</v>
      </c>
      <c r="B71" s="1">
        <v>2802.0790000000002</v>
      </c>
      <c r="C71" s="1">
        <v>2546.2429999999999</v>
      </c>
      <c r="D71" s="1">
        <v>2989.864</v>
      </c>
      <c r="E71" s="1">
        <v>3829.4369999999999</v>
      </c>
      <c r="F71" s="1">
        <v>4170.4679999999998</v>
      </c>
      <c r="G71" s="1">
        <v>4091.895</v>
      </c>
      <c r="H71" s="1">
        <v>4058.5680000000002</v>
      </c>
      <c r="I71" s="1">
        <v>4688.7169999999996</v>
      </c>
      <c r="J71" s="1">
        <v>5155.1409999999996</v>
      </c>
      <c r="K71" s="1">
        <v>5215.2560000000003</v>
      </c>
      <c r="L71" s="1">
        <v>3869.3560000000002</v>
      </c>
      <c r="M71" s="1">
        <v>3194.134</v>
      </c>
      <c r="N71" s="3">
        <f t="shared" ref="N71:N73" si="19">SUM(B71:M71)</f>
        <v>46611.157999999996</v>
      </c>
      <c r="P71" s="3"/>
    </row>
    <row r="72" spans="1:16" x14ac:dyDescent="0.2">
      <c r="A72" s="2" t="s">
        <v>376</v>
      </c>
      <c r="B72" s="1">
        <v>4248.6400000000003</v>
      </c>
      <c r="C72" s="1">
        <v>4444.2209999999995</v>
      </c>
      <c r="D72" s="1">
        <v>56483.425999999999</v>
      </c>
      <c r="E72" s="1">
        <v>61449.167000000001</v>
      </c>
      <c r="F72" s="1">
        <v>14082.380999999999</v>
      </c>
      <c r="G72" s="1">
        <v>14404.419</v>
      </c>
      <c r="H72" s="1">
        <v>13643.699000000001</v>
      </c>
      <c r="I72" s="1">
        <v>14034.593999999999</v>
      </c>
      <c r="J72" s="1">
        <v>11875.316000000001</v>
      </c>
      <c r="K72" s="1">
        <v>16755.670999999998</v>
      </c>
      <c r="L72" s="1">
        <v>7262.56</v>
      </c>
      <c r="M72" s="1">
        <v>5377.2150000000001</v>
      </c>
      <c r="N72" s="3">
        <f t="shared" si="19"/>
        <v>224061.30899999998</v>
      </c>
      <c r="P72" s="3"/>
    </row>
    <row r="73" spans="1:16" ht="15" x14ac:dyDescent="0.25">
      <c r="A73" s="2" t="s">
        <v>113</v>
      </c>
      <c r="B73" s="4">
        <f t="shared" ref="B73:M73" si="20">SUM(B71:B72)</f>
        <v>7050.719000000001</v>
      </c>
      <c r="C73" s="4">
        <f t="shared" si="20"/>
        <v>6990.4639999999999</v>
      </c>
      <c r="D73" s="4">
        <f t="shared" si="20"/>
        <v>59473.29</v>
      </c>
      <c r="E73" s="4">
        <f t="shared" si="20"/>
        <v>65278.603999999999</v>
      </c>
      <c r="F73" s="4">
        <f t="shared" si="20"/>
        <v>18252.848999999998</v>
      </c>
      <c r="G73" s="4">
        <f t="shared" si="20"/>
        <v>18496.313999999998</v>
      </c>
      <c r="H73" s="4">
        <f t="shared" si="20"/>
        <v>17702.267</v>
      </c>
      <c r="I73" s="4">
        <f t="shared" si="20"/>
        <v>18723.310999999998</v>
      </c>
      <c r="J73" s="4">
        <f t="shared" si="20"/>
        <v>17030.457000000002</v>
      </c>
      <c r="K73" s="4">
        <f t="shared" si="20"/>
        <v>21970.927</v>
      </c>
      <c r="L73" s="4">
        <f t="shared" si="20"/>
        <v>11131.916000000001</v>
      </c>
      <c r="M73" s="4">
        <f t="shared" si="20"/>
        <v>8571.3490000000002</v>
      </c>
      <c r="N73" s="3">
        <f t="shared" si="19"/>
        <v>270672.46699999995</v>
      </c>
      <c r="P73" s="3"/>
    </row>
    <row r="74" spans="1:16" ht="15" x14ac:dyDescent="0.25">
      <c r="A74" s="2" t="s">
        <v>114</v>
      </c>
      <c r="B74" s="4">
        <v>0</v>
      </c>
      <c r="C74" s="4">
        <v>0</v>
      </c>
      <c r="D74" s="4">
        <v>0</v>
      </c>
      <c r="E74" s="4">
        <v>0</v>
      </c>
      <c r="F74" s="4">
        <v>0</v>
      </c>
      <c r="G74" s="4">
        <v>0</v>
      </c>
      <c r="H74" s="4">
        <v>0</v>
      </c>
      <c r="I74" s="4">
        <v>0</v>
      </c>
      <c r="J74" s="4">
        <v>0</v>
      </c>
      <c r="K74" s="4">
        <v>0</v>
      </c>
      <c r="L74" s="4">
        <v>0</v>
      </c>
      <c r="M74" s="4">
        <v>0</v>
      </c>
      <c r="N74" s="4">
        <v>0</v>
      </c>
      <c r="P74" s="3"/>
    </row>
    <row r="75" spans="1:16" s="3" customFormat="1" x14ac:dyDescent="0.2"/>
    <row r="76" spans="1:16" ht="15" x14ac:dyDescent="0.25">
      <c r="A76" s="3" t="s">
        <v>320</v>
      </c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3"/>
      <c r="P76" s="3"/>
    </row>
    <row r="77" spans="1:16" x14ac:dyDescent="0.2">
      <c r="A77" s="2" t="s">
        <v>375</v>
      </c>
      <c r="B77" s="1">
        <v>2000</v>
      </c>
      <c r="C77" s="1">
        <v>2000</v>
      </c>
      <c r="D77" s="1">
        <v>2000</v>
      </c>
      <c r="E77" s="1">
        <v>2000</v>
      </c>
      <c r="F77" s="1">
        <v>2000</v>
      </c>
      <c r="G77" s="1">
        <v>2000</v>
      </c>
      <c r="H77" s="1">
        <v>2000</v>
      </c>
      <c r="I77" s="1">
        <v>2000</v>
      </c>
      <c r="J77" s="1">
        <v>2000</v>
      </c>
      <c r="K77" s="1">
        <v>2000</v>
      </c>
      <c r="L77" s="1">
        <v>2000</v>
      </c>
      <c r="M77" s="1">
        <v>1930.91</v>
      </c>
      <c r="N77" s="3">
        <f t="shared" ref="N77:N79" si="21">SUM(B77:M77)</f>
        <v>23930.91</v>
      </c>
      <c r="P77" s="3"/>
    </row>
    <row r="78" spans="1:16" x14ac:dyDescent="0.2">
      <c r="A78" s="2" t="s">
        <v>376</v>
      </c>
      <c r="B78" s="1">
        <v>22835.61</v>
      </c>
      <c r="C78" s="1">
        <v>16950.099999999999</v>
      </c>
      <c r="D78" s="1">
        <v>12249</v>
      </c>
      <c r="E78" s="1">
        <v>29358.14</v>
      </c>
      <c r="F78" s="1">
        <v>26587.62</v>
      </c>
      <c r="G78" s="1">
        <v>27791.48</v>
      </c>
      <c r="H78" s="1">
        <v>47343.94</v>
      </c>
      <c r="I78" s="1">
        <v>50603.87</v>
      </c>
      <c r="J78" s="1">
        <v>38825.67</v>
      </c>
      <c r="K78" s="1">
        <v>22785.5</v>
      </c>
      <c r="L78" s="1">
        <v>16363.18</v>
      </c>
      <c r="M78" s="1">
        <v>19011.68</v>
      </c>
      <c r="N78" s="3">
        <f t="shared" si="21"/>
        <v>330705.78999999998</v>
      </c>
      <c r="P78" s="3"/>
    </row>
    <row r="79" spans="1:16" ht="15" x14ac:dyDescent="0.25">
      <c r="A79" s="2" t="s">
        <v>113</v>
      </c>
      <c r="B79" s="4">
        <f t="shared" ref="B79:M79" si="22">SUM(B77:B78)</f>
        <v>24835.61</v>
      </c>
      <c r="C79" s="4">
        <f t="shared" si="22"/>
        <v>18950.099999999999</v>
      </c>
      <c r="D79" s="4">
        <f t="shared" si="22"/>
        <v>14249</v>
      </c>
      <c r="E79" s="4">
        <f t="shared" si="22"/>
        <v>31358.14</v>
      </c>
      <c r="F79" s="4">
        <f t="shared" si="22"/>
        <v>28587.62</v>
      </c>
      <c r="G79" s="4">
        <f t="shared" si="22"/>
        <v>29791.48</v>
      </c>
      <c r="H79" s="4">
        <f t="shared" si="22"/>
        <v>49343.94</v>
      </c>
      <c r="I79" s="4">
        <f t="shared" si="22"/>
        <v>52603.87</v>
      </c>
      <c r="J79" s="4">
        <f t="shared" si="22"/>
        <v>40825.67</v>
      </c>
      <c r="K79" s="4">
        <f t="shared" si="22"/>
        <v>24785.5</v>
      </c>
      <c r="L79" s="4">
        <f t="shared" si="22"/>
        <v>18363.18</v>
      </c>
      <c r="M79" s="4">
        <f t="shared" si="22"/>
        <v>20942.59</v>
      </c>
      <c r="N79" s="3">
        <f t="shared" si="21"/>
        <v>354636.7</v>
      </c>
      <c r="P79" s="3"/>
    </row>
    <row r="80" spans="1:16" ht="15" x14ac:dyDescent="0.25">
      <c r="A80" s="2" t="s">
        <v>114</v>
      </c>
      <c r="B80" s="4">
        <v>0</v>
      </c>
      <c r="C80" s="4">
        <v>0</v>
      </c>
      <c r="D80" s="4">
        <v>0</v>
      </c>
      <c r="E80" s="4">
        <v>0</v>
      </c>
      <c r="F80" s="4">
        <v>0</v>
      </c>
      <c r="G80" s="4">
        <v>0</v>
      </c>
      <c r="H80" s="4">
        <v>0</v>
      </c>
      <c r="I80" s="4">
        <v>0</v>
      </c>
      <c r="J80" s="4">
        <v>0</v>
      </c>
      <c r="K80" s="4">
        <v>0</v>
      </c>
      <c r="L80" s="4">
        <v>0</v>
      </c>
      <c r="M80" s="4">
        <v>0</v>
      </c>
      <c r="N80" s="4">
        <v>0</v>
      </c>
      <c r="O80" s="4"/>
      <c r="P80" s="3"/>
    </row>
    <row r="81" spans="1:16" x14ac:dyDescent="0.2">
      <c r="P81" s="3"/>
    </row>
    <row r="82" spans="1:16" ht="15" x14ac:dyDescent="0.25">
      <c r="A82" s="9" t="s">
        <v>251</v>
      </c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3"/>
      <c r="P82" s="3"/>
    </row>
    <row r="83" spans="1:16" x14ac:dyDescent="0.2">
      <c r="A83" s="2" t="s">
        <v>31</v>
      </c>
      <c r="B83" s="1">
        <v>125326.542</v>
      </c>
      <c r="C83" s="1">
        <v>129371.92</v>
      </c>
      <c r="D83" s="1">
        <v>122529.114</v>
      </c>
      <c r="E83" s="1">
        <v>124392</v>
      </c>
      <c r="F83" s="1">
        <v>127709.428</v>
      </c>
      <c r="G83" s="1">
        <v>128095.38800000001</v>
      </c>
      <c r="H83" s="1">
        <v>126044.556</v>
      </c>
      <c r="I83" s="1">
        <v>121455.628</v>
      </c>
      <c r="J83" s="1">
        <v>125000</v>
      </c>
      <c r="K83" s="1">
        <v>124138</v>
      </c>
      <c r="L83" s="1">
        <v>127528.666</v>
      </c>
      <c r="M83" s="1">
        <v>121720.43</v>
      </c>
      <c r="N83" s="3">
        <f t="shared" ref="N83:N89" si="23">SUM(B83:M83)</f>
        <v>1503311.6719999998</v>
      </c>
      <c r="P83" s="3"/>
    </row>
    <row r="84" spans="1:16" x14ac:dyDescent="0.2">
      <c r="A84" s="2" t="s">
        <v>32</v>
      </c>
      <c r="B84" s="1">
        <v>114592.44500000001</v>
      </c>
      <c r="C84" s="1">
        <v>109307.538</v>
      </c>
      <c r="D84" s="1">
        <v>114463.791</v>
      </c>
      <c r="E84" s="1">
        <v>124390</v>
      </c>
      <c r="F84" s="1">
        <v>127709.428</v>
      </c>
      <c r="G84" s="1">
        <v>128094.939</v>
      </c>
      <c r="H84" s="1">
        <v>126044.005</v>
      </c>
      <c r="I84" s="1">
        <v>121455.628</v>
      </c>
      <c r="J84" s="1">
        <v>125000</v>
      </c>
      <c r="K84" s="1">
        <v>124138</v>
      </c>
      <c r="L84" s="1">
        <v>127528.666</v>
      </c>
      <c r="M84" s="1">
        <v>112863.99</v>
      </c>
      <c r="N84" s="3">
        <f t="shared" si="23"/>
        <v>1455588.43</v>
      </c>
      <c r="P84" s="3"/>
    </row>
    <row r="85" spans="1:16" s="3" customFormat="1" x14ac:dyDescent="0.2">
      <c r="A85" s="2" t="s">
        <v>33</v>
      </c>
      <c r="B85" s="1">
        <v>180356.14300000001</v>
      </c>
      <c r="C85" s="1">
        <v>176480.61199999999</v>
      </c>
      <c r="D85" s="1">
        <v>173372.95800000001</v>
      </c>
      <c r="E85" s="1">
        <v>232697.61600000001</v>
      </c>
      <c r="F85" s="1">
        <v>255418.85800000001</v>
      </c>
      <c r="G85" s="1">
        <v>256190.77499999999</v>
      </c>
      <c r="H85" s="1">
        <v>252089.111</v>
      </c>
      <c r="I85" s="1">
        <v>242911.25599999999</v>
      </c>
      <c r="J85" s="1">
        <v>250000</v>
      </c>
      <c r="K85" s="1">
        <v>248276</v>
      </c>
      <c r="L85" s="1">
        <v>197462.139</v>
      </c>
      <c r="M85" s="1">
        <v>175211.476</v>
      </c>
      <c r="N85" s="3">
        <f t="shared" si="23"/>
        <v>2640466.9439999997</v>
      </c>
    </row>
    <row r="86" spans="1:16" x14ac:dyDescent="0.2">
      <c r="A86" s="2" t="s">
        <v>34</v>
      </c>
      <c r="B86" s="1">
        <v>114768.774</v>
      </c>
      <c r="C86" s="1">
        <v>103785.11</v>
      </c>
      <c r="D86" s="1">
        <v>126069.992</v>
      </c>
      <c r="E86" s="1">
        <v>242950.46100000001</v>
      </c>
      <c r="F86" s="1">
        <v>336625.147</v>
      </c>
      <c r="G86" s="1">
        <v>422860.33600000001</v>
      </c>
      <c r="H86" s="1">
        <v>394483.83799999999</v>
      </c>
      <c r="I86" s="1">
        <v>439683.32199999999</v>
      </c>
      <c r="J86" s="1">
        <v>443482.08899999998</v>
      </c>
      <c r="K86" s="1">
        <v>318372.07799999998</v>
      </c>
      <c r="L86" s="1">
        <v>167686.50099999999</v>
      </c>
      <c r="M86" s="1">
        <v>115520.219</v>
      </c>
      <c r="N86" s="3">
        <f t="shared" si="23"/>
        <v>3226287.8670000001</v>
      </c>
      <c r="P86" s="3"/>
    </row>
    <row r="87" spans="1:16" x14ac:dyDescent="0.2">
      <c r="A87" s="2" t="s">
        <v>382</v>
      </c>
      <c r="B87" s="1">
        <v>300000</v>
      </c>
      <c r="C87" s="1">
        <v>300000</v>
      </c>
      <c r="D87" s="1">
        <v>300000</v>
      </c>
      <c r="E87" s="1">
        <v>300000</v>
      </c>
      <c r="F87" s="1">
        <v>331027.71000000002</v>
      </c>
      <c r="G87" s="1">
        <v>360007.41399999999</v>
      </c>
      <c r="H87" s="1">
        <v>336549.57699999999</v>
      </c>
      <c r="I87" s="1">
        <v>311044.71799999999</v>
      </c>
      <c r="J87" s="1">
        <v>310532.62800000003</v>
      </c>
      <c r="K87" s="1">
        <v>310431.10800000001</v>
      </c>
      <c r="L87" s="1">
        <v>300000</v>
      </c>
      <c r="M87" s="1">
        <v>300000</v>
      </c>
      <c r="N87" s="3">
        <f t="shared" si="23"/>
        <v>3759593.1549999998</v>
      </c>
      <c r="P87" s="3"/>
    </row>
    <row r="88" spans="1:16" x14ac:dyDescent="0.2">
      <c r="A88" s="2" t="s">
        <v>383</v>
      </c>
      <c r="B88" s="1">
        <v>370119.23</v>
      </c>
      <c r="C88" s="1">
        <v>372287.8</v>
      </c>
      <c r="D88" s="1">
        <v>461018.17</v>
      </c>
      <c r="E88" s="1">
        <v>933896.82</v>
      </c>
      <c r="F88" s="1">
        <v>1163381.78</v>
      </c>
      <c r="G88" s="1">
        <v>1522228.63</v>
      </c>
      <c r="H88" s="1">
        <v>1252862.32</v>
      </c>
      <c r="I88" s="1">
        <v>1269495.21</v>
      </c>
      <c r="J88" s="1">
        <v>1175929.6599999999</v>
      </c>
      <c r="K88" s="1">
        <v>940895.73</v>
      </c>
      <c r="L88" s="1">
        <v>565504.23</v>
      </c>
      <c r="M88" s="1">
        <v>605234.98</v>
      </c>
      <c r="N88" s="3">
        <f t="shared" si="23"/>
        <v>10632854.560000001</v>
      </c>
      <c r="P88" s="3"/>
    </row>
    <row r="89" spans="1:16" ht="15" x14ac:dyDescent="0.25">
      <c r="A89" s="2" t="s">
        <v>113</v>
      </c>
      <c r="B89" s="4">
        <f t="shared" ref="B89:M89" si="24">SUM(B83:B88)</f>
        <v>1205163.1340000001</v>
      </c>
      <c r="C89" s="4">
        <f t="shared" si="24"/>
        <v>1191232.98</v>
      </c>
      <c r="D89" s="4">
        <f t="shared" si="24"/>
        <v>1297454.0249999999</v>
      </c>
      <c r="E89" s="4">
        <f t="shared" si="24"/>
        <v>1958326.8969999999</v>
      </c>
      <c r="F89" s="4">
        <f t="shared" si="24"/>
        <v>2341872.3509999998</v>
      </c>
      <c r="G89" s="4">
        <f t="shared" si="24"/>
        <v>2817477.4819999998</v>
      </c>
      <c r="H89" s="4">
        <f t="shared" si="24"/>
        <v>2488073.4070000001</v>
      </c>
      <c r="I89" s="4">
        <f t="shared" si="24"/>
        <v>2506045.7620000001</v>
      </c>
      <c r="J89" s="4">
        <f t="shared" si="24"/>
        <v>2429944.3769999999</v>
      </c>
      <c r="K89" s="4">
        <f t="shared" si="24"/>
        <v>2066250.916</v>
      </c>
      <c r="L89" s="4">
        <f t="shared" si="24"/>
        <v>1485710.202</v>
      </c>
      <c r="M89" s="4">
        <f t="shared" si="24"/>
        <v>1430551.095</v>
      </c>
      <c r="N89" s="3">
        <f t="shared" si="23"/>
        <v>23218102.627999999</v>
      </c>
      <c r="P89" s="3"/>
    </row>
    <row r="90" spans="1:16" ht="15" x14ac:dyDescent="0.25">
      <c r="A90" s="2" t="s">
        <v>114</v>
      </c>
      <c r="B90" s="4">
        <v>0</v>
      </c>
      <c r="C90" s="4">
        <v>0</v>
      </c>
      <c r="D90" s="4">
        <v>0</v>
      </c>
      <c r="E90" s="4">
        <v>0</v>
      </c>
      <c r="F90" s="4">
        <v>0</v>
      </c>
      <c r="G90" s="4">
        <v>0</v>
      </c>
      <c r="H90" s="4">
        <v>0</v>
      </c>
      <c r="I90" s="4">
        <v>0</v>
      </c>
      <c r="J90" s="4">
        <v>0</v>
      </c>
      <c r="K90" s="4">
        <v>0</v>
      </c>
      <c r="L90" s="4">
        <v>0</v>
      </c>
      <c r="M90" s="4">
        <v>0</v>
      </c>
      <c r="N90" s="4">
        <v>0</v>
      </c>
      <c r="P90" s="3"/>
    </row>
    <row r="91" spans="1:16" ht="15" x14ac:dyDescent="0.25">
      <c r="A91" s="2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3"/>
      <c r="P91" s="3"/>
    </row>
    <row r="92" spans="1:16" ht="15" x14ac:dyDescent="0.25">
      <c r="A92" s="9" t="s">
        <v>253</v>
      </c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3"/>
      <c r="P92" s="3"/>
    </row>
    <row r="93" spans="1:16" x14ac:dyDescent="0.2">
      <c r="A93" s="2" t="s">
        <v>31</v>
      </c>
      <c r="B93" s="1">
        <v>0</v>
      </c>
      <c r="C93" s="1">
        <v>0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3">
        <f t="shared" ref="N93:N98" si="25">SUM(B93:J93)</f>
        <v>0</v>
      </c>
      <c r="P93" s="3"/>
    </row>
    <row r="94" spans="1:16" x14ac:dyDescent="0.2">
      <c r="A94" s="2" t="s">
        <v>32</v>
      </c>
      <c r="B94" s="1">
        <v>0</v>
      </c>
      <c r="C94" s="1">
        <v>0</v>
      </c>
      <c r="D94" s="1">
        <v>0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3">
        <f t="shared" si="25"/>
        <v>0</v>
      </c>
      <c r="P94" s="3"/>
    </row>
    <row r="95" spans="1:16" x14ac:dyDescent="0.2">
      <c r="A95" s="2" t="s">
        <v>33</v>
      </c>
      <c r="B95" s="1">
        <v>0</v>
      </c>
      <c r="C95" s="1">
        <v>0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3">
        <f t="shared" si="25"/>
        <v>0</v>
      </c>
      <c r="P95" s="3"/>
    </row>
    <row r="96" spans="1:16" x14ac:dyDescent="0.2">
      <c r="A96" s="2" t="s">
        <v>34</v>
      </c>
      <c r="B96" s="1">
        <v>0</v>
      </c>
      <c r="C96" s="1">
        <v>0</v>
      </c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3">
        <f t="shared" si="25"/>
        <v>0</v>
      </c>
      <c r="P96" s="3"/>
    </row>
    <row r="97" spans="1:16" x14ac:dyDescent="0.2">
      <c r="A97" s="2" t="s">
        <v>382</v>
      </c>
      <c r="B97" s="1">
        <v>0</v>
      </c>
      <c r="C97" s="1">
        <v>0</v>
      </c>
      <c r="D97" s="1">
        <v>0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3">
        <f t="shared" si="25"/>
        <v>0</v>
      </c>
      <c r="P97" s="3"/>
    </row>
    <row r="98" spans="1:16" x14ac:dyDescent="0.2">
      <c r="A98" s="2" t="s">
        <v>383</v>
      </c>
      <c r="B98" s="1">
        <v>0</v>
      </c>
      <c r="C98" s="1">
        <v>0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3">
        <f t="shared" si="25"/>
        <v>0</v>
      </c>
      <c r="P98" s="3"/>
    </row>
    <row r="99" spans="1:16" ht="15" x14ac:dyDescent="0.25">
      <c r="A99" s="2" t="s">
        <v>113</v>
      </c>
      <c r="B99" s="4">
        <f t="shared" ref="B99:M99" si="26">SUM(B93:B98)</f>
        <v>0</v>
      </c>
      <c r="C99" s="4">
        <f t="shared" si="26"/>
        <v>0</v>
      </c>
      <c r="D99" s="4">
        <f t="shared" si="26"/>
        <v>0</v>
      </c>
      <c r="E99" s="4">
        <f t="shared" si="26"/>
        <v>0</v>
      </c>
      <c r="F99" s="4">
        <f t="shared" si="26"/>
        <v>0</v>
      </c>
      <c r="G99" s="4">
        <f t="shared" si="26"/>
        <v>0</v>
      </c>
      <c r="H99" s="4">
        <f t="shared" si="26"/>
        <v>0</v>
      </c>
      <c r="I99" s="4">
        <f t="shared" si="26"/>
        <v>0</v>
      </c>
      <c r="J99" s="4">
        <f t="shared" si="26"/>
        <v>0</v>
      </c>
      <c r="K99" s="4">
        <f t="shared" si="26"/>
        <v>0</v>
      </c>
      <c r="L99" s="4">
        <f t="shared" si="26"/>
        <v>0</v>
      </c>
      <c r="M99" s="4">
        <f t="shared" si="26"/>
        <v>0</v>
      </c>
      <c r="N99" s="3">
        <f>SUM(N93:N98)</f>
        <v>0</v>
      </c>
      <c r="P99" s="3"/>
    </row>
    <row r="100" spans="1:16" x14ac:dyDescent="0.2">
      <c r="P100" s="3"/>
    </row>
    <row r="101" spans="1:16" ht="15" x14ac:dyDescent="0.25">
      <c r="A101" s="2" t="s">
        <v>381</v>
      </c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3"/>
      <c r="P101" s="3"/>
    </row>
    <row r="102" spans="1:16" x14ac:dyDescent="0.2">
      <c r="A102" s="2" t="s">
        <v>31</v>
      </c>
      <c r="B102" s="1">
        <v>75000</v>
      </c>
      <c r="C102" s="1">
        <v>75000</v>
      </c>
      <c r="D102" s="1">
        <v>75000</v>
      </c>
      <c r="E102" s="1">
        <v>75000</v>
      </c>
      <c r="F102" s="1">
        <v>75000</v>
      </c>
      <c r="G102" s="1">
        <v>75000</v>
      </c>
      <c r="H102" s="1">
        <v>75000</v>
      </c>
      <c r="I102" s="1">
        <v>75000</v>
      </c>
      <c r="J102" s="1">
        <v>75000</v>
      </c>
      <c r="K102" s="1">
        <v>75000</v>
      </c>
      <c r="L102" s="1">
        <v>75000</v>
      </c>
      <c r="M102" s="1">
        <v>75000</v>
      </c>
      <c r="N102" s="3">
        <f t="shared" ref="N102:N108" si="27">SUM(B102:M102)</f>
        <v>900000</v>
      </c>
      <c r="P102" s="3"/>
    </row>
    <row r="103" spans="1:16" x14ac:dyDescent="0.2">
      <c r="A103" s="2" t="s">
        <v>32</v>
      </c>
      <c r="B103" s="1">
        <v>75000</v>
      </c>
      <c r="C103" s="1">
        <v>75000</v>
      </c>
      <c r="D103" s="1">
        <v>75000</v>
      </c>
      <c r="E103" s="1">
        <v>75000</v>
      </c>
      <c r="F103" s="1">
        <v>75000</v>
      </c>
      <c r="G103" s="1">
        <v>75000</v>
      </c>
      <c r="H103" s="1">
        <v>75000</v>
      </c>
      <c r="I103" s="1">
        <v>75000</v>
      </c>
      <c r="J103" s="1">
        <v>75000</v>
      </c>
      <c r="K103" s="1">
        <v>75000</v>
      </c>
      <c r="L103" s="1">
        <v>75000</v>
      </c>
      <c r="M103" s="1">
        <v>75000</v>
      </c>
      <c r="N103" s="3">
        <f t="shared" si="27"/>
        <v>900000</v>
      </c>
      <c r="P103" s="3"/>
    </row>
    <row r="104" spans="1:16" x14ac:dyDescent="0.2">
      <c r="A104" s="2" t="s">
        <v>33</v>
      </c>
      <c r="B104" s="1">
        <v>150000</v>
      </c>
      <c r="C104" s="1">
        <v>150000</v>
      </c>
      <c r="D104" s="1">
        <v>150000</v>
      </c>
      <c r="E104" s="1">
        <v>150000</v>
      </c>
      <c r="F104" s="1">
        <v>150000</v>
      </c>
      <c r="G104" s="1">
        <v>150000</v>
      </c>
      <c r="H104" s="1">
        <v>150000</v>
      </c>
      <c r="I104" s="1">
        <v>150000</v>
      </c>
      <c r="J104" s="1">
        <v>150000</v>
      </c>
      <c r="K104" s="1">
        <v>150000</v>
      </c>
      <c r="L104" s="1">
        <v>150000</v>
      </c>
      <c r="M104" s="1">
        <v>150000</v>
      </c>
      <c r="N104" s="3">
        <f t="shared" si="27"/>
        <v>1800000</v>
      </c>
      <c r="P104" s="3"/>
    </row>
    <row r="105" spans="1:16" x14ac:dyDescent="0.2">
      <c r="A105" s="2" t="s">
        <v>34</v>
      </c>
      <c r="B105" s="1">
        <v>244453.73</v>
      </c>
      <c r="C105" s="1">
        <v>234340.93</v>
      </c>
      <c r="D105" s="1">
        <v>257608.69</v>
      </c>
      <c r="E105" s="1">
        <v>300000</v>
      </c>
      <c r="F105" s="1">
        <v>300000</v>
      </c>
      <c r="G105" s="1">
        <v>288420.19</v>
      </c>
      <c r="H105" s="1">
        <v>300000</v>
      </c>
      <c r="I105" s="1">
        <v>285133.58</v>
      </c>
      <c r="J105" s="1">
        <v>300000</v>
      </c>
      <c r="K105" s="1">
        <v>298043.53000000003</v>
      </c>
      <c r="L105" s="1">
        <v>296265.65999999997</v>
      </c>
      <c r="M105" s="1">
        <v>273725.57</v>
      </c>
      <c r="N105" s="3">
        <f t="shared" si="27"/>
        <v>3377991.8800000004</v>
      </c>
      <c r="P105" s="3"/>
    </row>
    <row r="106" spans="1:16" x14ac:dyDescent="0.2">
      <c r="A106" s="2" t="s">
        <v>382</v>
      </c>
      <c r="B106" s="1">
        <v>300000</v>
      </c>
      <c r="C106" s="1">
        <v>316042.11</v>
      </c>
      <c r="D106" s="1">
        <v>300786.53999999998</v>
      </c>
      <c r="E106" s="1">
        <v>338474.39</v>
      </c>
      <c r="F106" s="1">
        <v>379525.37</v>
      </c>
      <c r="G106" s="1">
        <v>441377.2</v>
      </c>
      <c r="H106" s="1">
        <v>400382.23</v>
      </c>
      <c r="I106" s="1">
        <v>416073.24</v>
      </c>
      <c r="J106" s="1">
        <v>403591.12</v>
      </c>
      <c r="K106" s="1">
        <v>353892.31</v>
      </c>
      <c r="L106" s="1">
        <v>308957.49</v>
      </c>
      <c r="M106" s="1">
        <v>305164.2</v>
      </c>
      <c r="N106" s="3">
        <f t="shared" si="27"/>
        <v>4264266.2</v>
      </c>
      <c r="P106" s="3"/>
    </row>
    <row r="107" spans="1:16" x14ac:dyDescent="0.2">
      <c r="A107" s="2" t="s">
        <v>383</v>
      </c>
      <c r="B107" s="1">
        <v>239677.48</v>
      </c>
      <c r="C107" s="1">
        <v>225878.71</v>
      </c>
      <c r="D107" s="1">
        <v>245931.94</v>
      </c>
      <c r="E107" s="1">
        <v>555742.63</v>
      </c>
      <c r="F107" s="1">
        <v>831866.69</v>
      </c>
      <c r="G107" s="1">
        <v>1084877.25</v>
      </c>
      <c r="H107" s="1">
        <v>951077.64</v>
      </c>
      <c r="I107" s="1">
        <v>959887.13</v>
      </c>
      <c r="J107" s="1">
        <v>853851.53</v>
      </c>
      <c r="K107" s="1">
        <v>647925.04</v>
      </c>
      <c r="L107" s="1">
        <v>373466.7</v>
      </c>
      <c r="M107" s="1">
        <v>289151.18</v>
      </c>
      <c r="N107" s="3">
        <f t="shared" si="27"/>
        <v>7259333.9200000009</v>
      </c>
      <c r="P107" s="3"/>
    </row>
    <row r="108" spans="1:16" ht="15" x14ac:dyDescent="0.25">
      <c r="A108" s="2" t="s">
        <v>113</v>
      </c>
      <c r="B108" s="4">
        <f t="shared" ref="B108:M108" si="28">SUM(B102:B107)</f>
        <v>1084131.21</v>
      </c>
      <c r="C108" s="4">
        <f t="shared" si="28"/>
        <v>1076261.75</v>
      </c>
      <c r="D108" s="4">
        <f t="shared" si="28"/>
        <v>1104327.17</v>
      </c>
      <c r="E108" s="4">
        <f t="shared" si="28"/>
        <v>1494217.02</v>
      </c>
      <c r="F108" s="4">
        <f t="shared" si="28"/>
        <v>1811392.06</v>
      </c>
      <c r="G108" s="4">
        <f t="shared" si="28"/>
        <v>2114674.6399999997</v>
      </c>
      <c r="H108" s="4">
        <f t="shared" si="28"/>
        <v>1951459.87</v>
      </c>
      <c r="I108" s="4">
        <f t="shared" si="28"/>
        <v>1961093.9500000002</v>
      </c>
      <c r="J108" s="4">
        <f t="shared" si="28"/>
        <v>1857442.65</v>
      </c>
      <c r="K108" s="4">
        <f t="shared" si="28"/>
        <v>1599860.8800000001</v>
      </c>
      <c r="L108" s="4">
        <f t="shared" si="28"/>
        <v>1278689.8499999999</v>
      </c>
      <c r="M108" s="4">
        <f t="shared" si="28"/>
        <v>1168040.95</v>
      </c>
      <c r="N108" s="3">
        <f t="shared" si="27"/>
        <v>18501592.000000004</v>
      </c>
      <c r="P108" s="3"/>
    </row>
    <row r="109" spans="1:16" ht="15" x14ac:dyDescent="0.25">
      <c r="A109" s="2" t="s">
        <v>114</v>
      </c>
      <c r="B109" s="4">
        <v>0</v>
      </c>
      <c r="C109" s="4">
        <v>0</v>
      </c>
      <c r="D109" s="4">
        <v>0</v>
      </c>
      <c r="E109" s="4">
        <v>0</v>
      </c>
      <c r="F109" s="4">
        <v>0</v>
      </c>
      <c r="G109" s="4">
        <v>0</v>
      </c>
      <c r="H109" s="4">
        <v>0</v>
      </c>
      <c r="I109" s="4">
        <v>0</v>
      </c>
      <c r="J109" s="4">
        <v>0</v>
      </c>
      <c r="K109" s="4">
        <v>0</v>
      </c>
      <c r="L109" s="4">
        <v>0</v>
      </c>
      <c r="M109" s="4">
        <v>0</v>
      </c>
      <c r="N109" s="4">
        <v>0</v>
      </c>
      <c r="P109" s="3"/>
    </row>
    <row r="110" spans="1:16" ht="15" x14ac:dyDescent="0.25">
      <c r="A110" s="2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3"/>
      <c r="P110" s="3"/>
    </row>
    <row r="111" spans="1:16" ht="15" x14ac:dyDescent="0.25">
      <c r="A111" s="2" t="s">
        <v>384</v>
      </c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3"/>
      <c r="P111" s="3"/>
    </row>
    <row r="112" spans="1:16" x14ac:dyDescent="0.2">
      <c r="A112" s="2" t="s">
        <v>31</v>
      </c>
      <c r="B112" s="1">
        <v>175000</v>
      </c>
      <c r="C112" s="1">
        <v>175000</v>
      </c>
      <c r="D112" s="1">
        <v>175000</v>
      </c>
      <c r="E112" s="1">
        <v>175000</v>
      </c>
      <c r="F112" s="1">
        <v>175000</v>
      </c>
      <c r="G112" s="1">
        <v>175000</v>
      </c>
      <c r="H112" s="1">
        <v>175000</v>
      </c>
      <c r="I112" s="1">
        <v>175000</v>
      </c>
      <c r="J112" s="1">
        <v>175000</v>
      </c>
      <c r="K112" s="1">
        <v>175000</v>
      </c>
      <c r="L112" s="1">
        <v>175000</v>
      </c>
      <c r="M112" s="1">
        <v>175000</v>
      </c>
      <c r="N112" s="3">
        <f t="shared" ref="N112:N118" si="29">SUM(B112:M112)</f>
        <v>2100000</v>
      </c>
      <c r="P112" s="3"/>
    </row>
    <row r="113" spans="1:16" x14ac:dyDescent="0.2">
      <c r="A113" s="2" t="s">
        <v>32</v>
      </c>
      <c r="B113" s="1">
        <v>175000</v>
      </c>
      <c r="C113" s="1">
        <v>175000</v>
      </c>
      <c r="D113" s="1">
        <v>175000</v>
      </c>
      <c r="E113" s="1">
        <v>175000</v>
      </c>
      <c r="F113" s="1">
        <v>175000</v>
      </c>
      <c r="G113" s="1">
        <v>175000</v>
      </c>
      <c r="H113" s="1">
        <v>175000</v>
      </c>
      <c r="I113" s="1">
        <v>175000</v>
      </c>
      <c r="J113" s="1">
        <v>175000</v>
      </c>
      <c r="K113" s="1">
        <v>175000</v>
      </c>
      <c r="L113" s="1">
        <v>175000</v>
      </c>
      <c r="M113" s="1">
        <v>175000</v>
      </c>
      <c r="N113" s="3">
        <f t="shared" si="29"/>
        <v>2100000</v>
      </c>
      <c r="P113" s="3"/>
    </row>
    <row r="114" spans="1:16" x14ac:dyDescent="0.2">
      <c r="A114" s="2" t="s">
        <v>33</v>
      </c>
      <c r="B114" s="1">
        <v>350000</v>
      </c>
      <c r="C114" s="1">
        <v>350000</v>
      </c>
      <c r="D114" s="1">
        <v>350000</v>
      </c>
      <c r="E114" s="1">
        <v>350000</v>
      </c>
      <c r="F114" s="1">
        <v>350000</v>
      </c>
      <c r="G114" s="1">
        <v>350000</v>
      </c>
      <c r="H114" s="1">
        <v>350000</v>
      </c>
      <c r="I114" s="1">
        <v>350000</v>
      </c>
      <c r="J114" s="1">
        <v>350000</v>
      </c>
      <c r="K114" s="1">
        <v>350000</v>
      </c>
      <c r="L114" s="1">
        <v>350000</v>
      </c>
      <c r="M114" s="1">
        <v>350000</v>
      </c>
      <c r="N114" s="3">
        <f t="shared" si="29"/>
        <v>4200000</v>
      </c>
      <c r="P114" s="3"/>
    </row>
    <row r="115" spans="1:16" x14ac:dyDescent="0.2">
      <c r="A115" s="2" t="s">
        <v>34</v>
      </c>
      <c r="B115" s="1">
        <v>700000</v>
      </c>
      <c r="C115" s="1">
        <v>700000</v>
      </c>
      <c r="D115" s="1">
        <v>700000</v>
      </c>
      <c r="E115" s="1">
        <v>700000</v>
      </c>
      <c r="F115" s="1">
        <v>700000</v>
      </c>
      <c r="G115" s="1">
        <v>700000</v>
      </c>
      <c r="H115" s="1">
        <v>700000</v>
      </c>
      <c r="I115" s="1">
        <v>700000</v>
      </c>
      <c r="J115" s="1">
        <v>700000</v>
      </c>
      <c r="K115" s="1">
        <v>700000</v>
      </c>
      <c r="L115" s="1">
        <v>700000</v>
      </c>
      <c r="M115" s="1">
        <v>700000</v>
      </c>
      <c r="N115" s="3">
        <f t="shared" si="29"/>
        <v>8400000</v>
      </c>
      <c r="P115" s="3"/>
    </row>
    <row r="116" spans="1:16" x14ac:dyDescent="0.2">
      <c r="A116" s="2" t="s">
        <v>382</v>
      </c>
      <c r="B116" s="1">
        <v>1847549.08</v>
      </c>
      <c r="C116" s="1">
        <v>1847484.84</v>
      </c>
      <c r="D116" s="1">
        <v>1807222.67</v>
      </c>
      <c r="E116" s="1">
        <v>1852951.76</v>
      </c>
      <c r="F116" s="1">
        <v>1687800.15</v>
      </c>
      <c r="G116" s="1">
        <v>1869013.47</v>
      </c>
      <c r="H116" s="1">
        <v>1870856.82</v>
      </c>
      <c r="I116" s="1">
        <v>1835996.53</v>
      </c>
      <c r="J116" s="1">
        <v>1852529.04</v>
      </c>
      <c r="K116" s="1">
        <v>1849111.29</v>
      </c>
      <c r="L116" s="1">
        <v>1838962.32</v>
      </c>
      <c r="M116" s="1">
        <v>1829849.35</v>
      </c>
      <c r="N116" s="3">
        <f t="shared" si="29"/>
        <v>21989327.32</v>
      </c>
      <c r="P116" s="3"/>
    </row>
    <row r="117" spans="1:16" x14ac:dyDescent="0.2">
      <c r="A117" s="2" t="s">
        <v>383</v>
      </c>
      <c r="B117" s="1">
        <v>4350747.05</v>
      </c>
      <c r="C117" s="1">
        <v>4487450.4800000004</v>
      </c>
      <c r="D117" s="1">
        <v>4157595.49</v>
      </c>
      <c r="E117" s="1">
        <v>4192031.64</v>
      </c>
      <c r="F117" s="1">
        <v>3179512.33</v>
      </c>
      <c r="G117" s="1">
        <v>4497983.88</v>
      </c>
      <c r="H117" s="1">
        <v>3046424.83</v>
      </c>
      <c r="I117" s="1">
        <v>3670249.91</v>
      </c>
      <c r="J117" s="1">
        <v>4432642.47</v>
      </c>
      <c r="K117" s="1">
        <v>3366516.31</v>
      </c>
      <c r="L117" s="1">
        <v>3714551.69</v>
      </c>
      <c r="M117" s="1">
        <v>3252523.85</v>
      </c>
      <c r="N117" s="3">
        <f t="shared" si="29"/>
        <v>46348229.930000007</v>
      </c>
      <c r="P117" s="3"/>
    </row>
    <row r="118" spans="1:16" ht="15" x14ac:dyDescent="0.25">
      <c r="A118" s="2" t="s">
        <v>113</v>
      </c>
      <c r="B118" s="4">
        <f t="shared" ref="B118:M118" si="30">SUM(B112:B117)</f>
        <v>7598296.1299999999</v>
      </c>
      <c r="C118" s="4">
        <f t="shared" si="30"/>
        <v>7734935.3200000003</v>
      </c>
      <c r="D118" s="4">
        <f t="shared" si="30"/>
        <v>7364818.1600000001</v>
      </c>
      <c r="E118" s="4">
        <f t="shared" si="30"/>
        <v>7444983.4000000004</v>
      </c>
      <c r="F118" s="4">
        <f t="shared" si="30"/>
        <v>6267312.4800000004</v>
      </c>
      <c r="G118" s="4">
        <f t="shared" si="30"/>
        <v>7766997.3499999996</v>
      </c>
      <c r="H118" s="4">
        <f t="shared" si="30"/>
        <v>6317281.6500000004</v>
      </c>
      <c r="I118" s="4">
        <f t="shared" si="30"/>
        <v>6906246.4400000004</v>
      </c>
      <c r="J118" s="4">
        <f t="shared" si="30"/>
        <v>7685171.5099999998</v>
      </c>
      <c r="K118" s="4">
        <f t="shared" si="30"/>
        <v>6615627.5999999996</v>
      </c>
      <c r="L118" s="4">
        <f t="shared" si="30"/>
        <v>6953514.0099999998</v>
      </c>
      <c r="M118" s="4">
        <f t="shared" si="30"/>
        <v>6482373.2000000002</v>
      </c>
      <c r="N118" s="3">
        <f t="shared" si="29"/>
        <v>85137557.25</v>
      </c>
      <c r="P118" s="3"/>
    </row>
    <row r="119" spans="1:16" ht="15" x14ac:dyDescent="0.25">
      <c r="A119" s="2" t="s">
        <v>114</v>
      </c>
      <c r="B119" s="4">
        <v>0</v>
      </c>
      <c r="C119" s="4">
        <v>0</v>
      </c>
      <c r="D119" s="4">
        <v>0</v>
      </c>
      <c r="E119" s="4">
        <v>0</v>
      </c>
      <c r="F119" s="4">
        <v>0</v>
      </c>
      <c r="G119" s="4">
        <v>0</v>
      </c>
      <c r="H119" s="4">
        <v>0</v>
      </c>
      <c r="I119" s="4">
        <v>0</v>
      </c>
      <c r="J119" s="4">
        <v>0</v>
      </c>
      <c r="K119" s="4">
        <v>0</v>
      </c>
      <c r="L119" s="4">
        <v>0</v>
      </c>
      <c r="M119" s="4">
        <v>0</v>
      </c>
      <c r="N119" s="4">
        <v>0</v>
      </c>
      <c r="P119" s="3"/>
    </row>
    <row r="121" spans="1:16" ht="15.75" x14ac:dyDescent="0.25">
      <c r="A121" s="2"/>
      <c r="B121" s="4"/>
      <c r="C121" s="4"/>
      <c r="D121" s="4"/>
      <c r="E121" s="701" t="s">
        <v>591</v>
      </c>
      <c r="H121" s="4"/>
      <c r="I121" s="4"/>
      <c r="J121" s="4"/>
      <c r="K121" s="4"/>
      <c r="L121" s="4"/>
      <c r="M121" s="4"/>
      <c r="N121" s="3"/>
    </row>
    <row r="122" spans="1:16" x14ac:dyDescent="0.2">
      <c r="A122" s="3" t="s">
        <v>198</v>
      </c>
    </row>
    <row r="123" spans="1:16" x14ac:dyDescent="0.2">
      <c r="A123" s="858"/>
      <c r="B123" s="859"/>
      <c r="C123" s="859"/>
      <c r="D123" s="859"/>
      <c r="E123" s="859"/>
      <c r="F123" s="859"/>
      <c r="G123" s="859"/>
      <c r="H123" s="859"/>
      <c r="I123" s="859"/>
      <c r="J123" s="859"/>
      <c r="K123" s="859"/>
      <c r="L123" s="859"/>
      <c r="M123" s="859"/>
      <c r="N123" s="860"/>
    </row>
    <row r="124" spans="1:16" x14ac:dyDescent="0.2">
      <c r="A124" s="861"/>
      <c r="B124" s="862"/>
      <c r="C124" s="862"/>
      <c r="D124" s="862"/>
      <c r="E124" s="862"/>
      <c r="F124" s="862"/>
      <c r="G124" s="862"/>
      <c r="H124" s="862"/>
      <c r="I124" s="862"/>
      <c r="J124" s="862"/>
      <c r="K124" s="862"/>
      <c r="L124" s="862"/>
      <c r="M124" s="862"/>
      <c r="N124" s="863"/>
    </row>
    <row r="125" spans="1:16" ht="20.25" x14ac:dyDescent="0.3">
      <c r="A125" s="861"/>
      <c r="B125" s="862"/>
      <c r="C125" s="862"/>
      <c r="D125" s="862"/>
      <c r="E125" s="862"/>
      <c r="F125" s="867" t="s">
        <v>600</v>
      </c>
      <c r="G125" s="862"/>
      <c r="H125" s="862"/>
      <c r="I125" s="862"/>
      <c r="J125" s="862"/>
      <c r="K125" s="862"/>
      <c r="L125" s="862"/>
      <c r="M125" s="862"/>
      <c r="N125" s="863"/>
    </row>
    <row r="126" spans="1:16" x14ac:dyDescent="0.2">
      <c r="A126" s="861"/>
      <c r="B126" s="862"/>
      <c r="C126" s="862"/>
      <c r="D126" s="862"/>
      <c r="E126" s="862"/>
      <c r="F126" s="862"/>
      <c r="G126" s="862"/>
      <c r="H126" s="862"/>
      <c r="I126" s="862"/>
      <c r="J126" s="862"/>
      <c r="K126" s="862"/>
      <c r="L126" s="862"/>
      <c r="M126" s="862"/>
      <c r="N126" s="863"/>
    </row>
    <row r="127" spans="1:16" x14ac:dyDescent="0.2">
      <c r="A127" s="861"/>
      <c r="B127" s="862"/>
      <c r="C127" s="862"/>
      <c r="D127" s="862"/>
      <c r="E127" s="862"/>
      <c r="F127" s="862"/>
      <c r="G127" s="862"/>
      <c r="H127" s="862"/>
      <c r="I127" s="862"/>
      <c r="J127" s="862"/>
      <c r="K127" s="862"/>
      <c r="L127" s="862"/>
      <c r="M127" s="862"/>
      <c r="N127" s="863"/>
    </row>
    <row r="128" spans="1:16" x14ac:dyDescent="0.2">
      <c r="A128" s="864"/>
      <c r="B128" s="865"/>
      <c r="C128" s="865"/>
      <c r="D128" s="865"/>
      <c r="E128" s="865"/>
      <c r="F128" s="865"/>
      <c r="G128" s="865"/>
      <c r="H128" s="865"/>
      <c r="I128" s="865"/>
      <c r="J128" s="865"/>
      <c r="K128" s="865"/>
      <c r="L128" s="865"/>
      <c r="M128" s="865"/>
      <c r="N128" s="866"/>
    </row>
    <row r="129" spans="1:14" x14ac:dyDescent="0.2">
      <c r="A129" s="2" t="s">
        <v>113</v>
      </c>
      <c r="B129" s="3">
        <f t="shared" ref="B129:M129" si="31">SUM(B123:B128)</f>
        <v>0</v>
      </c>
      <c r="C129" s="3">
        <f t="shared" si="31"/>
        <v>0</v>
      </c>
      <c r="D129" s="3">
        <f t="shared" si="31"/>
        <v>0</v>
      </c>
      <c r="E129" s="3">
        <f t="shared" si="31"/>
        <v>0</v>
      </c>
      <c r="F129" s="3">
        <f t="shared" si="31"/>
        <v>0</v>
      </c>
      <c r="G129" s="3">
        <f t="shared" si="31"/>
        <v>0</v>
      </c>
      <c r="H129" s="3">
        <f t="shared" si="31"/>
        <v>0</v>
      </c>
      <c r="I129" s="3">
        <f t="shared" si="31"/>
        <v>0</v>
      </c>
      <c r="J129" s="3">
        <f t="shared" si="31"/>
        <v>0</v>
      </c>
      <c r="K129" s="3">
        <f t="shared" si="31"/>
        <v>0</v>
      </c>
      <c r="L129" s="3">
        <f t="shared" si="31"/>
        <v>0</v>
      </c>
      <c r="M129" s="3">
        <f t="shared" si="31"/>
        <v>0</v>
      </c>
      <c r="N129" s="3">
        <f t="shared" ref="N129" si="32">SUM(B129:M129)</f>
        <v>0</v>
      </c>
    </row>
    <row r="130" spans="1:14" x14ac:dyDescent="0.2">
      <c r="A130" s="2" t="s">
        <v>114</v>
      </c>
      <c r="B130" s="3">
        <v>0</v>
      </c>
      <c r="C130" s="3">
        <v>0</v>
      </c>
      <c r="D130" s="3">
        <v>0</v>
      </c>
      <c r="E130" s="3">
        <v>0</v>
      </c>
      <c r="F130" s="3">
        <v>0</v>
      </c>
      <c r="G130" s="3">
        <v>0</v>
      </c>
      <c r="H130" s="3">
        <v>0</v>
      </c>
      <c r="I130" s="3">
        <v>0</v>
      </c>
      <c r="J130" s="3">
        <v>0</v>
      </c>
      <c r="K130" s="3">
        <v>0</v>
      </c>
      <c r="L130" s="3">
        <v>0</v>
      </c>
      <c r="M130" s="3">
        <v>0</v>
      </c>
      <c r="N130" s="3">
        <v>0</v>
      </c>
    </row>
    <row r="132" spans="1:14" s="688" customFormat="1" x14ac:dyDescent="0.2">
      <c r="A132" s="707" t="s">
        <v>113</v>
      </c>
      <c r="B132" s="3">
        <f t="shared" ref="B132:M132" si="33">SUM(B12,B19,B26,B33,B40,B47,B54,B61,B67,B73,B79,B89,B108,B118,B129)</f>
        <v>21377850.373999998</v>
      </c>
      <c r="C132" s="3">
        <f t="shared" si="33"/>
        <v>21846100.844999999</v>
      </c>
      <c r="D132" s="3">
        <f t="shared" si="33"/>
        <v>22143868.322000001</v>
      </c>
      <c r="E132" s="3">
        <f t="shared" si="33"/>
        <v>27022213.968999997</v>
      </c>
      <c r="F132" s="3">
        <f t="shared" si="33"/>
        <v>27862955.791999999</v>
      </c>
      <c r="G132" s="3">
        <f t="shared" si="33"/>
        <v>32553279.455000006</v>
      </c>
      <c r="H132" s="3">
        <f t="shared" si="33"/>
        <v>29828184.809</v>
      </c>
      <c r="I132" s="3">
        <f t="shared" si="33"/>
        <v>29444755.211000003</v>
      </c>
      <c r="J132" s="3">
        <f t="shared" si="33"/>
        <v>30959105.772999994</v>
      </c>
      <c r="K132" s="3">
        <f t="shared" si="33"/>
        <v>25996455.854999997</v>
      </c>
      <c r="L132" s="3">
        <f t="shared" si="33"/>
        <v>22793017.468999997</v>
      </c>
      <c r="M132" s="3">
        <f t="shared" si="33"/>
        <v>19248763.327999998</v>
      </c>
      <c r="N132" s="3">
        <f>SUM(N12,N19,N26,N33,N40,N47,N54,N61,N67,N73,N79,N89,N108,N118,N129)</f>
        <v>311076551.20199996</v>
      </c>
    </row>
    <row r="135" spans="1:14" x14ac:dyDescent="0.2">
      <c r="A135" t="s">
        <v>546</v>
      </c>
    </row>
  </sheetData>
  <mergeCells count="4">
    <mergeCell ref="A1:N1"/>
    <mergeCell ref="A2:N2"/>
    <mergeCell ref="A3:N3"/>
    <mergeCell ref="A4:N4"/>
  </mergeCells>
  <printOptions horizontalCentered="1"/>
  <pageMargins left="0.5" right="0.5" top="1" bottom="1" header="0.5" footer="0.5"/>
  <pageSetup scale="66" fitToHeight="6" orientation="landscape" horizontalDpi="300" verticalDpi="300" r:id="rId1"/>
  <headerFooter alignWithMargins="0">
    <oddHeader xml:space="preserve">&amp;C
</oddHeader>
    <oddFooter>&amp;L&amp;F 
&amp;A&amp;C&amp;P&amp;R&amp;D</oddFooter>
  </headerFooter>
  <rowBreaks count="2" manualBreakCount="2">
    <brk id="49" max="13" man="1"/>
    <brk id="91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K1097"/>
  <sheetViews>
    <sheetView zoomScaleNormal="100" workbookViewId="0">
      <pane xSplit="5" ySplit="6" topLeftCell="F823" activePane="bottomRight" state="frozen"/>
      <selection activeCell="A1094" sqref="A1094:XFD1094"/>
      <selection pane="topRight" activeCell="A1094" sqref="A1094:XFD1094"/>
      <selection pane="bottomLeft" activeCell="A1094" sqref="A1094:XFD1094"/>
      <selection pane="bottomRight" activeCell="I867" sqref="I867"/>
    </sheetView>
  </sheetViews>
  <sheetFormatPr defaultRowHeight="12.75" x14ac:dyDescent="0.2"/>
  <cols>
    <col min="1" max="1" width="7.5703125" bestFit="1" customWidth="1"/>
    <col min="2" max="2" width="1.42578125" customWidth="1"/>
    <col min="3" max="3" width="31.42578125" customWidth="1"/>
    <col min="4" max="4" width="8.7109375" bestFit="1" customWidth="1"/>
    <col min="5" max="5" width="12.7109375" bestFit="1" customWidth="1"/>
    <col min="6" max="9" width="12.28515625" bestFit="1" customWidth="1"/>
    <col min="10" max="10" width="12.28515625" customWidth="1"/>
    <col min="11" max="12" width="13.42578125" bestFit="1" customWidth="1"/>
    <col min="13" max="13" width="12.28515625" bestFit="1" customWidth="1"/>
    <col min="14" max="16" width="13.42578125" bestFit="1" customWidth="1"/>
    <col min="17" max="17" width="12.28515625" bestFit="1" customWidth="1"/>
    <col min="18" max="18" width="13.42578125" bestFit="1" customWidth="1"/>
    <col min="19" max="19" width="15.140625" style="30" bestFit="1" customWidth="1"/>
    <col min="21" max="21" width="11.85546875" bestFit="1" customWidth="1"/>
    <col min="22" max="22" width="14.5703125" bestFit="1" customWidth="1"/>
  </cols>
  <sheetData>
    <row r="1" spans="1:19" x14ac:dyDescent="0.2">
      <c r="B1" s="846" t="s">
        <v>1</v>
      </c>
      <c r="C1" s="846"/>
      <c r="D1" s="846"/>
      <c r="E1" s="846"/>
      <c r="F1" s="846"/>
      <c r="G1" s="846"/>
      <c r="H1" s="846"/>
      <c r="I1" s="846"/>
      <c r="J1" s="846"/>
      <c r="K1" s="846"/>
      <c r="L1" s="846"/>
      <c r="M1" s="846"/>
      <c r="N1" s="846"/>
      <c r="O1" s="846"/>
      <c r="P1" s="846"/>
      <c r="Q1" s="846"/>
      <c r="R1" s="846"/>
    </row>
    <row r="2" spans="1:19" x14ac:dyDescent="0.2">
      <c r="B2" s="846" t="s">
        <v>397</v>
      </c>
      <c r="C2" s="846"/>
      <c r="D2" s="846"/>
      <c r="E2" s="846"/>
      <c r="F2" s="846"/>
      <c r="G2" s="846"/>
      <c r="H2" s="846"/>
      <c r="I2" s="846"/>
      <c r="J2" s="846"/>
      <c r="K2" s="846"/>
      <c r="L2" s="846"/>
      <c r="M2" s="846"/>
      <c r="N2" s="846"/>
      <c r="O2" s="846"/>
      <c r="P2" s="846"/>
      <c r="Q2" s="846"/>
      <c r="R2" s="846"/>
    </row>
    <row r="3" spans="1:19" x14ac:dyDescent="0.2">
      <c r="B3" s="846" t="s">
        <v>569</v>
      </c>
      <c r="C3" s="846"/>
      <c r="D3" s="846"/>
      <c r="E3" s="846"/>
      <c r="F3" s="846"/>
      <c r="G3" s="846"/>
      <c r="H3" s="846"/>
      <c r="I3" s="846"/>
      <c r="J3" s="846"/>
      <c r="K3" s="846"/>
      <c r="L3" s="846"/>
      <c r="M3" s="846"/>
      <c r="N3" s="846"/>
      <c r="O3" s="846"/>
      <c r="P3" s="846"/>
      <c r="Q3" s="846"/>
      <c r="R3" s="846"/>
    </row>
    <row r="4" spans="1:19" x14ac:dyDescent="0.2">
      <c r="B4" s="846" t="s">
        <v>542</v>
      </c>
      <c r="C4" s="846"/>
      <c r="D4" s="846"/>
      <c r="E4" s="846"/>
      <c r="F4" s="846"/>
      <c r="G4" s="846"/>
      <c r="H4" s="846"/>
      <c r="I4" s="846"/>
      <c r="J4" s="846"/>
      <c r="K4" s="846"/>
      <c r="L4" s="846"/>
      <c r="M4" s="846"/>
      <c r="N4" s="846"/>
      <c r="O4" s="846"/>
      <c r="P4" s="846"/>
      <c r="Q4" s="846"/>
      <c r="R4" s="846"/>
    </row>
    <row r="5" spans="1:19" s="30" customFormat="1" x14ac:dyDescent="0.2">
      <c r="B5" s="99"/>
      <c r="C5" s="73"/>
      <c r="D5" s="73"/>
      <c r="E5" s="73"/>
      <c r="F5"/>
      <c r="G5"/>
      <c r="H5"/>
      <c r="I5"/>
      <c r="J5"/>
      <c r="K5"/>
      <c r="L5"/>
      <c r="M5"/>
      <c r="N5"/>
      <c r="O5"/>
      <c r="P5"/>
      <c r="Q5"/>
      <c r="R5" s="15"/>
    </row>
    <row r="6" spans="1:19" x14ac:dyDescent="0.2">
      <c r="A6" s="58" t="s">
        <v>115</v>
      </c>
      <c r="B6" s="45" t="s">
        <v>116</v>
      </c>
      <c r="C6" s="45"/>
      <c r="D6" s="16" t="s">
        <v>4</v>
      </c>
      <c r="E6" s="16" t="s">
        <v>2</v>
      </c>
      <c r="F6" s="198">
        <v>42917</v>
      </c>
      <c r="G6" s="198">
        <f>EDATE(F6,1)</f>
        <v>42948</v>
      </c>
      <c r="H6" s="198">
        <f t="shared" ref="H6:Q6" si="0">EDATE(G6,1)</f>
        <v>42979</v>
      </c>
      <c r="I6" s="198">
        <f t="shared" si="0"/>
        <v>43009</v>
      </c>
      <c r="J6" s="198">
        <f t="shared" si="0"/>
        <v>43040</v>
      </c>
      <c r="K6" s="198">
        <f t="shared" si="0"/>
        <v>43070</v>
      </c>
      <c r="L6" s="198">
        <f t="shared" si="0"/>
        <v>43101</v>
      </c>
      <c r="M6" s="198">
        <f t="shared" si="0"/>
        <v>43132</v>
      </c>
      <c r="N6" s="198">
        <f t="shared" si="0"/>
        <v>43160</v>
      </c>
      <c r="O6" s="198">
        <f t="shared" si="0"/>
        <v>43191</v>
      </c>
      <c r="P6" s="198">
        <f t="shared" si="0"/>
        <v>43221</v>
      </c>
      <c r="Q6" s="198">
        <f t="shared" si="0"/>
        <v>43252</v>
      </c>
      <c r="R6" s="16" t="s">
        <v>113</v>
      </c>
      <c r="S6" s="44"/>
    </row>
    <row r="7" spans="1:19" x14ac:dyDescent="0.2">
      <c r="B7" s="15" t="s">
        <v>93</v>
      </c>
      <c r="C7" s="15"/>
    </row>
    <row r="8" spans="1:19" s="30" customFormat="1" x14ac:dyDescent="0.2">
      <c r="B8" s="29" t="s">
        <v>7</v>
      </c>
      <c r="C8" s="29"/>
    </row>
    <row r="9" spans="1:19" s="30" customFormat="1" x14ac:dyDescent="0.2">
      <c r="B9" s="31" t="s">
        <v>3</v>
      </c>
      <c r="C9" s="31"/>
      <c r="D9" s="31">
        <v>16</v>
      </c>
      <c r="E9" t="s">
        <v>13</v>
      </c>
      <c r="F9" s="158">
        <f>'Rate Design Res'!$H$37</f>
        <v>9.69</v>
      </c>
      <c r="G9" s="158">
        <f>'Rate Design Res'!$H$37</f>
        <v>9.69</v>
      </c>
      <c r="H9" s="158">
        <f>'Rate Design Res'!$H$37</f>
        <v>9.69</v>
      </c>
      <c r="I9" s="158">
        <f>'Rate Design Res'!$H$37</f>
        <v>9.69</v>
      </c>
      <c r="J9" s="158">
        <f>'Rate Design Res'!$H$37</f>
        <v>9.69</v>
      </c>
      <c r="K9" s="158">
        <f>'Rate Design Res'!$H$37</f>
        <v>9.69</v>
      </c>
      <c r="L9" s="158">
        <f>'Rate Design Res'!$H$37</f>
        <v>9.69</v>
      </c>
      <c r="M9" s="158">
        <f>'Rate Design Res'!$H$37</f>
        <v>9.69</v>
      </c>
      <c r="N9" s="158">
        <f>'Rate Design Res'!$H$37</f>
        <v>9.69</v>
      </c>
      <c r="O9" s="158">
        <f>'Rate Design Res'!$H$37</f>
        <v>9.69</v>
      </c>
      <c r="P9" s="158">
        <f>'Rate Design Res'!$H$37</f>
        <v>9.69</v>
      </c>
      <c r="Q9" s="158">
        <f>'Rate Design Res'!$H$37</f>
        <v>9.69</v>
      </c>
    </row>
    <row r="10" spans="1:19" s="31" customFormat="1" x14ac:dyDescent="0.2">
      <c r="B10" s="31" t="s">
        <v>307</v>
      </c>
      <c r="D10">
        <v>101</v>
      </c>
      <c r="E10" t="s">
        <v>13</v>
      </c>
      <c r="F10" s="191">
        <v>6.21</v>
      </c>
      <c r="G10" s="191">
        <v>6.21</v>
      </c>
      <c r="H10" s="191">
        <v>6.21</v>
      </c>
      <c r="I10" s="191">
        <v>6.21</v>
      </c>
      <c r="J10" s="191">
        <v>6.21</v>
      </c>
      <c r="K10" s="191">
        <v>6.21</v>
      </c>
      <c r="L10" s="191">
        <v>6.21</v>
      </c>
      <c r="M10" s="191">
        <v>6.21</v>
      </c>
      <c r="N10" s="191">
        <v>6.21</v>
      </c>
      <c r="O10" s="191">
        <v>6.21</v>
      </c>
      <c r="P10" s="191">
        <v>6.21</v>
      </c>
      <c r="Q10" s="191">
        <v>6.21</v>
      </c>
      <c r="R10" s="32"/>
    </row>
    <row r="11" spans="1:19" s="31" customFormat="1" x14ac:dyDescent="0.2">
      <c r="B11" s="31" t="s">
        <v>304</v>
      </c>
      <c r="D11"/>
      <c r="E11"/>
      <c r="F11" s="191">
        <v>5.92</v>
      </c>
      <c r="G11" s="191">
        <v>5.92</v>
      </c>
      <c r="H11" s="191">
        <v>5.92</v>
      </c>
      <c r="I11" s="191">
        <v>5.92</v>
      </c>
      <c r="J11" s="191">
        <v>5.92</v>
      </c>
      <c r="K11" s="191">
        <v>5.92</v>
      </c>
      <c r="L11" s="191">
        <v>5.92</v>
      </c>
      <c r="M11" s="191">
        <v>5.92</v>
      </c>
      <c r="N11" s="191">
        <v>5.92</v>
      </c>
      <c r="O11" s="191">
        <v>5.92</v>
      </c>
      <c r="P11" s="191">
        <v>5.92</v>
      </c>
      <c r="Q11" s="191">
        <v>5.92</v>
      </c>
      <c r="R11" s="32"/>
    </row>
    <row r="12" spans="1:19" s="31" customFormat="1" x14ac:dyDescent="0.2">
      <c r="B12" s="31" t="s">
        <v>550</v>
      </c>
      <c r="D12">
        <v>149</v>
      </c>
      <c r="E12" t="s">
        <v>13</v>
      </c>
      <c r="F12" s="191">
        <v>0.21</v>
      </c>
      <c r="G12" s="191">
        <v>0.21</v>
      </c>
      <c r="H12" s="191">
        <v>0.21</v>
      </c>
      <c r="I12" s="191">
        <v>0.21</v>
      </c>
      <c r="J12" s="191">
        <v>0.21</v>
      </c>
      <c r="K12" s="191">
        <v>0.21</v>
      </c>
      <c r="L12" s="191">
        <v>0.21</v>
      </c>
      <c r="M12" s="191">
        <v>0.21</v>
      </c>
      <c r="N12" s="191">
        <v>0.21</v>
      </c>
      <c r="O12" s="191">
        <v>0.21</v>
      </c>
      <c r="P12" s="191">
        <v>0.21</v>
      </c>
      <c r="Q12" s="191">
        <v>0.21</v>
      </c>
      <c r="R12" s="32"/>
    </row>
    <row r="13" spans="1:19" s="30" customFormat="1" x14ac:dyDescent="0.2"/>
    <row r="14" spans="1:19" s="30" customFormat="1" x14ac:dyDescent="0.2">
      <c r="B14" s="29" t="s">
        <v>8</v>
      </c>
    </row>
    <row r="15" spans="1:19" s="30" customFormat="1" x14ac:dyDescent="0.2">
      <c r="B15" s="31" t="s">
        <v>3</v>
      </c>
      <c r="C15" s="31"/>
      <c r="D15" s="31"/>
      <c r="E15" s="30" t="s">
        <v>11</v>
      </c>
      <c r="F15" s="76">
        <f>'(R) Data'!C10</f>
        <v>43.47768421052632</v>
      </c>
      <c r="G15" s="76">
        <f>'(R) Data'!D10</f>
        <v>43.206684210526319</v>
      </c>
      <c r="H15" s="76">
        <f>'(R) Data'!E10</f>
        <v>40.764105263157894</v>
      </c>
      <c r="I15" s="76">
        <f>'(R) Data'!F10</f>
        <v>43.372736842105262</v>
      </c>
      <c r="J15" s="76">
        <f>'(R) Data'!G10</f>
        <v>41.239421052631577</v>
      </c>
      <c r="K15" s="76">
        <f>'(R) Data'!H10</f>
        <v>42.110894736842106</v>
      </c>
      <c r="L15" s="76">
        <f>'(R) Data'!I10</f>
        <v>41.98047368421053</v>
      </c>
      <c r="M15" s="76">
        <f>'(R) Data'!J10</f>
        <v>38.085421052631581</v>
      </c>
      <c r="N15" s="76">
        <f>'(R) Data'!K10</f>
        <v>43.992421052631578</v>
      </c>
      <c r="O15" s="76">
        <f>'(R) Data'!L10</f>
        <v>43.244789473684207</v>
      </c>
      <c r="P15" s="76">
        <f>'(R) Data'!M10</f>
        <v>43.088157894736838</v>
      </c>
      <c r="Q15" s="76">
        <f>'(R) Data'!N10</f>
        <v>40.281684210526315</v>
      </c>
      <c r="R15" s="107">
        <f>SUM(F15:Q15)</f>
        <v>504.84447368421053</v>
      </c>
    </row>
    <row r="16" spans="1:19" s="30" customFormat="1" x14ac:dyDescent="0.2">
      <c r="B16" s="31" t="s">
        <v>12</v>
      </c>
      <c r="E16" s="37">
        <v>19</v>
      </c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107"/>
    </row>
    <row r="17" spans="1:19" s="30" customFormat="1" x14ac:dyDescent="0.2">
      <c r="B17" s="31" t="s">
        <v>170</v>
      </c>
      <c r="E17" s="37"/>
      <c r="F17" s="107">
        <f t="shared" ref="F17:Q17" si="1">F15*$E$16</f>
        <v>826.07600000000002</v>
      </c>
      <c r="G17" s="107">
        <f t="shared" si="1"/>
        <v>820.92700000000002</v>
      </c>
      <c r="H17" s="107">
        <f t="shared" si="1"/>
        <v>774.51800000000003</v>
      </c>
      <c r="I17" s="107">
        <f t="shared" si="1"/>
        <v>824.08199999999999</v>
      </c>
      <c r="J17" s="107">
        <f t="shared" si="1"/>
        <v>783.54899999999998</v>
      </c>
      <c r="K17" s="107">
        <f t="shared" si="1"/>
        <v>800.10699999999997</v>
      </c>
      <c r="L17" s="107">
        <f t="shared" si="1"/>
        <v>797.62900000000002</v>
      </c>
      <c r="M17" s="107">
        <f t="shared" si="1"/>
        <v>723.62300000000005</v>
      </c>
      <c r="N17" s="107">
        <f t="shared" si="1"/>
        <v>835.85599999999999</v>
      </c>
      <c r="O17" s="107">
        <f t="shared" si="1"/>
        <v>821.65099999999995</v>
      </c>
      <c r="P17" s="107">
        <f t="shared" si="1"/>
        <v>818.67499999999995</v>
      </c>
      <c r="Q17" s="107">
        <f t="shared" si="1"/>
        <v>765.35199999999998</v>
      </c>
      <c r="R17" s="107">
        <f>SUM(F17:Q17)</f>
        <v>9592.0450000000001</v>
      </c>
    </row>
    <row r="18" spans="1:19" s="30" customFormat="1" x14ac:dyDescent="0.2">
      <c r="R18" s="96"/>
    </row>
    <row r="19" spans="1:19" s="30" customFormat="1" x14ac:dyDescent="0.2">
      <c r="B19" s="29" t="s">
        <v>9</v>
      </c>
      <c r="R19" s="96"/>
    </row>
    <row r="20" spans="1:19" s="30" customFormat="1" x14ac:dyDescent="0.2">
      <c r="A20" s="30" t="s">
        <v>147</v>
      </c>
      <c r="B20" s="31" t="s">
        <v>3</v>
      </c>
      <c r="C20" s="31"/>
      <c r="D20" s="31">
        <v>16</v>
      </c>
      <c r="F20" s="34">
        <f t="shared" ref="F20:N20" si="2">F9*F15</f>
        <v>421.29876000000002</v>
      </c>
      <c r="G20" s="34">
        <f t="shared" si="2"/>
        <v>418.67277000000001</v>
      </c>
      <c r="H20" s="34">
        <f t="shared" si="2"/>
        <v>395.00417999999996</v>
      </c>
      <c r="I20" s="34">
        <f t="shared" si="2"/>
        <v>420.28181999999998</v>
      </c>
      <c r="J20" s="34">
        <f t="shared" si="2"/>
        <v>399.60998999999998</v>
      </c>
      <c r="K20" s="34">
        <f t="shared" si="2"/>
        <v>408.05456999999996</v>
      </c>
      <c r="L20" s="34">
        <f t="shared" si="2"/>
        <v>406.79079000000002</v>
      </c>
      <c r="M20" s="34">
        <f t="shared" si="2"/>
        <v>369.04773</v>
      </c>
      <c r="N20" s="34">
        <f t="shared" si="2"/>
        <v>426.28655999999995</v>
      </c>
      <c r="O20" s="34">
        <f t="shared" ref="O20:Q20" si="3">O9*O15</f>
        <v>419.04200999999995</v>
      </c>
      <c r="P20" s="34">
        <f t="shared" si="3"/>
        <v>417.52424999999994</v>
      </c>
      <c r="Q20" s="34">
        <f t="shared" si="3"/>
        <v>390.32951999999995</v>
      </c>
      <c r="R20" s="70">
        <f>SUM(F20:Q20)</f>
        <v>4891.9429499999997</v>
      </c>
    </row>
    <row r="21" spans="1:19" s="30" customFormat="1" x14ac:dyDescent="0.2">
      <c r="A21" s="30" t="s">
        <v>130</v>
      </c>
      <c r="B21" s="31" t="s">
        <v>306</v>
      </c>
      <c r="D21">
        <v>101</v>
      </c>
      <c r="F21" s="36">
        <f>F10*F15</f>
        <v>269.99641894736845</v>
      </c>
      <c r="G21" s="36">
        <f t="shared" ref="G21:N21" si="4">G10*G15</f>
        <v>268.31350894736846</v>
      </c>
      <c r="H21" s="36">
        <f t="shared" si="4"/>
        <v>253.14509368421054</v>
      </c>
      <c r="I21" s="36">
        <f t="shared" si="4"/>
        <v>269.34469578947369</v>
      </c>
      <c r="J21" s="36">
        <f t="shared" si="4"/>
        <v>256.0968047368421</v>
      </c>
      <c r="K21" s="36">
        <f t="shared" si="4"/>
        <v>261.50865631578949</v>
      </c>
      <c r="L21" s="36">
        <f t="shared" si="4"/>
        <v>260.69874157894736</v>
      </c>
      <c r="M21" s="36">
        <f t="shared" si="4"/>
        <v>236.51046473684212</v>
      </c>
      <c r="N21" s="36">
        <f t="shared" si="4"/>
        <v>273.19293473684212</v>
      </c>
      <c r="O21" s="36">
        <f t="shared" ref="O21:Q21" si="5">O10*O15</f>
        <v>268.55014263157892</v>
      </c>
      <c r="P21" s="36">
        <f t="shared" si="5"/>
        <v>267.57746052631575</v>
      </c>
      <c r="Q21" s="36">
        <f t="shared" si="5"/>
        <v>250.14925894736842</v>
      </c>
      <c r="R21" s="70">
        <f>SUM(F21:Q21)</f>
        <v>3135.0841815789481</v>
      </c>
      <c r="S21" s="31"/>
    </row>
    <row r="22" spans="1:19" s="30" customFormat="1" x14ac:dyDescent="0.2">
      <c r="A22" s="30" t="s">
        <v>551</v>
      </c>
      <c r="B22" s="31" t="s">
        <v>552</v>
      </c>
      <c r="D22">
        <v>149</v>
      </c>
      <c r="F22" s="36">
        <f>F12*F15</f>
        <v>9.1303136842105275</v>
      </c>
      <c r="G22" s="36">
        <f t="shared" ref="G22:Q22" si="6">G12*G15</f>
        <v>9.0734036842105272</v>
      </c>
      <c r="H22" s="36">
        <f t="shared" si="6"/>
        <v>8.5604621052631575</v>
      </c>
      <c r="I22" s="36">
        <f t="shared" si="6"/>
        <v>9.1082747368421053</v>
      </c>
      <c r="J22" s="36">
        <f t="shared" si="6"/>
        <v>8.6602784210526309</v>
      </c>
      <c r="K22" s="36">
        <f t="shared" si="6"/>
        <v>8.8432878947368412</v>
      </c>
      <c r="L22" s="36">
        <f t="shared" si="6"/>
        <v>8.8158994736842118</v>
      </c>
      <c r="M22" s="36">
        <f t="shared" si="6"/>
        <v>7.9979384210526314</v>
      </c>
      <c r="N22" s="36">
        <f t="shared" si="6"/>
        <v>9.2384084210526307</v>
      </c>
      <c r="O22" s="36">
        <f t="shared" si="6"/>
        <v>9.081405789473683</v>
      </c>
      <c r="P22" s="36">
        <f t="shared" si="6"/>
        <v>9.0485131578947353</v>
      </c>
      <c r="Q22" s="36">
        <f t="shared" si="6"/>
        <v>8.4591536842105253</v>
      </c>
      <c r="R22" s="622">
        <f>SUM(F22:Q22)</f>
        <v>106.01733947368419</v>
      </c>
      <c r="S22" s="31"/>
    </row>
    <row r="23" spans="1:19" s="30" customFormat="1" x14ac:dyDescent="0.2">
      <c r="B23" t="s">
        <v>24</v>
      </c>
      <c r="F23" s="35">
        <f>SUM(F20:F22)</f>
        <v>700.42549263157889</v>
      </c>
      <c r="G23" s="35">
        <f t="shared" ref="G23:R23" si="7">SUM(G20:G22)</f>
        <v>696.05968263157899</v>
      </c>
      <c r="H23" s="35">
        <f t="shared" si="7"/>
        <v>656.7097357894736</v>
      </c>
      <c r="I23" s="35">
        <f t="shared" si="7"/>
        <v>698.73479052631569</v>
      </c>
      <c r="J23" s="35">
        <f t="shared" si="7"/>
        <v>664.36707315789477</v>
      </c>
      <c r="K23" s="35">
        <f t="shared" si="7"/>
        <v>678.40651421052632</v>
      </c>
      <c r="L23" s="35">
        <f t="shared" si="7"/>
        <v>676.30543105263166</v>
      </c>
      <c r="M23" s="35">
        <f t="shared" si="7"/>
        <v>613.55613315789469</v>
      </c>
      <c r="N23" s="35">
        <f t="shared" si="7"/>
        <v>708.71790315789474</v>
      </c>
      <c r="O23" s="35">
        <f t="shared" si="7"/>
        <v>696.67355842105258</v>
      </c>
      <c r="P23" s="35">
        <f t="shared" si="7"/>
        <v>694.15022368421035</v>
      </c>
      <c r="Q23" s="35">
        <f t="shared" si="7"/>
        <v>648.93793263157886</v>
      </c>
      <c r="R23" s="35">
        <f t="shared" si="7"/>
        <v>8133.0444710526317</v>
      </c>
    </row>
    <row r="24" spans="1:19" x14ac:dyDescent="0.2">
      <c r="D24" s="27"/>
      <c r="E24" s="27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7"/>
    </row>
    <row r="25" spans="1:19" x14ac:dyDescent="0.2">
      <c r="A25" t="s">
        <v>305</v>
      </c>
      <c r="B25" t="s">
        <v>304</v>
      </c>
      <c r="D25" s="27"/>
      <c r="E25" s="27"/>
      <c r="F25" s="36">
        <f t="shared" ref="F25:N25" si="8">F15*F11</f>
        <v>257.3878905263158</v>
      </c>
      <c r="G25" s="36">
        <f t="shared" si="8"/>
        <v>255.7835705263158</v>
      </c>
      <c r="H25" s="36">
        <f t="shared" si="8"/>
        <v>241.32350315789472</v>
      </c>
      <c r="I25" s="36">
        <f t="shared" si="8"/>
        <v>256.76660210526313</v>
      </c>
      <c r="J25" s="36">
        <f t="shared" si="8"/>
        <v>244.13737263157893</v>
      </c>
      <c r="K25" s="36">
        <f t="shared" si="8"/>
        <v>249.29649684210526</v>
      </c>
      <c r="L25" s="36">
        <f t="shared" si="8"/>
        <v>248.52440421052634</v>
      </c>
      <c r="M25" s="36">
        <f t="shared" si="8"/>
        <v>225.46569263157895</v>
      </c>
      <c r="N25" s="36">
        <f t="shared" si="8"/>
        <v>260.43513263157894</v>
      </c>
      <c r="O25" s="36">
        <f t="shared" ref="O25:Q25" si="9">O15*O11</f>
        <v>256.0091536842105</v>
      </c>
      <c r="P25" s="36">
        <f t="shared" si="9"/>
        <v>255.08189473684209</v>
      </c>
      <c r="Q25" s="36">
        <f t="shared" si="9"/>
        <v>238.46757052631577</v>
      </c>
      <c r="R25" s="82">
        <f>SUM(F25:Q25)</f>
        <v>2988.6792842105265</v>
      </c>
      <c r="S25" s="36"/>
    </row>
    <row r="26" spans="1:19" x14ac:dyDescent="0.2">
      <c r="D26" s="27"/>
      <c r="E26" s="27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7"/>
    </row>
    <row r="27" spans="1:19" x14ac:dyDescent="0.2">
      <c r="B27" s="15" t="s">
        <v>27</v>
      </c>
      <c r="C27" s="15"/>
    </row>
    <row r="28" spans="1:19" x14ac:dyDescent="0.2">
      <c r="B28" s="15" t="s">
        <v>7</v>
      </c>
      <c r="C28" s="15"/>
    </row>
    <row r="29" spans="1:19" x14ac:dyDescent="0.2">
      <c r="B29" t="s">
        <v>282</v>
      </c>
      <c r="D29">
        <v>23</v>
      </c>
      <c r="E29" t="s">
        <v>5</v>
      </c>
      <c r="F29" s="159">
        <f>'Rate Design Res'!$H$12</f>
        <v>11</v>
      </c>
      <c r="G29" s="159">
        <f>'Rate Design Res'!$H$12</f>
        <v>11</v>
      </c>
      <c r="H29" s="159">
        <f>'Rate Design Res'!$H$12</f>
        <v>11</v>
      </c>
      <c r="I29" s="159">
        <f>'Rate Design Res'!$H$12</f>
        <v>11</v>
      </c>
      <c r="J29" s="159">
        <f>'Rate Design Res'!$H$12</f>
        <v>11</v>
      </c>
      <c r="K29" s="159">
        <f>'Rate Design Res'!$H$12</f>
        <v>11</v>
      </c>
      <c r="L29" s="159">
        <f>'Rate Design Res'!$H$12</f>
        <v>11</v>
      </c>
      <c r="M29" s="159">
        <f>'Rate Design Res'!$H$12</f>
        <v>11</v>
      </c>
      <c r="N29" s="159">
        <f>'Rate Design Res'!$H$12</f>
        <v>11</v>
      </c>
      <c r="O29" s="159">
        <f>'Rate Design Res'!$H$12</f>
        <v>11</v>
      </c>
      <c r="P29" s="159">
        <f>'Rate Design Res'!$H$12</f>
        <v>11</v>
      </c>
      <c r="Q29" s="159">
        <f>'Rate Design Res'!$H$12</f>
        <v>11</v>
      </c>
      <c r="R29" s="26"/>
    </row>
    <row r="30" spans="1:19" x14ac:dyDescent="0.2">
      <c r="B30" t="s">
        <v>3</v>
      </c>
      <c r="D30">
        <v>23</v>
      </c>
      <c r="E30" t="s">
        <v>6</v>
      </c>
      <c r="F30" s="160">
        <f>'Rate Design Res'!$H$13</f>
        <v>0.34603</v>
      </c>
      <c r="G30" s="160">
        <f>'Rate Design Res'!$H$13</f>
        <v>0.34603</v>
      </c>
      <c r="H30" s="160">
        <f>'Rate Design Res'!$H$13</f>
        <v>0.34603</v>
      </c>
      <c r="I30" s="160">
        <f>'Rate Design Res'!$H$13</f>
        <v>0.34603</v>
      </c>
      <c r="J30" s="160">
        <f>'Rate Design Res'!$H$13</f>
        <v>0.34603</v>
      </c>
      <c r="K30" s="160">
        <f>'Rate Design Res'!$H$13</f>
        <v>0.34603</v>
      </c>
      <c r="L30" s="160">
        <f>'Rate Design Res'!$H$13</f>
        <v>0.34603</v>
      </c>
      <c r="M30" s="160">
        <f>'Rate Design Res'!$H$13</f>
        <v>0.34603</v>
      </c>
      <c r="N30" s="160">
        <f>'Rate Design Res'!$H$13</f>
        <v>0.34603</v>
      </c>
      <c r="O30" s="160">
        <f>'Rate Design Res'!$H$13</f>
        <v>0.34603</v>
      </c>
      <c r="P30" s="160">
        <f>'Rate Design Res'!$H$13</f>
        <v>0.34603</v>
      </c>
      <c r="Q30" s="160">
        <f>'Rate Design Res'!$H$13</f>
        <v>0.34603</v>
      </c>
      <c r="R30" s="20"/>
    </row>
    <row r="31" spans="1:19" x14ac:dyDescent="0.2">
      <c r="B31" t="s">
        <v>307</v>
      </c>
      <c r="D31">
        <v>101</v>
      </c>
      <c r="E31" t="s">
        <v>6</v>
      </c>
      <c r="F31" s="182">
        <v>0.32665</v>
      </c>
      <c r="G31" s="182">
        <v>0.32665</v>
      </c>
      <c r="H31" s="182">
        <v>0.32665</v>
      </c>
      <c r="I31" s="182">
        <v>0.32665</v>
      </c>
      <c r="J31" s="182">
        <v>0.32665</v>
      </c>
      <c r="K31" s="182">
        <v>0.32665</v>
      </c>
      <c r="L31" s="182">
        <v>0.32665</v>
      </c>
      <c r="M31" s="182">
        <v>0.32665</v>
      </c>
      <c r="N31" s="182">
        <v>0.32665</v>
      </c>
      <c r="O31" s="182">
        <v>0.32665</v>
      </c>
      <c r="P31" s="182">
        <v>0.32665</v>
      </c>
      <c r="Q31" s="182">
        <v>0.32665</v>
      </c>
      <c r="R31" s="20"/>
    </row>
    <row r="32" spans="1:19" x14ac:dyDescent="0.2">
      <c r="B32" t="s">
        <v>304</v>
      </c>
      <c r="F32" s="182">
        <v>0.31180000000000002</v>
      </c>
      <c r="G32" s="182">
        <v>0.31180000000000002</v>
      </c>
      <c r="H32" s="182">
        <v>0.31180000000000002</v>
      </c>
      <c r="I32" s="182">
        <v>0.31180000000000002</v>
      </c>
      <c r="J32" s="182">
        <v>0.31180000000000002</v>
      </c>
      <c r="K32" s="182">
        <v>0.31180000000000002</v>
      </c>
      <c r="L32" s="182">
        <v>0.31180000000000002</v>
      </c>
      <c r="M32" s="182">
        <v>0.31180000000000002</v>
      </c>
      <c r="N32" s="182">
        <v>0.31180000000000002</v>
      </c>
      <c r="O32" s="182">
        <v>0.31180000000000002</v>
      </c>
      <c r="P32" s="182">
        <v>0.31180000000000002</v>
      </c>
      <c r="Q32" s="182">
        <v>0.31180000000000002</v>
      </c>
    </row>
    <row r="33" spans="1:18" customFormat="1" x14ac:dyDescent="0.2">
      <c r="B33" t="s">
        <v>550</v>
      </c>
      <c r="D33">
        <v>149</v>
      </c>
      <c r="E33" t="s">
        <v>6</v>
      </c>
      <c r="F33" s="182">
        <v>1.1209999999999999E-2</v>
      </c>
      <c r="G33" s="182">
        <v>1.1209999999999999E-2</v>
      </c>
      <c r="H33" s="182">
        <v>1.1209999999999999E-2</v>
      </c>
      <c r="I33" s="182">
        <v>1.1209999999999999E-2</v>
      </c>
      <c r="J33" s="182">
        <v>1.1209999999999999E-2</v>
      </c>
      <c r="K33" s="182">
        <v>1.1209999999999999E-2</v>
      </c>
      <c r="L33" s="182">
        <v>1.1209999999999999E-2</v>
      </c>
      <c r="M33" s="182">
        <v>1.1209999999999999E-2</v>
      </c>
      <c r="N33" s="182">
        <v>1.1209999999999999E-2</v>
      </c>
      <c r="O33" s="182">
        <v>1.1209999999999999E-2</v>
      </c>
      <c r="P33" s="182">
        <v>1.1209999999999999E-2</v>
      </c>
      <c r="Q33" s="182">
        <v>1.1209999999999999E-2</v>
      </c>
    </row>
    <row r="35" spans="1:18" customFormat="1" x14ac:dyDescent="0.2">
      <c r="B35" s="15" t="s">
        <v>8</v>
      </c>
    </row>
    <row r="36" spans="1:18" customFormat="1" x14ac:dyDescent="0.2">
      <c r="B36" t="s">
        <v>22</v>
      </c>
      <c r="E36" t="s">
        <v>22</v>
      </c>
      <c r="F36" s="63">
        <f>'(R) Data'!C13</f>
        <v>791033.10106899915</v>
      </c>
      <c r="G36" s="63">
        <f>'(R) Data'!D13</f>
        <v>799125.72983479116</v>
      </c>
      <c r="H36" s="63">
        <f>'(R) Data'!E13</f>
        <v>753288.30126336252</v>
      </c>
      <c r="I36" s="63">
        <f>'(R) Data'!F13</f>
        <v>788504.85519922257</v>
      </c>
      <c r="J36" s="63">
        <f>'(R) Data'!G13</f>
        <v>754044.3041788144</v>
      </c>
      <c r="K36" s="63">
        <f>'(R) Data'!H13</f>
        <v>778711.52441646787</v>
      </c>
      <c r="L36" s="63">
        <f>'(R) Data'!I13</f>
        <v>781852.52976234653</v>
      </c>
      <c r="M36" s="63">
        <f>'(R) Data'!J13</f>
        <v>710122.15909090906</v>
      </c>
      <c r="N36" s="63">
        <f>'(R) Data'!K13</f>
        <v>810554.56545454555</v>
      </c>
      <c r="O36" s="63">
        <f>'(R) Data'!L13</f>
        <v>796412.53272727272</v>
      </c>
      <c r="P36" s="63">
        <f>'(R) Data'!M13</f>
        <v>800300.15272727271</v>
      </c>
      <c r="Q36" s="63">
        <f>'(R) Data'!N13</f>
        <v>765726.25818181818</v>
      </c>
      <c r="R36" s="91">
        <f>SUM(F36:Q36)</f>
        <v>9329676.0139058214</v>
      </c>
    </row>
    <row r="37" spans="1:18" customFormat="1" x14ac:dyDescent="0.2">
      <c r="B37" t="s">
        <v>30</v>
      </c>
      <c r="E37" t="s">
        <v>10</v>
      </c>
      <c r="F37" s="63">
        <f>'Weather Adj'!D170</f>
        <v>13443846.632999999</v>
      </c>
      <c r="G37" s="599">
        <f>'Weather Adj'!E170</f>
        <v>12736009.979</v>
      </c>
      <c r="H37" s="599">
        <f>'Weather Adj'!F170</f>
        <v>21647719.936999999</v>
      </c>
      <c r="I37" s="599">
        <f>'Weather Adj'!G170</f>
        <v>46155974.25</v>
      </c>
      <c r="J37" s="599">
        <f>'Weather Adj'!H170</f>
        <v>73741897.160999998</v>
      </c>
      <c r="K37" s="599">
        <f>'Weather Adj'!I170</f>
        <v>88509622.627000004</v>
      </c>
      <c r="L37" s="599">
        <f>'Weather Adj'!J170</f>
        <v>97226692.343999997</v>
      </c>
      <c r="M37" s="599">
        <f>'Weather Adj'!K170</f>
        <v>73367926.152999997</v>
      </c>
      <c r="N37" s="599">
        <f>'Weather Adj'!L170</f>
        <v>75843560.385000005</v>
      </c>
      <c r="O37" s="599">
        <f>'Weather Adj'!M170</f>
        <v>50269722.055</v>
      </c>
      <c r="P37" s="599">
        <f>'Weather Adj'!N170</f>
        <v>30887232.546</v>
      </c>
      <c r="Q37" s="599">
        <f>'Weather Adj'!O170</f>
        <v>19275348.866999999</v>
      </c>
      <c r="R37" s="91">
        <f>SUM(F37:Q37)</f>
        <v>603105552.93699992</v>
      </c>
    </row>
    <row r="38" spans="1:18" customFormat="1" x14ac:dyDescent="0.2">
      <c r="R38" s="102"/>
    </row>
    <row r="39" spans="1:18" customFormat="1" x14ac:dyDescent="0.2">
      <c r="B39" s="15" t="s">
        <v>9</v>
      </c>
      <c r="R39" s="102"/>
    </row>
    <row r="40" spans="1:18" customFormat="1" x14ac:dyDescent="0.2">
      <c r="A40" t="s">
        <v>147</v>
      </c>
      <c r="B40" t="s">
        <v>282</v>
      </c>
      <c r="D40">
        <v>23</v>
      </c>
      <c r="F40" s="23">
        <f>F29*F36</f>
        <v>8701364.1117589902</v>
      </c>
      <c r="G40" s="23">
        <f t="shared" ref="G40:Q40" si="10">G29*G36</f>
        <v>8790383.0281827021</v>
      </c>
      <c r="H40" s="23">
        <f t="shared" si="10"/>
        <v>8286171.3138969876</v>
      </c>
      <c r="I40" s="23">
        <f t="shared" si="10"/>
        <v>8673553.4071914479</v>
      </c>
      <c r="J40" s="23">
        <f t="shared" si="10"/>
        <v>8294487.3459669584</v>
      </c>
      <c r="K40" s="23">
        <f t="shared" si="10"/>
        <v>8565826.7685811464</v>
      </c>
      <c r="L40" s="23">
        <f t="shared" si="10"/>
        <v>8600377.8273858111</v>
      </c>
      <c r="M40" s="23">
        <f t="shared" si="10"/>
        <v>7811343.75</v>
      </c>
      <c r="N40" s="23">
        <f t="shared" si="10"/>
        <v>8916100.2200000007</v>
      </c>
      <c r="O40" s="23">
        <f t="shared" si="10"/>
        <v>8760537.8599999994</v>
      </c>
      <c r="P40" s="23">
        <f t="shared" si="10"/>
        <v>8803301.6799999997</v>
      </c>
      <c r="Q40" s="23">
        <f t="shared" si="10"/>
        <v>8422988.8399999999</v>
      </c>
      <c r="R40" s="100">
        <f>SUM(F40:Q40)</f>
        <v>102626436.15296406</v>
      </c>
    </row>
    <row r="41" spans="1:18" customFormat="1" x14ac:dyDescent="0.2">
      <c r="A41" t="s">
        <v>147</v>
      </c>
      <c r="B41" t="s">
        <v>3</v>
      </c>
      <c r="D41">
        <v>23</v>
      </c>
      <c r="F41" s="23">
        <f>F30*F37</f>
        <v>4651974.2504169894</v>
      </c>
      <c r="G41" s="23">
        <f t="shared" ref="G41:Q41" si="11">G30*G37</f>
        <v>4407041.53303337</v>
      </c>
      <c r="H41" s="23">
        <f t="shared" si="11"/>
        <v>7490760.5298001096</v>
      </c>
      <c r="I41" s="23">
        <f t="shared" si="11"/>
        <v>15971351.7697275</v>
      </c>
      <c r="J41" s="23">
        <f t="shared" si="11"/>
        <v>25516908.67462083</v>
      </c>
      <c r="K41" s="23">
        <f t="shared" si="11"/>
        <v>30626984.717620812</v>
      </c>
      <c r="L41" s="23">
        <f t="shared" si="11"/>
        <v>33643352.351794317</v>
      </c>
      <c r="M41" s="23">
        <f t="shared" si="11"/>
        <v>25387503.486722589</v>
      </c>
      <c r="N41" s="23">
        <f t="shared" si="11"/>
        <v>26244147.200021554</v>
      </c>
      <c r="O41" s="23">
        <f t="shared" si="11"/>
        <v>17394831.922691651</v>
      </c>
      <c r="P41" s="23">
        <f t="shared" si="11"/>
        <v>10687909.07789238</v>
      </c>
      <c r="Q41" s="23">
        <f t="shared" si="11"/>
        <v>6669848.9684480093</v>
      </c>
      <c r="R41" s="100">
        <f>SUM(F41:Q41)</f>
        <v>208692614.48279011</v>
      </c>
    </row>
    <row r="42" spans="1:18" customFormat="1" x14ac:dyDescent="0.2">
      <c r="A42" s="30" t="s">
        <v>130</v>
      </c>
      <c r="B42" t="s">
        <v>306</v>
      </c>
      <c r="D42">
        <v>101</v>
      </c>
      <c r="F42" s="23">
        <f>F31*F37</f>
        <v>4391432.5026694499</v>
      </c>
      <c r="G42" s="23">
        <f t="shared" ref="G42:Q42" si="12">G31*G37</f>
        <v>4160217.6596403499</v>
      </c>
      <c r="H42" s="23">
        <f t="shared" si="12"/>
        <v>7071227.7174210493</v>
      </c>
      <c r="I42" s="23">
        <f t="shared" si="12"/>
        <v>15076848.9887625</v>
      </c>
      <c r="J42" s="23">
        <f t="shared" si="12"/>
        <v>24087790.707640648</v>
      </c>
      <c r="K42" s="23">
        <f t="shared" si="12"/>
        <v>28911668.231109552</v>
      </c>
      <c r="L42" s="23">
        <f t="shared" si="12"/>
        <v>31759099.054167598</v>
      </c>
      <c r="M42" s="23">
        <f t="shared" si="12"/>
        <v>23965633.077877447</v>
      </c>
      <c r="N42" s="23">
        <f t="shared" si="12"/>
        <v>24774298.999760251</v>
      </c>
      <c r="O42" s="23">
        <f t="shared" si="12"/>
        <v>16420604.70926575</v>
      </c>
      <c r="P42" s="23">
        <f t="shared" si="12"/>
        <v>10089314.5111509</v>
      </c>
      <c r="Q42" s="23">
        <f t="shared" si="12"/>
        <v>6296292.7074055495</v>
      </c>
      <c r="R42" s="100">
        <f>SUM(F42:Q42)</f>
        <v>197004428.86687103</v>
      </c>
    </row>
    <row r="43" spans="1:18" customFormat="1" x14ac:dyDescent="0.2">
      <c r="A43" s="30" t="s">
        <v>551</v>
      </c>
      <c r="B43" t="s">
        <v>552</v>
      </c>
      <c r="D43">
        <v>149</v>
      </c>
      <c r="F43" s="23">
        <f>F33*F37</f>
        <v>150705.52075592999</v>
      </c>
      <c r="G43" s="23">
        <f t="shared" ref="G43:Q43" si="13">G33*G37</f>
        <v>142770.67186459</v>
      </c>
      <c r="H43" s="23">
        <f t="shared" si="13"/>
        <v>242670.94049376997</v>
      </c>
      <c r="I43" s="23">
        <f t="shared" si="13"/>
        <v>517408.47134249995</v>
      </c>
      <c r="J43" s="23">
        <f t="shared" si="13"/>
        <v>826646.66717480996</v>
      </c>
      <c r="K43" s="23">
        <f t="shared" si="13"/>
        <v>992192.86964866996</v>
      </c>
      <c r="L43" s="23">
        <f t="shared" si="13"/>
        <v>1089911.2211762399</v>
      </c>
      <c r="M43" s="23">
        <f t="shared" si="13"/>
        <v>822454.4521751299</v>
      </c>
      <c r="N43" s="23">
        <f t="shared" si="13"/>
        <v>850206.31191585003</v>
      </c>
      <c r="O43" s="23">
        <f t="shared" si="13"/>
        <v>563523.58423655003</v>
      </c>
      <c r="P43" s="23">
        <f t="shared" si="13"/>
        <v>346245.87684066</v>
      </c>
      <c r="Q43" s="23">
        <f t="shared" si="13"/>
        <v>216076.66079906997</v>
      </c>
      <c r="R43" s="100">
        <f>SUM(F43:Q43)</f>
        <v>6760813.248423771</v>
      </c>
    </row>
    <row r="44" spans="1:18" customFormat="1" x14ac:dyDescent="0.2">
      <c r="B44" t="s">
        <v>24</v>
      </c>
      <c r="F44" s="24">
        <f>SUM(F40:F43)</f>
        <v>17895476.38560136</v>
      </c>
      <c r="G44" s="24">
        <f t="shared" ref="G44:R44" si="14">SUM(G40:G43)</f>
        <v>17500412.892721012</v>
      </c>
      <c r="H44" s="24">
        <f t="shared" si="14"/>
        <v>23090830.501611918</v>
      </c>
      <c r="I44" s="24">
        <f t="shared" si="14"/>
        <v>40239162.637023941</v>
      </c>
      <c r="J44" s="24">
        <f t="shared" si="14"/>
        <v>58725833.395403244</v>
      </c>
      <c r="K44" s="24">
        <f t="shared" si="14"/>
        <v>69096672.586960167</v>
      </c>
      <c r="L44" s="24">
        <f t="shared" si="14"/>
        <v>75092740.454523966</v>
      </c>
      <c r="M44" s="24">
        <f t="shared" si="14"/>
        <v>57986934.766775168</v>
      </c>
      <c r="N44" s="24">
        <f t="shared" si="14"/>
        <v>60784752.731697656</v>
      </c>
      <c r="O44" s="24">
        <f t="shared" si="14"/>
        <v>43139498.076193944</v>
      </c>
      <c r="P44" s="24">
        <f t="shared" si="14"/>
        <v>29926771.145883936</v>
      </c>
      <c r="Q44" s="24">
        <f t="shared" si="14"/>
        <v>21605207.176652629</v>
      </c>
      <c r="R44" s="24">
        <f t="shared" si="14"/>
        <v>515084292.75104898</v>
      </c>
    </row>
    <row r="46" spans="1:18" customFormat="1" x14ac:dyDescent="0.2">
      <c r="A46" t="s">
        <v>305</v>
      </c>
      <c r="B46" t="s">
        <v>304</v>
      </c>
      <c r="F46" s="23">
        <f t="shared" ref="F46:N46" si="15">F37*F32</f>
        <v>4191791.3801694</v>
      </c>
      <c r="G46" s="23">
        <f t="shared" si="15"/>
        <v>3971087.9114522003</v>
      </c>
      <c r="H46" s="23">
        <f t="shared" si="15"/>
        <v>6749759.0763566</v>
      </c>
      <c r="I46" s="23">
        <f t="shared" si="15"/>
        <v>14391432.77115</v>
      </c>
      <c r="J46" s="23">
        <f t="shared" si="15"/>
        <v>22992723.534799799</v>
      </c>
      <c r="K46" s="23">
        <f t="shared" si="15"/>
        <v>27597300.335098602</v>
      </c>
      <c r="L46" s="23">
        <f t="shared" si="15"/>
        <v>30315282.672859199</v>
      </c>
      <c r="M46" s="23">
        <f t="shared" si="15"/>
        <v>22876119.374505401</v>
      </c>
      <c r="N46" s="23">
        <f t="shared" si="15"/>
        <v>23648022.128043003</v>
      </c>
      <c r="O46" s="23">
        <f t="shared" ref="O46:Q46" si="16">O37*O32</f>
        <v>15674099.336749</v>
      </c>
      <c r="P46" s="23">
        <f t="shared" si="16"/>
        <v>9630639.1078428011</v>
      </c>
      <c r="Q46" s="23">
        <f t="shared" si="16"/>
        <v>6010053.7767305998</v>
      </c>
      <c r="R46" s="23">
        <f>SUM(F46:Q46)</f>
        <v>188048311.40575659</v>
      </c>
    </row>
    <row r="48" spans="1:18" customFormat="1" x14ac:dyDescent="0.2">
      <c r="B48" s="15" t="s">
        <v>94</v>
      </c>
      <c r="C48" s="15"/>
    </row>
    <row r="49" spans="1:19" x14ac:dyDescent="0.2">
      <c r="B49" s="15" t="s">
        <v>7</v>
      </c>
      <c r="C49" s="15"/>
      <c r="S49"/>
    </row>
    <row r="50" spans="1:19" x14ac:dyDescent="0.2">
      <c r="B50" t="s">
        <v>282</v>
      </c>
      <c r="D50">
        <v>53</v>
      </c>
      <c r="E50" t="s">
        <v>5</v>
      </c>
      <c r="F50" s="159">
        <f>'Rate Design Res'!$H$24</f>
        <v>11</v>
      </c>
      <c r="G50" s="159">
        <f>'Rate Design Res'!$H$24</f>
        <v>11</v>
      </c>
      <c r="H50" s="159">
        <f>'Rate Design Res'!$H$24</f>
        <v>11</v>
      </c>
      <c r="I50" s="159">
        <f>'Rate Design Res'!$H$24</f>
        <v>11</v>
      </c>
      <c r="J50" s="159">
        <f>'Rate Design Res'!$H$24</f>
        <v>11</v>
      </c>
      <c r="K50" s="159">
        <f>'Rate Design Res'!$H$24</f>
        <v>11</v>
      </c>
      <c r="L50" s="159">
        <f>'Rate Design Res'!$H$24</f>
        <v>11</v>
      </c>
      <c r="M50" s="159">
        <f>'Rate Design Res'!$H$24</f>
        <v>11</v>
      </c>
      <c r="N50" s="159">
        <f>'Rate Design Res'!$H$24</f>
        <v>11</v>
      </c>
      <c r="O50" s="159">
        <f>'Rate Design Res'!$H$24</f>
        <v>11</v>
      </c>
      <c r="P50" s="159">
        <f>'Rate Design Res'!$H$24</f>
        <v>11</v>
      </c>
      <c r="Q50" s="159">
        <f>'Rate Design Res'!$H$24</f>
        <v>11</v>
      </c>
      <c r="R50" s="26"/>
      <c r="S50"/>
    </row>
    <row r="51" spans="1:19" x14ac:dyDescent="0.2">
      <c r="B51" t="s">
        <v>3</v>
      </c>
      <c r="D51">
        <v>53</v>
      </c>
      <c r="E51" t="s">
        <v>6</v>
      </c>
      <c r="F51" s="160">
        <f>'Rate Design Res'!$H$25</f>
        <v>0.34603</v>
      </c>
      <c r="G51" s="160">
        <f>'Rate Design Res'!$H$25</f>
        <v>0.34603</v>
      </c>
      <c r="H51" s="160">
        <f>'Rate Design Res'!$H$25</f>
        <v>0.34603</v>
      </c>
      <c r="I51" s="160">
        <f>'Rate Design Res'!$H$25</f>
        <v>0.34603</v>
      </c>
      <c r="J51" s="160">
        <f>'Rate Design Res'!$H$25</f>
        <v>0.34603</v>
      </c>
      <c r="K51" s="160">
        <f>'Rate Design Res'!$H$25</f>
        <v>0.34603</v>
      </c>
      <c r="L51" s="160">
        <f>'Rate Design Res'!$H$25</f>
        <v>0.34603</v>
      </c>
      <c r="M51" s="160">
        <f>'Rate Design Res'!$H$25</f>
        <v>0.34603</v>
      </c>
      <c r="N51" s="160">
        <f>'Rate Design Res'!$H$25</f>
        <v>0.34603</v>
      </c>
      <c r="O51" s="160">
        <f>'Rate Design Res'!$H$25</f>
        <v>0.34603</v>
      </c>
      <c r="P51" s="160">
        <f>'Rate Design Res'!$H$25</f>
        <v>0.34603</v>
      </c>
      <c r="Q51" s="160">
        <f>'Rate Design Res'!$H$25</f>
        <v>0.34603</v>
      </c>
      <c r="R51" s="20"/>
      <c r="S51"/>
    </row>
    <row r="52" spans="1:19" s="30" customFormat="1" x14ac:dyDescent="0.2">
      <c r="B52" s="30" t="s">
        <v>28</v>
      </c>
      <c r="D52" s="30">
        <v>101</v>
      </c>
      <c r="E52" s="30" t="s">
        <v>6</v>
      </c>
      <c r="F52" s="182">
        <v>4.80769</v>
      </c>
      <c r="G52" s="182">
        <v>4.80769</v>
      </c>
      <c r="H52" s="182">
        <v>4.80769</v>
      </c>
      <c r="I52" s="182">
        <v>4.80769</v>
      </c>
      <c r="J52" s="182">
        <v>4.80769</v>
      </c>
      <c r="K52" s="182">
        <v>4.80769</v>
      </c>
      <c r="L52" s="182">
        <v>4.80769</v>
      </c>
      <c r="M52" s="182">
        <v>4.80769</v>
      </c>
      <c r="N52" s="182">
        <v>4.80769</v>
      </c>
      <c r="O52" s="182">
        <v>4.80769</v>
      </c>
      <c r="P52" s="182">
        <v>4.80769</v>
      </c>
      <c r="Q52" s="182">
        <v>4.80769</v>
      </c>
      <c r="R52" s="65"/>
    </row>
    <row r="53" spans="1:19" s="30" customFormat="1" x14ac:dyDescent="0.2">
      <c r="B53" s="30" t="s">
        <v>550</v>
      </c>
      <c r="D53" s="30">
        <v>149</v>
      </c>
      <c r="E53" s="30" t="s">
        <v>6</v>
      </c>
      <c r="F53" s="182">
        <v>1.1209999999999999E-2</v>
      </c>
      <c r="G53" s="182">
        <v>1.1209999999999999E-2</v>
      </c>
      <c r="H53" s="182">
        <v>1.1209999999999999E-2</v>
      </c>
      <c r="I53" s="182">
        <v>1.1209999999999999E-2</v>
      </c>
      <c r="J53" s="182">
        <v>1.1209999999999999E-2</v>
      </c>
      <c r="K53" s="182">
        <v>1.1209999999999999E-2</v>
      </c>
      <c r="L53" s="182">
        <v>1.1209999999999999E-2</v>
      </c>
      <c r="M53" s="182">
        <v>1.1209999999999999E-2</v>
      </c>
      <c r="N53" s="182">
        <v>1.1209999999999999E-2</v>
      </c>
      <c r="O53" s="182">
        <v>1.1209999999999999E-2</v>
      </c>
      <c r="P53" s="182">
        <v>1.1209999999999999E-2</v>
      </c>
      <c r="Q53" s="182">
        <v>1.1209999999999999E-2</v>
      </c>
      <c r="R53" s="65"/>
    </row>
    <row r="55" spans="1:19" x14ac:dyDescent="0.2">
      <c r="B55" s="15" t="s">
        <v>8</v>
      </c>
      <c r="S55"/>
    </row>
    <row r="56" spans="1:19" x14ac:dyDescent="0.2">
      <c r="B56" t="s">
        <v>22</v>
      </c>
      <c r="E56" t="s">
        <v>22</v>
      </c>
      <c r="F56" s="63">
        <f>'(R) Data'!C22</f>
        <v>1.0145772594752187</v>
      </c>
      <c r="G56" s="63">
        <f>'(R) Data'!D22</f>
        <v>1.0505344995140915</v>
      </c>
      <c r="H56" s="63">
        <f>'(R) Data'!E22</f>
        <v>0.9659863945578232</v>
      </c>
      <c r="I56" s="63">
        <f>'(R) Data'!F22</f>
        <v>1.0174927113702625</v>
      </c>
      <c r="J56" s="63">
        <f>'(R) Data'!G22</f>
        <v>1.0165208940719146</v>
      </c>
      <c r="K56" s="63">
        <f>'(R) Data'!H22</f>
        <v>0.98158582913684955</v>
      </c>
      <c r="L56" s="63">
        <f>'(R) Data'!I22</f>
        <v>1.2354545454545454</v>
      </c>
      <c r="M56" s="63">
        <f>'(R) Data'!J22</f>
        <v>0.25</v>
      </c>
      <c r="N56" s="63">
        <f>'(R) Data'!K22</f>
        <v>0</v>
      </c>
      <c r="O56" s="63">
        <f>'(R) Data'!L22</f>
        <v>0</v>
      </c>
      <c r="P56" s="63">
        <f>'(R) Data'!M22</f>
        <v>0</v>
      </c>
      <c r="Q56" s="63">
        <f>'(R) Data'!N22</f>
        <v>0</v>
      </c>
      <c r="R56" s="107">
        <f>SUM(F56:Q56)</f>
        <v>7.5321521335807056</v>
      </c>
      <c r="S56"/>
    </row>
    <row r="57" spans="1:19" x14ac:dyDescent="0.2">
      <c r="B57" t="s">
        <v>30</v>
      </c>
      <c r="E57" t="s">
        <v>10</v>
      </c>
      <c r="F57" s="63">
        <f>'Weather Adj'!D186</f>
        <v>9.0079999999999991</v>
      </c>
      <c r="G57" s="599">
        <f>'Weather Adj'!E186</f>
        <v>9.2899999999999991</v>
      </c>
      <c r="H57" s="599">
        <f>'Weather Adj'!F186</f>
        <v>23.614000000000001</v>
      </c>
      <c r="I57" s="599">
        <f>'Weather Adj'!G186</f>
        <v>52.81</v>
      </c>
      <c r="J57" s="599">
        <f>'Weather Adj'!H186</f>
        <v>67.945999999999998</v>
      </c>
      <c r="K57" s="599">
        <f>'Weather Adj'!I186</f>
        <v>68.12700000000001</v>
      </c>
      <c r="L57" s="599">
        <f>'Weather Adj'!J186</f>
        <v>56.914999999999999</v>
      </c>
      <c r="M57" s="599">
        <f>'Weather Adj'!K186</f>
        <v>7.5629999999999997</v>
      </c>
      <c r="N57" s="599">
        <f>'Weather Adj'!L186</f>
        <v>0</v>
      </c>
      <c r="O57" s="599">
        <f>'Weather Adj'!M186</f>
        <v>0</v>
      </c>
      <c r="P57" s="599">
        <f>'Weather Adj'!N186</f>
        <v>0</v>
      </c>
      <c r="Q57" s="599">
        <f>'Weather Adj'!O186</f>
        <v>0</v>
      </c>
      <c r="R57" s="107">
        <f>SUM(F57:Q57)</f>
        <v>295.27300000000002</v>
      </c>
      <c r="S57"/>
    </row>
    <row r="58" spans="1:19" x14ac:dyDescent="0.2">
      <c r="R58" s="102"/>
      <c r="S58"/>
    </row>
    <row r="59" spans="1:19" x14ac:dyDescent="0.2">
      <c r="B59" s="15" t="s">
        <v>9</v>
      </c>
      <c r="R59" s="102"/>
      <c r="S59"/>
    </row>
    <row r="60" spans="1:19" x14ac:dyDescent="0.2">
      <c r="A60" t="s">
        <v>147</v>
      </c>
      <c r="B60" t="s">
        <v>282</v>
      </c>
      <c r="D60">
        <v>53</v>
      </c>
      <c r="F60" s="23">
        <f t="shared" ref="F60:N60" si="17">F50*F56</f>
        <v>11.160349854227405</v>
      </c>
      <c r="G60" s="23">
        <f t="shared" si="17"/>
        <v>11.555879494655006</v>
      </c>
      <c r="H60" s="23">
        <f t="shared" si="17"/>
        <v>10.625850340136056</v>
      </c>
      <c r="I60" s="23">
        <f t="shared" si="17"/>
        <v>11.192419825072887</v>
      </c>
      <c r="J60" s="23">
        <f t="shared" si="17"/>
        <v>11.18172983479106</v>
      </c>
      <c r="K60" s="23">
        <f t="shared" si="17"/>
        <v>10.797444120505345</v>
      </c>
      <c r="L60" s="23">
        <f t="shared" si="17"/>
        <v>13.59</v>
      </c>
      <c r="M60" s="23">
        <f t="shared" si="17"/>
        <v>2.75</v>
      </c>
      <c r="N60" s="23">
        <f t="shared" si="17"/>
        <v>0</v>
      </c>
      <c r="O60" s="23">
        <f t="shared" ref="O60:Q60" si="18">O50*O56</f>
        <v>0</v>
      </c>
      <c r="P60" s="23">
        <f t="shared" si="18"/>
        <v>0</v>
      </c>
      <c r="Q60" s="23">
        <f t="shared" si="18"/>
        <v>0</v>
      </c>
      <c r="R60" s="100">
        <f>SUM(F60:Q60)</f>
        <v>82.853673469387772</v>
      </c>
      <c r="S60"/>
    </row>
    <row r="61" spans="1:19" x14ac:dyDescent="0.2">
      <c r="A61" t="s">
        <v>147</v>
      </c>
      <c r="B61" t="s">
        <v>3</v>
      </c>
      <c r="D61">
        <v>53</v>
      </c>
      <c r="F61" s="23">
        <f t="shared" ref="F61:N61" si="19">F51*F57</f>
        <v>3.1170382399999998</v>
      </c>
      <c r="G61" s="23">
        <f t="shared" si="19"/>
        <v>3.2146186999999999</v>
      </c>
      <c r="H61" s="23">
        <f t="shared" si="19"/>
        <v>8.1711524200000003</v>
      </c>
      <c r="I61" s="23">
        <f t="shared" si="19"/>
        <v>18.2738443</v>
      </c>
      <c r="J61" s="23">
        <f t="shared" si="19"/>
        <v>23.51135438</v>
      </c>
      <c r="K61" s="23">
        <f t="shared" si="19"/>
        <v>23.573985810000003</v>
      </c>
      <c r="L61" s="23">
        <f t="shared" si="19"/>
        <v>19.694297450000001</v>
      </c>
      <c r="M61" s="23">
        <f t="shared" si="19"/>
        <v>2.6170248899999997</v>
      </c>
      <c r="N61" s="23">
        <f t="shared" si="19"/>
        <v>0</v>
      </c>
      <c r="O61" s="23">
        <f t="shared" ref="O61:Q61" si="20">O51*O57</f>
        <v>0</v>
      </c>
      <c r="P61" s="23">
        <f t="shared" si="20"/>
        <v>0</v>
      </c>
      <c r="Q61" s="23">
        <f t="shared" si="20"/>
        <v>0</v>
      </c>
      <c r="R61" s="100">
        <f>SUM(F61:Q61)</f>
        <v>102.17331618999999</v>
      </c>
      <c r="S61"/>
    </row>
    <row r="62" spans="1:19" x14ac:dyDescent="0.2">
      <c r="A62" t="s">
        <v>130</v>
      </c>
      <c r="B62" t="s">
        <v>28</v>
      </c>
      <c r="D62">
        <v>101</v>
      </c>
      <c r="F62" s="23">
        <f>F52*F57</f>
        <v>43.307671519999992</v>
      </c>
      <c r="G62" s="23">
        <f>G52*G57</f>
        <v>44.663440099999995</v>
      </c>
      <c r="H62" s="23">
        <f t="shared" ref="H62:K62" si="21">H52*H57</f>
        <v>113.52879166000001</v>
      </c>
      <c r="I62" s="23">
        <f t="shared" si="21"/>
        <v>253.89410890000002</v>
      </c>
      <c r="J62" s="34">
        <f t="shared" si="21"/>
        <v>326.66330474</v>
      </c>
      <c r="K62" s="23">
        <f t="shared" si="21"/>
        <v>327.53349663000006</v>
      </c>
      <c r="L62" s="23">
        <f>L52*L57</f>
        <v>273.62967635000001</v>
      </c>
      <c r="M62" s="23">
        <f>M52*M57</f>
        <v>36.360559469999998</v>
      </c>
      <c r="N62" s="23">
        <f>N52*N57</f>
        <v>0</v>
      </c>
      <c r="O62" s="23">
        <f t="shared" ref="O62:Q62" si="22">O52*O57</f>
        <v>0</v>
      </c>
      <c r="P62" s="23">
        <f t="shared" si="22"/>
        <v>0</v>
      </c>
      <c r="Q62" s="23">
        <f t="shared" si="22"/>
        <v>0</v>
      </c>
      <c r="R62" s="100">
        <f>SUM(F62:Q62)</f>
        <v>1419.5810493699998</v>
      </c>
      <c r="S62"/>
    </row>
    <row r="63" spans="1:19" x14ac:dyDescent="0.2">
      <c r="A63" t="s">
        <v>551</v>
      </c>
      <c r="B63" t="s">
        <v>552</v>
      </c>
      <c r="D63">
        <v>149</v>
      </c>
      <c r="F63" s="23">
        <f>F53*F57</f>
        <v>0.10097967999999999</v>
      </c>
      <c r="G63" s="23">
        <f t="shared" ref="G63:Q63" si="23">G53*G57</f>
        <v>0.10414089999999998</v>
      </c>
      <c r="H63" s="23">
        <f t="shared" si="23"/>
        <v>0.26471294000000001</v>
      </c>
      <c r="I63" s="23">
        <f t="shared" si="23"/>
        <v>0.59200010000000003</v>
      </c>
      <c r="J63" s="23">
        <f t="shared" si="23"/>
        <v>0.76167465999999995</v>
      </c>
      <c r="K63" s="23">
        <f t="shared" si="23"/>
        <v>0.76370367000000006</v>
      </c>
      <c r="L63" s="23">
        <f t="shared" si="23"/>
        <v>0.63801714999999992</v>
      </c>
      <c r="M63" s="23">
        <f t="shared" si="23"/>
        <v>8.4781229999999999E-2</v>
      </c>
      <c r="N63" s="23">
        <f t="shared" si="23"/>
        <v>0</v>
      </c>
      <c r="O63" s="23">
        <f t="shared" si="23"/>
        <v>0</v>
      </c>
      <c r="P63" s="23">
        <f t="shared" si="23"/>
        <v>0</v>
      </c>
      <c r="Q63" s="23">
        <f t="shared" si="23"/>
        <v>0</v>
      </c>
      <c r="R63" s="100">
        <f>SUM(F63:Q63)</f>
        <v>3.3100103299999999</v>
      </c>
      <c r="S63"/>
    </row>
    <row r="64" spans="1:19" x14ac:dyDescent="0.2">
      <c r="B64" t="s">
        <v>24</v>
      </c>
      <c r="F64" s="24">
        <f>SUM(F60:F63)</f>
        <v>57.686039294227399</v>
      </c>
      <c r="G64" s="24">
        <f t="shared" ref="G64:R64" si="24">SUM(G60:G63)</f>
        <v>59.538079194654998</v>
      </c>
      <c r="H64" s="24">
        <f t="shared" si="24"/>
        <v>132.59050736013609</v>
      </c>
      <c r="I64" s="24">
        <f t="shared" si="24"/>
        <v>283.95237312507294</v>
      </c>
      <c r="J64" s="24">
        <f t="shared" si="24"/>
        <v>362.11806361479103</v>
      </c>
      <c r="K64" s="24">
        <f t="shared" si="24"/>
        <v>362.66863023050541</v>
      </c>
      <c r="L64" s="24">
        <f t="shared" si="24"/>
        <v>307.55199095</v>
      </c>
      <c r="M64" s="24">
        <f t="shared" si="24"/>
        <v>41.812365589999992</v>
      </c>
      <c r="N64" s="24">
        <f t="shared" si="24"/>
        <v>0</v>
      </c>
      <c r="O64" s="24">
        <f t="shared" si="24"/>
        <v>0</v>
      </c>
      <c r="P64" s="24">
        <f t="shared" si="24"/>
        <v>0</v>
      </c>
      <c r="Q64" s="24">
        <f t="shared" si="24"/>
        <v>0</v>
      </c>
      <c r="R64" s="24">
        <f t="shared" si="24"/>
        <v>1607.9180493593876</v>
      </c>
      <c r="S64"/>
    </row>
    <row r="65" spans="1:19" x14ac:dyDescent="0.2"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/>
    </row>
    <row r="66" spans="1:19" x14ac:dyDescent="0.2">
      <c r="A66" t="s">
        <v>305</v>
      </c>
      <c r="B66" t="s">
        <v>304</v>
      </c>
      <c r="F66" s="40">
        <f>F52*F57</f>
        <v>43.307671519999992</v>
      </c>
      <c r="G66" s="40">
        <f t="shared" ref="G66:N66" si="25">G52*G57</f>
        <v>44.663440099999995</v>
      </c>
      <c r="H66" s="40">
        <f t="shared" si="25"/>
        <v>113.52879166000001</v>
      </c>
      <c r="I66" s="40">
        <f t="shared" si="25"/>
        <v>253.89410890000002</v>
      </c>
      <c r="J66" s="40">
        <f t="shared" si="25"/>
        <v>326.66330474</v>
      </c>
      <c r="K66" s="40">
        <f t="shared" si="25"/>
        <v>327.53349663000006</v>
      </c>
      <c r="L66" s="40">
        <f t="shared" si="25"/>
        <v>273.62967635000001</v>
      </c>
      <c r="M66" s="40">
        <f t="shared" si="25"/>
        <v>36.360559469999998</v>
      </c>
      <c r="N66" s="40">
        <f t="shared" si="25"/>
        <v>0</v>
      </c>
      <c r="O66" s="40">
        <f t="shared" ref="O66:Q66" si="26">O52*O57</f>
        <v>0</v>
      </c>
      <c r="P66" s="40">
        <f t="shared" si="26"/>
        <v>0</v>
      </c>
      <c r="Q66" s="40">
        <f t="shared" si="26"/>
        <v>0</v>
      </c>
      <c r="R66" s="40">
        <f>SUM(F66:Q66)</f>
        <v>1419.5810493699998</v>
      </c>
      <c r="S66"/>
    </row>
    <row r="67" spans="1:19" x14ac:dyDescent="0.2"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100"/>
      <c r="S67"/>
    </row>
    <row r="68" spans="1:19" x14ac:dyDescent="0.2">
      <c r="B68" s="15" t="s">
        <v>91</v>
      </c>
      <c r="C68" s="15"/>
      <c r="S68"/>
    </row>
    <row r="69" spans="1:19" x14ac:dyDescent="0.2">
      <c r="B69" s="15" t="s">
        <v>7</v>
      </c>
      <c r="C69" s="15"/>
      <c r="S69"/>
    </row>
    <row r="70" spans="1:19" x14ac:dyDescent="0.2">
      <c r="B70" t="s">
        <v>282</v>
      </c>
      <c r="D70">
        <v>31</v>
      </c>
      <c r="E70" t="s">
        <v>5</v>
      </c>
      <c r="F70" s="159">
        <f>'Rate Design C&amp;I'!$H$12</f>
        <v>32.159999999999997</v>
      </c>
      <c r="G70" s="159">
        <f>'Rate Design C&amp;I'!$H$12</f>
        <v>32.159999999999997</v>
      </c>
      <c r="H70" s="159">
        <f>'Rate Design C&amp;I'!$H$12</f>
        <v>32.159999999999997</v>
      </c>
      <c r="I70" s="159">
        <f>'Rate Design C&amp;I'!$H$12</f>
        <v>32.159999999999997</v>
      </c>
      <c r="J70" s="159">
        <f>'Rate Design C&amp;I'!$H$12</f>
        <v>32.159999999999997</v>
      </c>
      <c r="K70" s="159">
        <f>'Rate Design C&amp;I'!$H$12</f>
        <v>32.159999999999997</v>
      </c>
      <c r="L70" s="159">
        <f>'Rate Design C&amp;I'!$H$12</f>
        <v>32.159999999999997</v>
      </c>
      <c r="M70" s="159">
        <f>'Rate Design C&amp;I'!$H$12</f>
        <v>32.159999999999997</v>
      </c>
      <c r="N70" s="159">
        <f>'Rate Design C&amp;I'!$H$12</f>
        <v>32.159999999999997</v>
      </c>
      <c r="O70" s="159">
        <f>'Rate Design C&amp;I'!$H$12</f>
        <v>32.159999999999997</v>
      </c>
      <c r="P70" s="159">
        <f>'Rate Design C&amp;I'!$H$12</f>
        <v>32.159999999999997</v>
      </c>
      <c r="Q70" s="159">
        <f>'Rate Design C&amp;I'!$H$12</f>
        <v>32.159999999999997</v>
      </c>
      <c r="R70" s="26"/>
      <c r="S70"/>
    </row>
    <row r="71" spans="1:19" x14ac:dyDescent="0.2">
      <c r="B71" t="s">
        <v>3</v>
      </c>
      <c r="D71">
        <v>31</v>
      </c>
      <c r="E71" t="s">
        <v>6</v>
      </c>
      <c r="F71" s="160">
        <f>'Rate Design C&amp;I'!$H$13</f>
        <v>0.29475000000000001</v>
      </c>
      <c r="G71" s="160">
        <f>'Rate Design C&amp;I'!$H$13</f>
        <v>0.29475000000000001</v>
      </c>
      <c r="H71" s="160">
        <f>'Rate Design C&amp;I'!$H$13</f>
        <v>0.29475000000000001</v>
      </c>
      <c r="I71" s="160">
        <f>'Rate Design C&amp;I'!$H$13</f>
        <v>0.29475000000000001</v>
      </c>
      <c r="J71" s="160">
        <f>'Rate Design C&amp;I'!$H$13</f>
        <v>0.29475000000000001</v>
      </c>
      <c r="K71" s="160">
        <f>'Rate Design C&amp;I'!$H$13</f>
        <v>0.29475000000000001</v>
      </c>
      <c r="L71" s="160">
        <f>'Rate Design C&amp;I'!$H$13</f>
        <v>0.29475000000000001</v>
      </c>
      <c r="M71" s="160">
        <f>'Rate Design C&amp;I'!$H$13</f>
        <v>0.29475000000000001</v>
      </c>
      <c r="N71" s="160">
        <f>'Rate Design C&amp;I'!$H$13</f>
        <v>0.29475000000000001</v>
      </c>
      <c r="O71" s="160">
        <f>'Rate Design C&amp;I'!$H$13</f>
        <v>0.29475000000000001</v>
      </c>
      <c r="P71" s="160">
        <f>'Rate Design C&amp;I'!$H$13</f>
        <v>0.29475000000000001</v>
      </c>
      <c r="Q71" s="160">
        <f>'Rate Design C&amp;I'!$H$13</f>
        <v>0.29475000000000001</v>
      </c>
      <c r="R71" s="20"/>
      <c r="S71"/>
    </row>
    <row r="72" spans="1:19" x14ac:dyDescent="0.2">
      <c r="B72" t="s">
        <v>441</v>
      </c>
      <c r="D72">
        <v>31</v>
      </c>
      <c r="E72" t="s">
        <v>6</v>
      </c>
      <c r="F72" s="160">
        <f>'Rate Design C&amp;I'!$H$14</f>
        <v>8.8199999999999997E-3</v>
      </c>
      <c r="G72" s="160">
        <f>'Rate Design C&amp;I'!$H$14</f>
        <v>8.8199999999999997E-3</v>
      </c>
      <c r="H72" s="160">
        <f>'Rate Design C&amp;I'!$H$14</f>
        <v>8.8199999999999997E-3</v>
      </c>
      <c r="I72" s="160">
        <f>'Rate Design C&amp;I'!$H$14</f>
        <v>8.8199999999999997E-3</v>
      </c>
      <c r="J72" s="160">
        <f>'Rate Design C&amp;I'!$H$14</f>
        <v>8.8199999999999997E-3</v>
      </c>
      <c r="K72" s="160">
        <f>'Rate Design C&amp;I'!$H$14</f>
        <v>8.8199999999999997E-3</v>
      </c>
      <c r="L72" s="160">
        <f>'Rate Design C&amp;I'!$H$14</f>
        <v>8.8199999999999997E-3</v>
      </c>
      <c r="M72" s="160">
        <f>'Rate Design C&amp;I'!$H$14</f>
        <v>8.8199999999999997E-3</v>
      </c>
      <c r="N72" s="160">
        <f>'Rate Design C&amp;I'!$H$14</f>
        <v>8.8199999999999997E-3</v>
      </c>
      <c r="O72" s="160">
        <f>'Rate Design C&amp;I'!$H$14</f>
        <v>8.8199999999999997E-3</v>
      </c>
      <c r="P72" s="160">
        <f>'Rate Design C&amp;I'!$H$14</f>
        <v>8.8199999999999997E-3</v>
      </c>
      <c r="Q72" s="160">
        <f>'Rate Design C&amp;I'!$H$14</f>
        <v>8.8199999999999997E-3</v>
      </c>
      <c r="R72" s="20"/>
      <c r="S72"/>
    </row>
    <row r="73" spans="1:19" x14ac:dyDescent="0.2">
      <c r="A73" s="30"/>
      <c r="B73" t="s">
        <v>307</v>
      </c>
      <c r="D73">
        <v>101</v>
      </c>
      <c r="E73" t="s">
        <v>6</v>
      </c>
      <c r="F73" s="182">
        <v>0.31873000000000001</v>
      </c>
      <c r="G73" s="182">
        <v>0.31873000000000001</v>
      </c>
      <c r="H73" s="182">
        <v>0.31873000000000001</v>
      </c>
      <c r="I73" s="182">
        <v>0.31873000000000001</v>
      </c>
      <c r="J73" s="182">
        <v>0.31873000000000001</v>
      </c>
      <c r="K73" s="182">
        <v>0.31873000000000001</v>
      </c>
      <c r="L73" s="182">
        <v>0.31873000000000001</v>
      </c>
      <c r="M73" s="182">
        <v>0.31873000000000001</v>
      </c>
      <c r="N73" s="182">
        <v>0.31873000000000001</v>
      </c>
      <c r="O73" s="182">
        <v>0.31873000000000001</v>
      </c>
      <c r="P73" s="182">
        <v>0.31873000000000001</v>
      </c>
      <c r="Q73" s="182">
        <v>0.31873000000000001</v>
      </c>
      <c r="R73" s="20"/>
      <c r="S73"/>
    </row>
    <row r="74" spans="1:19" x14ac:dyDescent="0.2">
      <c r="A74" s="30"/>
      <c r="B74" t="s">
        <v>304</v>
      </c>
      <c r="F74" s="182">
        <v>0.30424000000000001</v>
      </c>
      <c r="G74" s="182">
        <v>0.30424000000000001</v>
      </c>
      <c r="H74" s="182">
        <v>0.30424000000000001</v>
      </c>
      <c r="I74" s="182">
        <v>0.30424000000000001</v>
      </c>
      <c r="J74" s="182">
        <v>0.30424000000000001</v>
      </c>
      <c r="K74" s="182">
        <v>0.30424000000000001</v>
      </c>
      <c r="L74" s="182">
        <v>0.30424000000000001</v>
      </c>
      <c r="M74" s="182">
        <v>0.30424000000000001</v>
      </c>
      <c r="N74" s="182">
        <v>0.30424000000000001</v>
      </c>
      <c r="O74" s="182">
        <v>0.30424000000000001</v>
      </c>
      <c r="P74" s="182">
        <v>0.30424000000000001</v>
      </c>
      <c r="Q74" s="182">
        <v>0.30424000000000001</v>
      </c>
      <c r="R74" s="20"/>
      <c r="S74"/>
    </row>
    <row r="75" spans="1:19" x14ac:dyDescent="0.2">
      <c r="A75" s="30"/>
      <c r="B75" t="s">
        <v>550</v>
      </c>
      <c r="D75">
        <v>149</v>
      </c>
      <c r="E75" t="s">
        <v>6</v>
      </c>
      <c r="F75" s="182">
        <v>1.0880000000000001E-2</v>
      </c>
      <c r="G75" s="182">
        <v>1.0880000000000001E-2</v>
      </c>
      <c r="H75" s="182">
        <v>1.0880000000000001E-2</v>
      </c>
      <c r="I75" s="182">
        <v>1.0880000000000001E-2</v>
      </c>
      <c r="J75" s="182">
        <v>1.0880000000000001E-2</v>
      </c>
      <c r="K75" s="182">
        <v>1.0880000000000001E-2</v>
      </c>
      <c r="L75" s="182">
        <v>1.0880000000000001E-2</v>
      </c>
      <c r="M75" s="182">
        <v>1.0880000000000001E-2</v>
      </c>
      <c r="N75" s="182">
        <v>1.0880000000000001E-2</v>
      </c>
      <c r="O75" s="182">
        <v>1.0880000000000001E-2</v>
      </c>
      <c r="P75" s="182">
        <v>1.0880000000000001E-2</v>
      </c>
      <c r="Q75" s="182">
        <v>1.0880000000000001E-2</v>
      </c>
      <c r="R75" s="20"/>
      <c r="S75"/>
    </row>
    <row r="76" spans="1:19" s="30" customFormat="1" x14ac:dyDescent="0.2"/>
    <row r="77" spans="1:19" s="30" customFormat="1" x14ac:dyDescent="0.2">
      <c r="B77" s="29" t="s">
        <v>8</v>
      </c>
    </row>
    <row r="78" spans="1:19" s="30" customFormat="1" x14ac:dyDescent="0.2">
      <c r="B78" s="30" t="s">
        <v>22</v>
      </c>
      <c r="E78" s="30" t="s">
        <v>22</v>
      </c>
      <c r="F78" s="76">
        <f>'(R) Data'!C14</f>
        <v>55936.156343956711</v>
      </c>
      <c r="G78" s="76">
        <f>'(R) Data'!D14</f>
        <v>56724.969933854481</v>
      </c>
      <c r="H78" s="76">
        <f>'(R) Data'!E14</f>
        <v>53454.891160553219</v>
      </c>
      <c r="I78" s="76">
        <f>'(R) Data'!F14</f>
        <v>55802.520745640417</v>
      </c>
      <c r="J78" s="76">
        <f>'(R) Data'!G14</f>
        <v>53601.754359591105</v>
      </c>
      <c r="K78" s="76">
        <f>'(R) Data'!H14</f>
        <v>55562.214992229521</v>
      </c>
      <c r="L78" s="76">
        <f>'(R) Data'!I14</f>
        <v>55587.03296056504</v>
      </c>
      <c r="M78" s="76">
        <f>'(R) Data'!J14</f>
        <v>50550.286933490293</v>
      </c>
      <c r="N78" s="76">
        <f>'(R) Data'!K14</f>
        <v>57714.630076515597</v>
      </c>
      <c r="O78" s="76">
        <f>'(R) Data'!L14</f>
        <v>56418.82960565039</v>
      </c>
      <c r="P78" s="76">
        <f>'(R) Data'!M14</f>
        <v>56698.709888059711</v>
      </c>
      <c r="Q78" s="76">
        <f>'(R) Data'!N14</f>
        <v>54030.333644278617</v>
      </c>
      <c r="R78" s="107">
        <f>SUM(F78:Q78)</f>
        <v>662082.33064438507</v>
      </c>
    </row>
    <row r="79" spans="1:19" x14ac:dyDescent="0.2">
      <c r="B79" t="s">
        <v>30</v>
      </c>
      <c r="E79" t="s">
        <v>10</v>
      </c>
      <c r="F79" s="63">
        <f>'Weather Adj'!D171</f>
        <v>7628079.7920000004</v>
      </c>
      <c r="G79" s="599">
        <f>'Weather Adj'!E171</f>
        <v>7453085.6330000004</v>
      </c>
      <c r="H79" s="599">
        <f>'Weather Adj'!F171</f>
        <v>9048012.2430000007</v>
      </c>
      <c r="I79" s="599">
        <f>'Weather Adj'!G171</f>
        <v>15932676.433</v>
      </c>
      <c r="J79" s="599">
        <f>'Weather Adj'!H171</f>
        <v>23966771.149999999</v>
      </c>
      <c r="K79" s="599">
        <f>'Weather Adj'!I171</f>
        <v>29413050.791000001</v>
      </c>
      <c r="L79" s="599">
        <f>'Weather Adj'!J171</f>
        <v>31601920.164999999</v>
      </c>
      <c r="M79" s="599">
        <f>'Weather Adj'!K171</f>
        <v>25012454.664999999</v>
      </c>
      <c r="N79" s="599">
        <f>'Weather Adj'!L171</f>
        <v>25668437.872000001</v>
      </c>
      <c r="O79" s="599">
        <f>'Weather Adj'!M171</f>
        <v>18094159.793000001</v>
      </c>
      <c r="P79" s="599">
        <f>'Weather Adj'!N171</f>
        <v>12124126.560000001</v>
      </c>
      <c r="Q79" s="599">
        <f>'Weather Adj'!O171</f>
        <v>8894243.5490000006</v>
      </c>
      <c r="R79" s="107">
        <f>SUM(F79:Q79)</f>
        <v>214837018.646</v>
      </c>
      <c r="S79"/>
    </row>
    <row r="80" spans="1:19" x14ac:dyDescent="0.2">
      <c r="R80" s="102"/>
      <c r="S80"/>
    </row>
    <row r="81" spans="1:19" x14ac:dyDescent="0.2">
      <c r="B81" s="15" t="s">
        <v>9</v>
      </c>
      <c r="R81" s="102"/>
      <c r="S81"/>
    </row>
    <row r="82" spans="1:19" x14ac:dyDescent="0.2">
      <c r="A82" t="s">
        <v>147</v>
      </c>
      <c r="B82" t="s">
        <v>282</v>
      </c>
      <c r="D82">
        <v>31</v>
      </c>
      <c r="F82" s="23">
        <f t="shared" ref="F82:N82" si="27">F70*F78</f>
        <v>1798906.7880216476</v>
      </c>
      <c r="G82" s="23">
        <f t="shared" si="27"/>
        <v>1824275.0330727599</v>
      </c>
      <c r="H82" s="23">
        <f t="shared" si="27"/>
        <v>1719109.2997233914</v>
      </c>
      <c r="I82" s="23">
        <f t="shared" si="27"/>
        <v>1794609.0671797956</v>
      </c>
      <c r="J82" s="23">
        <f t="shared" si="27"/>
        <v>1723832.4202044497</v>
      </c>
      <c r="K82" s="23">
        <f t="shared" si="27"/>
        <v>1786880.8341501013</v>
      </c>
      <c r="L82" s="23">
        <f t="shared" si="27"/>
        <v>1787678.9800117714</v>
      </c>
      <c r="M82" s="23">
        <f t="shared" si="27"/>
        <v>1625697.2277810476</v>
      </c>
      <c r="N82" s="23">
        <f t="shared" si="27"/>
        <v>1856102.5032607415</v>
      </c>
      <c r="O82" s="23">
        <f t="shared" ref="O82:Q82" si="28">O70*O78</f>
        <v>1814429.5601177164</v>
      </c>
      <c r="P82" s="23">
        <f t="shared" si="28"/>
        <v>1823430.51</v>
      </c>
      <c r="Q82" s="23">
        <f t="shared" si="28"/>
        <v>1737615.53</v>
      </c>
      <c r="R82" s="100">
        <f>SUM(F82:Q82)</f>
        <v>21292567.753523428</v>
      </c>
      <c r="S82"/>
    </row>
    <row r="83" spans="1:19" x14ac:dyDescent="0.2">
      <c r="A83" t="s">
        <v>147</v>
      </c>
      <c r="B83" t="s">
        <v>3</v>
      </c>
      <c r="D83">
        <v>31</v>
      </c>
      <c r="F83" s="23">
        <f>F71*F79</f>
        <v>2248376.5186920003</v>
      </c>
      <c r="G83" s="23">
        <f t="shared" ref="G83:N83" si="29">G71*G79</f>
        <v>2196796.9903267501</v>
      </c>
      <c r="H83" s="23">
        <f t="shared" si="29"/>
        <v>2666901.6086242502</v>
      </c>
      <c r="I83" s="23">
        <f t="shared" si="29"/>
        <v>4696156.3786267499</v>
      </c>
      <c r="J83" s="23">
        <f t="shared" si="29"/>
        <v>7064205.7964624995</v>
      </c>
      <c r="K83" s="23">
        <f t="shared" si="29"/>
        <v>8669496.7206472512</v>
      </c>
      <c r="L83" s="23">
        <f t="shared" si="29"/>
        <v>9314665.9686337505</v>
      </c>
      <c r="M83" s="23">
        <f t="shared" si="29"/>
        <v>7372421.01250875</v>
      </c>
      <c r="N83" s="23">
        <f t="shared" si="29"/>
        <v>7565772.0627720011</v>
      </c>
      <c r="O83" s="23">
        <f t="shared" ref="O83:Q83" si="30">O71*O79</f>
        <v>5333253.5989867505</v>
      </c>
      <c r="P83" s="23">
        <f t="shared" si="30"/>
        <v>3573586.3035600004</v>
      </c>
      <c r="Q83" s="23">
        <f t="shared" si="30"/>
        <v>2621578.2860677503</v>
      </c>
      <c r="R83" s="100">
        <f>SUM(F83:Q83)</f>
        <v>63323211.245908499</v>
      </c>
      <c r="S83"/>
    </row>
    <row r="84" spans="1:19" x14ac:dyDescent="0.2">
      <c r="A84" t="s">
        <v>147</v>
      </c>
      <c r="B84" t="s">
        <v>441</v>
      </c>
      <c r="D84">
        <v>31</v>
      </c>
      <c r="F84" s="23">
        <f>F72*F79</f>
        <v>67279.663765439996</v>
      </c>
      <c r="G84" s="23">
        <f t="shared" ref="G84:Q84" si="31">G72*G79</f>
        <v>65736.215283059995</v>
      </c>
      <c r="H84" s="23">
        <f t="shared" si="31"/>
        <v>79803.467983260009</v>
      </c>
      <c r="I84" s="23">
        <f t="shared" si="31"/>
        <v>140526.20613906</v>
      </c>
      <c r="J84" s="23">
        <f t="shared" si="31"/>
        <v>211386.92154299997</v>
      </c>
      <c r="K84" s="23">
        <f t="shared" si="31"/>
        <v>259423.10797662</v>
      </c>
      <c r="L84" s="23">
        <f t="shared" si="31"/>
        <v>278728.93585529999</v>
      </c>
      <c r="M84" s="23">
        <f t="shared" si="31"/>
        <v>220609.85014529998</v>
      </c>
      <c r="N84" s="23">
        <f t="shared" si="31"/>
        <v>226395.62203103999</v>
      </c>
      <c r="O84" s="23">
        <f t="shared" si="31"/>
        <v>159590.48937426001</v>
      </c>
      <c r="P84" s="23">
        <f t="shared" si="31"/>
        <v>106934.7962592</v>
      </c>
      <c r="Q84" s="23">
        <f t="shared" si="31"/>
        <v>78447.228102180001</v>
      </c>
      <c r="R84" s="100">
        <f>SUM(F84:Q84)</f>
        <v>1894862.5044577199</v>
      </c>
      <c r="S84"/>
    </row>
    <row r="85" spans="1:19" x14ac:dyDescent="0.2">
      <c r="A85" s="30" t="s">
        <v>130</v>
      </c>
      <c r="B85" t="s">
        <v>306</v>
      </c>
      <c r="D85">
        <v>101</v>
      </c>
      <c r="F85" s="23">
        <f t="shared" ref="F85:N85" si="32">F73*F79</f>
        <v>2431297.87210416</v>
      </c>
      <c r="G85" s="23">
        <f t="shared" si="32"/>
        <v>2375521.9838060904</v>
      </c>
      <c r="H85" s="23">
        <f t="shared" si="32"/>
        <v>2883872.9422113905</v>
      </c>
      <c r="I85" s="23">
        <f t="shared" si="32"/>
        <v>5078221.9594900906</v>
      </c>
      <c r="J85" s="34">
        <f t="shared" si="32"/>
        <v>7638928.9686394995</v>
      </c>
      <c r="K85" s="23">
        <f t="shared" si="32"/>
        <v>9374821.6786154304</v>
      </c>
      <c r="L85" s="23">
        <f t="shared" si="32"/>
        <v>10072480.01419045</v>
      </c>
      <c r="M85" s="23">
        <f t="shared" si="32"/>
        <v>7972219.6753754504</v>
      </c>
      <c r="N85" s="23">
        <f t="shared" si="32"/>
        <v>8181301.2029425604</v>
      </c>
      <c r="O85" s="23">
        <f t="shared" ref="O85:Q85" si="33">O73*O79</f>
        <v>5767151.5508228904</v>
      </c>
      <c r="P85" s="23">
        <f t="shared" si="33"/>
        <v>3864322.8584688003</v>
      </c>
      <c r="Q85" s="23">
        <f t="shared" si="33"/>
        <v>2834862.2463727705</v>
      </c>
      <c r="R85" s="100">
        <f>SUM(F85:Q85)</f>
        <v>68475002.953039587</v>
      </c>
      <c r="S85"/>
    </row>
    <row r="86" spans="1:19" x14ac:dyDescent="0.2">
      <c r="A86" s="30" t="s">
        <v>551</v>
      </c>
      <c r="B86" t="s">
        <v>552</v>
      </c>
      <c r="D86">
        <v>149</v>
      </c>
      <c r="F86" s="23">
        <f>F75*F79</f>
        <v>82993.508136960008</v>
      </c>
      <c r="G86" s="23">
        <f>G75*G79</f>
        <v>81089.571687040007</v>
      </c>
      <c r="H86" s="23">
        <f t="shared" ref="H86:Q86" si="34">H75*H79</f>
        <v>98442.373203840019</v>
      </c>
      <c r="I86" s="23">
        <f t="shared" si="34"/>
        <v>173347.51959104001</v>
      </c>
      <c r="J86" s="23">
        <f t="shared" si="34"/>
        <v>260758.47011200001</v>
      </c>
      <c r="K86" s="23">
        <f t="shared" si="34"/>
        <v>320013.99260608002</v>
      </c>
      <c r="L86" s="23">
        <f t="shared" si="34"/>
        <v>343828.89139520004</v>
      </c>
      <c r="M86" s="23">
        <f t="shared" si="34"/>
        <v>272135.50675519998</v>
      </c>
      <c r="N86" s="23">
        <f t="shared" si="34"/>
        <v>279272.60404736002</v>
      </c>
      <c r="O86" s="23">
        <f t="shared" si="34"/>
        <v>196864.45854784004</v>
      </c>
      <c r="P86" s="23">
        <f t="shared" si="34"/>
        <v>131910.49697280003</v>
      </c>
      <c r="Q86" s="23">
        <f t="shared" si="34"/>
        <v>96769.369813120007</v>
      </c>
      <c r="R86" s="100">
        <f>SUM(F86:Q86)</f>
        <v>2337426.7628684803</v>
      </c>
      <c r="S86"/>
    </row>
    <row r="87" spans="1:19" x14ac:dyDescent="0.2">
      <c r="B87" t="s">
        <v>24</v>
      </c>
      <c r="F87" s="24">
        <f>SUM(F82:F86)</f>
        <v>6628854.3507202081</v>
      </c>
      <c r="G87" s="24">
        <f t="shared" ref="G87:Q87" si="35">SUM(G82:G86)</f>
        <v>6543419.7941757003</v>
      </c>
      <c r="H87" s="24">
        <f t="shared" si="35"/>
        <v>7448129.6917461324</v>
      </c>
      <c r="I87" s="24">
        <f t="shared" si="35"/>
        <v>11882861.131026737</v>
      </c>
      <c r="J87" s="24">
        <f t="shared" si="35"/>
        <v>16899112.57696145</v>
      </c>
      <c r="K87" s="24">
        <f t="shared" si="35"/>
        <v>20410636.333995484</v>
      </c>
      <c r="L87" s="24">
        <f t="shared" si="35"/>
        <v>21797382.790086471</v>
      </c>
      <c r="M87" s="24">
        <f t="shared" si="35"/>
        <v>17463083.272565749</v>
      </c>
      <c r="N87" s="24">
        <f t="shared" si="35"/>
        <v>18108843.995053705</v>
      </c>
      <c r="O87" s="24">
        <f t="shared" si="35"/>
        <v>13271289.657849457</v>
      </c>
      <c r="P87" s="24">
        <f t="shared" si="35"/>
        <v>9500184.9652608</v>
      </c>
      <c r="Q87" s="24">
        <f t="shared" si="35"/>
        <v>7369272.6603558213</v>
      </c>
      <c r="R87" s="24">
        <f>SUM(R82:R86)</f>
        <v>157323071.21979773</v>
      </c>
      <c r="S87"/>
    </row>
    <row r="88" spans="1:19" x14ac:dyDescent="0.2"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100"/>
      <c r="S88"/>
    </row>
    <row r="89" spans="1:19" x14ac:dyDescent="0.2">
      <c r="A89" t="s">
        <v>305</v>
      </c>
      <c r="B89" t="s">
        <v>304</v>
      </c>
      <c r="F89" s="23">
        <f t="shared" ref="F89:N89" si="36">F79*F74</f>
        <v>2320766.9959180802</v>
      </c>
      <c r="G89" s="23">
        <f t="shared" si="36"/>
        <v>2267526.7729839203</v>
      </c>
      <c r="H89" s="23">
        <f t="shared" si="36"/>
        <v>2752767.2448103204</v>
      </c>
      <c r="I89" s="23">
        <f t="shared" si="36"/>
        <v>4847357.4779759198</v>
      </c>
      <c r="J89" s="23">
        <f t="shared" si="36"/>
        <v>7291650.4546759995</v>
      </c>
      <c r="K89" s="23">
        <f t="shared" si="36"/>
        <v>8948626.5726538412</v>
      </c>
      <c r="L89" s="23">
        <f t="shared" si="36"/>
        <v>9614568.1909995992</v>
      </c>
      <c r="M89" s="23">
        <f t="shared" si="36"/>
        <v>7609789.2072796002</v>
      </c>
      <c r="N89" s="23">
        <f t="shared" si="36"/>
        <v>7809365.5381772807</v>
      </c>
      <c r="O89" s="23">
        <f t="shared" ref="O89:Q89" si="37">O79*O74</f>
        <v>5504967.1754223211</v>
      </c>
      <c r="P89" s="23">
        <f t="shared" si="37"/>
        <v>3688644.2646144005</v>
      </c>
      <c r="Q89" s="23">
        <f t="shared" si="37"/>
        <v>2705984.6573477602</v>
      </c>
      <c r="R89" s="100">
        <f>SUM(F89:Q89)</f>
        <v>65362014.552859046</v>
      </c>
      <c r="S89"/>
    </row>
    <row r="90" spans="1:19" x14ac:dyDescent="0.2"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100"/>
      <c r="S90"/>
    </row>
    <row r="91" spans="1:19" x14ac:dyDescent="0.2">
      <c r="B91" s="15" t="s">
        <v>95</v>
      </c>
      <c r="C91" s="15"/>
      <c r="S91"/>
    </row>
    <row r="92" spans="1:19" x14ac:dyDescent="0.2">
      <c r="B92" s="15" t="s">
        <v>7</v>
      </c>
      <c r="C92" s="15"/>
      <c r="S92"/>
    </row>
    <row r="93" spans="1:19" x14ac:dyDescent="0.2">
      <c r="B93" t="s">
        <v>282</v>
      </c>
      <c r="D93">
        <v>31</v>
      </c>
      <c r="E93" t="s">
        <v>5</v>
      </c>
      <c r="F93" s="17">
        <f t="shared" ref="F93:Q93" si="38">F70</f>
        <v>32.159999999999997</v>
      </c>
      <c r="G93" s="17">
        <f t="shared" si="38"/>
        <v>32.159999999999997</v>
      </c>
      <c r="H93" s="17">
        <f t="shared" si="38"/>
        <v>32.159999999999997</v>
      </c>
      <c r="I93" s="17">
        <f t="shared" si="38"/>
        <v>32.159999999999997</v>
      </c>
      <c r="J93" s="17">
        <f t="shared" si="38"/>
        <v>32.159999999999997</v>
      </c>
      <c r="K93" s="17">
        <f t="shared" si="38"/>
        <v>32.159999999999997</v>
      </c>
      <c r="L93" s="17">
        <f t="shared" si="38"/>
        <v>32.159999999999997</v>
      </c>
      <c r="M93" s="17">
        <f t="shared" si="38"/>
        <v>32.159999999999997</v>
      </c>
      <c r="N93" s="17">
        <f t="shared" si="38"/>
        <v>32.159999999999997</v>
      </c>
      <c r="O93" s="17">
        <f t="shared" si="38"/>
        <v>32.159999999999997</v>
      </c>
      <c r="P93" s="17">
        <f t="shared" si="38"/>
        <v>32.159999999999997</v>
      </c>
      <c r="Q93" s="17">
        <f t="shared" si="38"/>
        <v>32.159999999999997</v>
      </c>
      <c r="R93" s="26"/>
      <c r="S93"/>
    </row>
    <row r="94" spans="1:19" x14ac:dyDescent="0.2">
      <c r="B94" t="s">
        <v>3</v>
      </c>
      <c r="D94">
        <v>31</v>
      </c>
      <c r="E94" t="s">
        <v>6</v>
      </c>
      <c r="F94" s="18">
        <f t="shared" ref="F94:Q94" si="39">F71</f>
        <v>0.29475000000000001</v>
      </c>
      <c r="G94" s="18">
        <f t="shared" si="39"/>
        <v>0.29475000000000001</v>
      </c>
      <c r="H94" s="18">
        <f t="shared" si="39"/>
        <v>0.29475000000000001</v>
      </c>
      <c r="I94" s="18">
        <f t="shared" si="39"/>
        <v>0.29475000000000001</v>
      </c>
      <c r="J94" s="18">
        <f t="shared" si="39"/>
        <v>0.29475000000000001</v>
      </c>
      <c r="K94" s="18">
        <f t="shared" si="39"/>
        <v>0.29475000000000001</v>
      </c>
      <c r="L94" s="18">
        <f t="shared" si="39"/>
        <v>0.29475000000000001</v>
      </c>
      <c r="M94" s="18">
        <f t="shared" si="39"/>
        <v>0.29475000000000001</v>
      </c>
      <c r="N94" s="18">
        <f t="shared" si="39"/>
        <v>0.29475000000000001</v>
      </c>
      <c r="O94" s="18">
        <f t="shared" si="39"/>
        <v>0.29475000000000001</v>
      </c>
      <c r="P94" s="18">
        <f t="shared" si="39"/>
        <v>0.29475000000000001</v>
      </c>
      <c r="Q94" s="18">
        <f t="shared" si="39"/>
        <v>0.29475000000000001</v>
      </c>
      <c r="R94" s="20"/>
      <c r="S94"/>
    </row>
    <row r="95" spans="1:19" x14ac:dyDescent="0.2">
      <c r="B95" t="s">
        <v>441</v>
      </c>
      <c r="D95">
        <v>31</v>
      </c>
      <c r="E95" t="s">
        <v>6</v>
      </c>
      <c r="F95" s="18">
        <f t="shared" ref="F95:Q95" si="40">F72</f>
        <v>8.8199999999999997E-3</v>
      </c>
      <c r="G95" s="18">
        <f t="shared" si="40"/>
        <v>8.8199999999999997E-3</v>
      </c>
      <c r="H95" s="18">
        <f t="shared" si="40"/>
        <v>8.8199999999999997E-3</v>
      </c>
      <c r="I95" s="18">
        <f t="shared" si="40"/>
        <v>8.8199999999999997E-3</v>
      </c>
      <c r="J95" s="18">
        <f t="shared" si="40"/>
        <v>8.8199999999999997E-3</v>
      </c>
      <c r="K95" s="18">
        <f t="shared" si="40"/>
        <v>8.8199999999999997E-3</v>
      </c>
      <c r="L95" s="18">
        <f t="shared" si="40"/>
        <v>8.8199999999999997E-3</v>
      </c>
      <c r="M95" s="18">
        <f t="shared" si="40"/>
        <v>8.8199999999999997E-3</v>
      </c>
      <c r="N95" s="18">
        <f t="shared" si="40"/>
        <v>8.8199999999999997E-3</v>
      </c>
      <c r="O95" s="18">
        <f t="shared" si="40"/>
        <v>8.8199999999999997E-3</v>
      </c>
      <c r="P95" s="18">
        <f t="shared" si="40"/>
        <v>8.8199999999999997E-3</v>
      </c>
      <c r="Q95" s="18">
        <f t="shared" si="40"/>
        <v>8.8199999999999997E-3</v>
      </c>
      <c r="R95" s="20"/>
      <c r="S95"/>
    </row>
    <row r="96" spans="1:19" x14ac:dyDescent="0.2">
      <c r="B96" t="s">
        <v>303</v>
      </c>
      <c r="D96">
        <v>101</v>
      </c>
      <c r="E96" t="s">
        <v>6</v>
      </c>
      <c r="F96" s="98">
        <f t="shared" ref="F96:Q96" si="41">F73</f>
        <v>0.31873000000000001</v>
      </c>
      <c r="G96" s="98">
        <f t="shared" si="41"/>
        <v>0.31873000000000001</v>
      </c>
      <c r="H96" s="98">
        <f t="shared" si="41"/>
        <v>0.31873000000000001</v>
      </c>
      <c r="I96" s="98">
        <f t="shared" si="41"/>
        <v>0.31873000000000001</v>
      </c>
      <c r="J96" s="98">
        <f t="shared" si="41"/>
        <v>0.31873000000000001</v>
      </c>
      <c r="K96" s="98">
        <f t="shared" si="41"/>
        <v>0.31873000000000001</v>
      </c>
      <c r="L96" s="98">
        <f t="shared" si="41"/>
        <v>0.31873000000000001</v>
      </c>
      <c r="M96" s="98">
        <f t="shared" si="41"/>
        <v>0.31873000000000001</v>
      </c>
      <c r="N96" s="98">
        <f t="shared" si="41"/>
        <v>0.31873000000000001</v>
      </c>
      <c r="O96" s="98">
        <f t="shared" si="41"/>
        <v>0.31873000000000001</v>
      </c>
      <c r="P96" s="98">
        <f t="shared" si="41"/>
        <v>0.31873000000000001</v>
      </c>
      <c r="Q96" s="98">
        <f t="shared" si="41"/>
        <v>0.31873000000000001</v>
      </c>
      <c r="R96" s="20"/>
      <c r="S96"/>
    </row>
    <row r="97" spans="1:19" x14ac:dyDescent="0.2">
      <c r="B97" t="s">
        <v>304</v>
      </c>
      <c r="F97" s="98">
        <f t="shared" ref="F97:Q98" si="42">F74</f>
        <v>0.30424000000000001</v>
      </c>
      <c r="G97" s="98">
        <f t="shared" si="42"/>
        <v>0.30424000000000001</v>
      </c>
      <c r="H97" s="98">
        <f t="shared" si="42"/>
        <v>0.30424000000000001</v>
      </c>
      <c r="I97" s="98">
        <f t="shared" si="42"/>
        <v>0.30424000000000001</v>
      </c>
      <c r="J97" s="98">
        <f t="shared" si="42"/>
        <v>0.30424000000000001</v>
      </c>
      <c r="K97" s="98">
        <f t="shared" si="42"/>
        <v>0.30424000000000001</v>
      </c>
      <c r="L97" s="98">
        <f t="shared" si="42"/>
        <v>0.30424000000000001</v>
      </c>
      <c r="M97" s="98">
        <f t="shared" si="42"/>
        <v>0.30424000000000001</v>
      </c>
      <c r="N97" s="98">
        <f t="shared" si="42"/>
        <v>0.30424000000000001</v>
      </c>
      <c r="O97" s="98">
        <f t="shared" si="42"/>
        <v>0.30424000000000001</v>
      </c>
      <c r="P97" s="98">
        <f t="shared" si="42"/>
        <v>0.30424000000000001</v>
      </c>
      <c r="Q97" s="98">
        <f t="shared" si="42"/>
        <v>0.30424000000000001</v>
      </c>
      <c r="R97" s="20"/>
      <c r="S97"/>
    </row>
    <row r="98" spans="1:19" x14ac:dyDescent="0.2">
      <c r="B98" t="s">
        <v>550</v>
      </c>
      <c r="D98">
        <v>149</v>
      </c>
      <c r="E98" t="s">
        <v>6</v>
      </c>
      <c r="F98" s="98">
        <f t="shared" si="42"/>
        <v>1.0880000000000001E-2</v>
      </c>
      <c r="G98" s="98">
        <f t="shared" si="42"/>
        <v>1.0880000000000001E-2</v>
      </c>
      <c r="H98" s="98">
        <f t="shared" si="42"/>
        <v>1.0880000000000001E-2</v>
      </c>
      <c r="I98" s="98">
        <f t="shared" si="42"/>
        <v>1.0880000000000001E-2</v>
      </c>
      <c r="J98" s="98">
        <f t="shared" si="42"/>
        <v>1.0880000000000001E-2</v>
      </c>
      <c r="K98" s="98">
        <f t="shared" si="42"/>
        <v>1.0880000000000001E-2</v>
      </c>
      <c r="L98" s="98">
        <f t="shared" si="42"/>
        <v>1.0880000000000001E-2</v>
      </c>
      <c r="M98" s="98">
        <f t="shared" si="42"/>
        <v>1.0880000000000001E-2</v>
      </c>
      <c r="N98" s="98">
        <f t="shared" si="42"/>
        <v>1.0880000000000001E-2</v>
      </c>
      <c r="O98" s="98">
        <f t="shared" si="42"/>
        <v>1.0880000000000001E-2</v>
      </c>
      <c r="P98" s="98">
        <f t="shared" si="42"/>
        <v>1.0880000000000001E-2</v>
      </c>
      <c r="Q98" s="98">
        <f t="shared" si="42"/>
        <v>1.0880000000000001E-2</v>
      </c>
      <c r="R98" s="20"/>
      <c r="S98"/>
    </row>
    <row r="100" spans="1:19" x14ac:dyDescent="0.2">
      <c r="B100" s="15" t="s">
        <v>8</v>
      </c>
      <c r="S100"/>
    </row>
    <row r="101" spans="1:19" x14ac:dyDescent="0.2">
      <c r="B101" t="s">
        <v>22</v>
      </c>
      <c r="E101" t="s">
        <v>22</v>
      </c>
      <c r="F101" s="63">
        <f>'(R) Data'!C15</f>
        <v>2342.3767288033673</v>
      </c>
      <c r="G101" s="63">
        <f>'(R) Data'!D15</f>
        <v>2373.6885147324115</v>
      </c>
      <c r="H101" s="63">
        <f>'(R) Data'!E15</f>
        <v>2229.5706554419726</v>
      </c>
      <c r="I101" s="63">
        <f>'(R) Data'!F15</f>
        <v>2333.3463619963923</v>
      </c>
      <c r="J101" s="63">
        <f>'(R) Data'!G15</f>
        <v>2250.1939266386048</v>
      </c>
      <c r="K101" s="63">
        <f>'(R) Data'!H15</f>
        <v>2314.2957372611745</v>
      </c>
      <c r="L101" s="63">
        <f>'(R) Data'!I15</f>
        <v>2323.4841082989997</v>
      </c>
      <c r="M101" s="63">
        <f>'(R) Data'!J15</f>
        <v>2108.1477339611538</v>
      </c>
      <c r="N101" s="63">
        <f>'(R) Data'!K15</f>
        <v>2392.2798705120663</v>
      </c>
      <c r="O101" s="63">
        <f>'(R) Data'!L15</f>
        <v>2357.4690994702769</v>
      </c>
      <c r="P101" s="63">
        <f>'(R) Data'!M15</f>
        <v>2366.1710199004979</v>
      </c>
      <c r="Q101" s="63">
        <f>'(R) Data'!N15</f>
        <v>2225.5973258706472</v>
      </c>
      <c r="R101" s="107">
        <f>SUM(F101:Q101)</f>
        <v>27616.621082887563</v>
      </c>
      <c r="S101"/>
    </row>
    <row r="102" spans="1:19" x14ac:dyDescent="0.2">
      <c r="B102" t="s">
        <v>30</v>
      </c>
      <c r="E102" t="s">
        <v>10</v>
      </c>
      <c r="F102" s="63">
        <f>'Weather Adj'!D180</f>
        <v>395133.00599999999</v>
      </c>
      <c r="G102" s="599">
        <f>'Weather Adj'!E180</f>
        <v>415618.07</v>
      </c>
      <c r="H102" s="599">
        <f>'Weather Adj'!F180</f>
        <v>530299.97600000002</v>
      </c>
      <c r="I102" s="599">
        <f>'Weather Adj'!G180</f>
        <v>1002186.794</v>
      </c>
      <c r="J102" s="599">
        <f>'Weather Adj'!H180</f>
        <v>1580920.077</v>
      </c>
      <c r="K102" s="599">
        <f>'Weather Adj'!I180</f>
        <v>1965067.7910000002</v>
      </c>
      <c r="L102" s="599">
        <f>'Weather Adj'!J180</f>
        <v>2219846.37</v>
      </c>
      <c r="M102" s="599">
        <f>'Weather Adj'!K180</f>
        <v>1724909.0430000001</v>
      </c>
      <c r="N102" s="599">
        <f>'Weather Adj'!L180</f>
        <v>1692363.3740000001</v>
      </c>
      <c r="O102" s="599">
        <f>'Weather Adj'!M180</f>
        <v>1108860.2120000001</v>
      </c>
      <c r="P102" s="599">
        <f>'Weather Adj'!N180</f>
        <v>678225.22699999996</v>
      </c>
      <c r="Q102" s="599">
        <f>'Weather Adj'!O180</f>
        <v>454283.88400000002</v>
      </c>
      <c r="R102" s="107">
        <f>SUM(F102:Q102)</f>
        <v>13767713.823999999</v>
      </c>
      <c r="S102"/>
    </row>
    <row r="103" spans="1:19" x14ac:dyDescent="0.2">
      <c r="R103" s="102"/>
      <c r="S103"/>
    </row>
    <row r="104" spans="1:19" x14ac:dyDescent="0.2">
      <c r="B104" s="15" t="s">
        <v>9</v>
      </c>
      <c r="R104" s="102"/>
      <c r="S104"/>
    </row>
    <row r="105" spans="1:19" x14ac:dyDescent="0.2">
      <c r="A105" t="s">
        <v>147</v>
      </c>
      <c r="B105" t="s">
        <v>282</v>
      </c>
      <c r="D105">
        <v>31</v>
      </c>
      <c r="F105" s="23">
        <f t="shared" ref="F105:N105" si="43">F93*F101</f>
        <v>75330.835598316291</v>
      </c>
      <c r="G105" s="23">
        <f t="shared" si="43"/>
        <v>76337.822633794349</v>
      </c>
      <c r="H105" s="23">
        <f t="shared" si="43"/>
        <v>71702.992279013837</v>
      </c>
      <c r="I105" s="23">
        <f t="shared" si="43"/>
        <v>75040.419001803966</v>
      </c>
      <c r="J105" s="23">
        <f t="shared" si="43"/>
        <v>72366.236680697519</v>
      </c>
      <c r="K105" s="23">
        <f t="shared" si="43"/>
        <v>74427.750910319359</v>
      </c>
      <c r="L105" s="23">
        <f t="shared" si="43"/>
        <v>74723.248922895815</v>
      </c>
      <c r="M105" s="23">
        <f t="shared" si="43"/>
        <v>67798.031124190704</v>
      </c>
      <c r="N105" s="23">
        <f t="shared" si="43"/>
        <v>76935.72063566804</v>
      </c>
      <c r="O105" s="23">
        <f t="shared" ref="O105:Q105" si="44">O93*O101</f>
        <v>75816.206238964092</v>
      </c>
      <c r="P105" s="23">
        <f t="shared" si="44"/>
        <v>76096.06</v>
      </c>
      <c r="Q105" s="23">
        <f t="shared" si="44"/>
        <v>71575.210000000006</v>
      </c>
      <c r="R105" s="100">
        <f>SUM(F105:Q105)</f>
        <v>888150.53402566398</v>
      </c>
      <c r="S105"/>
    </row>
    <row r="106" spans="1:19" x14ac:dyDescent="0.2">
      <c r="A106" t="s">
        <v>147</v>
      </c>
      <c r="B106" t="s">
        <v>3</v>
      </c>
      <c r="D106">
        <v>31</v>
      </c>
      <c r="F106" s="23">
        <f t="shared" ref="F106:N106" si="45">F94*F102</f>
        <v>116465.4535185</v>
      </c>
      <c r="G106" s="23">
        <f t="shared" si="45"/>
        <v>122503.42613250001</v>
      </c>
      <c r="H106" s="23">
        <f t="shared" si="45"/>
        <v>156305.91792600002</v>
      </c>
      <c r="I106" s="23">
        <f t="shared" si="45"/>
        <v>295394.5575315</v>
      </c>
      <c r="J106" s="23">
        <f t="shared" si="45"/>
        <v>465976.19269575004</v>
      </c>
      <c r="K106" s="23">
        <f t="shared" si="45"/>
        <v>579203.73139725009</v>
      </c>
      <c r="L106" s="23">
        <f t="shared" si="45"/>
        <v>654299.71755750012</v>
      </c>
      <c r="M106" s="23">
        <f t="shared" si="45"/>
        <v>508416.94042425003</v>
      </c>
      <c r="N106" s="23">
        <f t="shared" si="45"/>
        <v>498824.10448650003</v>
      </c>
      <c r="O106" s="23">
        <f t="shared" ref="O106:Q106" si="46">O94*O102</f>
        <v>326836.547487</v>
      </c>
      <c r="P106" s="23">
        <f t="shared" si="46"/>
        <v>199906.88565824999</v>
      </c>
      <c r="Q106" s="23">
        <f t="shared" si="46"/>
        <v>133900.17480900002</v>
      </c>
      <c r="R106" s="100">
        <f>SUM(F106:Q106)</f>
        <v>4058033.6496240003</v>
      </c>
      <c r="S106"/>
    </row>
    <row r="107" spans="1:19" x14ac:dyDescent="0.2">
      <c r="A107" t="s">
        <v>147</v>
      </c>
      <c r="B107" t="s">
        <v>441</v>
      </c>
      <c r="D107">
        <v>31</v>
      </c>
      <c r="F107" s="23">
        <f>F95*F102</f>
        <v>3485.0731129199999</v>
      </c>
      <c r="G107" s="23">
        <f t="shared" ref="G107:Q107" si="47">G95*G102</f>
        <v>3665.7513773999999</v>
      </c>
      <c r="H107" s="23">
        <f t="shared" si="47"/>
        <v>4677.2457883200004</v>
      </c>
      <c r="I107" s="23">
        <f t="shared" si="47"/>
        <v>8839.28752308</v>
      </c>
      <c r="J107" s="23">
        <f t="shared" si="47"/>
        <v>13943.71507914</v>
      </c>
      <c r="K107" s="23">
        <f t="shared" si="47"/>
        <v>17331.897916620001</v>
      </c>
      <c r="L107" s="23">
        <f t="shared" si="47"/>
        <v>19579.044983399999</v>
      </c>
      <c r="M107" s="23">
        <f t="shared" si="47"/>
        <v>15213.69775926</v>
      </c>
      <c r="N107" s="23">
        <f t="shared" si="47"/>
        <v>14926.644958680001</v>
      </c>
      <c r="O107" s="23">
        <f t="shared" si="47"/>
        <v>9780.1470698400008</v>
      </c>
      <c r="P107" s="23">
        <f t="shared" si="47"/>
        <v>5981.9465021399992</v>
      </c>
      <c r="Q107" s="23">
        <f t="shared" si="47"/>
        <v>4006.7838568800003</v>
      </c>
      <c r="R107" s="100">
        <f>SUM(F107:Q107)</f>
        <v>121431.23592768001</v>
      </c>
      <c r="S107"/>
    </row>
    <row r="108" spans="1:19" x14ac:dyDescent="0.2">
      <c r="A108" s="30" t="s">
        <v>130</v>
      </c>
      <c r="B108" t="s">
        <v>306</v>
      </c>
      <c r="D108">
        <v>101</v>
      </c>
      <c r="F108" s="23">
        <f t="shared" ref="F108:N108" si="48">F96*F102</f>
        <v>125940.74300238</v>
      </c>
      <c r="G108" s="23">
        <f t="shared" si="48"/>
        <v>132469.94745110002</v>
      </c>
      <c r="H108" s="23">
        <f t="shared" si="48"/>
        <v>169022.51135048002</v>
      </c>
      <c r="I108" s="23">
        <f t="shared" si="48"/>
        <v>319426.99685162003</v>
      </c>
      <c r="J108" s="34">
        <f t="shared" si="48"/>
        <v>503886.65614221006</v>
      </c>
      <c r="K108" s="23">
        <f t="shared" si="48"/>
        <v>626326.05702543014</v>
      </c>
      <c r="L108" s="23">
        <f t="shared" si="48"/>
        <v>707531.63351010007</v>
      </c>
      <c r="M108" s="23">
        <f t="shared" si="48"/>
        <v>549780.25927539007</v>
      </c>
      <c r="N108" s="23">
        <f t="shared" si="48"/>
        <v>539406.97819502</v>
      </c>
      <c r="O108" s="23">
        <f t="shared" ref="O108:Q108" si="49">O96*O102</f>
        <v>353427.01537076005</v>
      </c>
      <c r="P108" s="23">
        <f t="shared" si="49"/>
        <v>216170.72660170999</v>
      </c>
      <c r="Q108" s="23">
        <f t="shared" si="49"/>
        <v>144793.90234732002</v>
      </c>
      <c r="R108" s="100">
        <f>SUM(F108:Q108)</f>
        <v>4388183.4271235196</v>
      </c>
      <c r="S108"/>
    </row>
    <row r="109" spans="1:19" x14ac:dyDescent="0.2">
      <c r="A109" s="30" t="s">
        <v>551</v>
      </c>
      <c r="B109" t="s">
        <v>552</v>
      </c>
      <c r="D109">
        <v>149</v>
      </c>
      <c r="F109" s="23">
        <f>F98*F102</f>
        <v>4299.0471052800003</v>
      </c>
      <c r="G109" s="23">
        <f t="shared" ref="G109:Q109" si="50">G98*G102</f>
        <v>4521.9246016000006</v>
      </c>
      <c r="H109" s="23">
        <f t="shared" si="50"/>
        <v>5769.6637388800009</v>
      </c>
      <c r="I109" s="23">
        <f t="shared" si="50"/>
        <v>10903.792318720001</v>
      </c>
      <c r="J109" s="23">
        <f t="shared" si="50"/>
        <v>17200.410437760002</v>
      </c>
      <c r="K109" s="23">
        <f t="shared" si="50"/>
        <v>21379.937566080003</v>
      </c>
      <c r="L109" s="23">
        <f t="shared" si="50"/>
        <v>24151.928505600004</v>
      </c>
      <c r="M109" s="23">
        <f t="shared" si="50"/>
        <v>18767.01038784</v>
      </c>
      <c r="N109" s="23">
        <f t="shared" si="50"/>
        <v>18412.913509120001</v>
      </c>
      <c r="O109" s="23">
        <f t="shared" si="50"/>
        <v>12064.399106560002</v>
      </c>
      <c r="P109" s="23">
        <f t="shared" si="50"/>
        <v>7379.0904697599999</v>
      </c>
      <c r="Q109" s="23">
        <f t="shared" si="50"/>
        <v>4942.608657920001</v>
      </c>
      <c r="R109" s="100">
        <f>SUM(F109:Q109)</f>
        <v>149792.72640512002</v>
      </c>
      <c r="S109"/>
    </row>
    <row r="110" spans="1:19" x14ac:dyDescent="0.2">
      <c r="B110" t="s">
        <v>24</v>
      </c>
      <c r="F110" s="24">
        <f>SUM(F105:F109)</f>
        <v>325521.15233739628</v>
      </c>
      <c r="G110" s="24">
        <f t="shared" ref="G110:R110" si="51">SUM(G105:G109)</f>
        <v>339498.87219639437</v>
      </c>
      <c r="H110" s="24">
        <f t="shared" si="51"/>
        <v>407478.33108269394</v>
      </c>
      <c r="I110" s="24">
        <f t="shared" si="51"/>
        <v>709605.05322672403</v>
      </c>
      <c r="J110" s="24">
        <f t="shared" si="51"/>
        <v>1073373.2110355576</v>
      </c>
      <c r="K110" s="24">
        <f t="shared" si="51"/>
        <v>1318669.3748156994</v>
      </c>
      <c r="L110" s="24">
        <f t="shared" si="51"/>
        <v>1480285.5734794959</v>
      </c>
      <c r="M110" s="24">
        <f t="shared" si="51"/>
        <v>1159975.9389709306</v>
      </c>
      <c r="N110" s="24">
        <f t="shared" si="51"/>
        <v>1148506.3617849881</v>
      </c>
      <c r="O110" s="24">
        <f t="shared" si="51"/>
        <v>777924.31527312426</v>
      </c>
      <c r="P110" s="24">
        <f t="shared" si="51"/>
        <v>505534.70923186</v>
      </c>
      <c r="Q110" s="24">
        <f t="shared" si="51"/>
        <v>359218.67967112001</v>
      </c>
      <c r="R110" s="24">
        <f t="shared" si="51"/>
        <v>9605591.5731059834</v>
      </c>
      <c r="S110"/>
    </row>
    <row r="111" spans="1:19" x14ac:dyDescent="0.2"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100"/>
      <c r="S111"/>
    </row>
    <row r="112" spans="1:19" s="30" customFormat="1" x14ac:dyDescent="0.2">
      <c r="A112" t="s">
        <v>305</v>
      </c>
      <c r="B112" t="s">
        <v>304</v>
      </c>
      <c r="C112"/>
      <c r="D112"/>
      <c r="E112"/>
      <c r="F112" s="23">
        <f t="shared" ref="F112:N112" si="52">F97*F102</f>
        <v>120215.26574544</v>
      </c>
      <c r="G112" s="23">
        <f t="shared" si="52"/>
        <v>126447.6416168</v>
      </c>
      <c r="H112" s="23">
        <f t="shared" si="52"/>
        <v>161338.46469824002</v>
      </c>
      <c r="I112" s="23">
        <f t="shared" si="52"/>
        <v>304905.31020656001</v>
      </c>
      <c r="J112" s="23">
        <f t="shared" si="52"/>
        <v>480979.12422648002</v>
      </c>
      <c r="K112" s="23">
        <f t="shared" si="52"/>
        <v>597852.22473384009</v>
      </c>
      <c r="L112" s="23">
        <f t="shared" si="52"/>
        <v>675366.0596088001</v>
      </c>
      <c r="M112" s="23">
        <f t="shared" si="52"/>
        <v>524786.32724232005</v>
      </c>
      <c r="N112" s="23">
        <f t="shared" si="52"/>
        <v>514884.63290576002</v>
      </c>
      <c r="O112" s="23">
        <f t="shared" ref="O112:Q112" si="53">O97*O102</f>
        <v>337359.63089888002</v>
      </c>
      <c r="P112" s="23">
        <f t="shared" si="53"/>
        <v>206343.24306248</v>
      </c>
      <c r="Q112" s="23">
        <f t="shared" si="53"/>
        <v>138211.32886816002</v>
      </c>
      <c r="R112" s="100">
        <f>SUM(F112:Q112)</f>
        <v>4188689.2538137594</v>
      </c>
    </row>
    <row r="113" spans="1:19" s="30" customFormat="1" x14ac:dyDescent="0.2"/>
    <row r="114" spans="1:19" x14ac:dyDescent="0.2">
      <c r="B114" s="15" t="s">
        <v>386</v>
      </c>
      <c r="C114" s="15"/>
      <c r="S114"/>
    </row>
    <row r="115" spans="1:19" s="30" customFormat="1" x14ac:dyDescent="0.2">
      <c r="A115"/>
      <c r="B115" s="15" t="s">
        <v>7</v>
      </c>
      <c r="C115" s="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</row>
    <row r="116" spans="1:19" s="30" customFormat="1" x14ac:dyDescent="0.2">
      <c r="A116"/>
      <c r="B116" t="s">
        <v>282</v>
      </c>
      <c r="C116"/>
      <c r="D116" s="21" t="s">
        <v>387</v>
      </c>
      <c r="E116" t="s">
        <v>5</v>
      </c>
      <c r="F116" s="159">
        <f>'Rate Design C&amp;I'!$H$24</f>
        <v>353.77</v>
      </c>
      <c r="G116" s="159">
        <f>'Rate Design C&amp;I'!$H$24</f>
        <v>353.77</v>
      </c>
      <c r="H116" s="159">
        <f>'Rate Design C&amp;I'!$H$24</f>
        <v>353.77</v>
      </c>
      <c r="I116" s="159">
        <f>'Rate Design C&amp;I'!$H$24</f>
        <v>353.77</v>
      </c>
      <c r="J116" s="159">
        <f>'Rate Design C&amp;I'!$H$24</f>
        <v>353.77</v>
      </c>
      <c r="K116" s="159">
        <f>'Rate Design C&amp;I'!$H$24</f>
        <v>353.77</v>
      </c>
      <c r="L116" s="159">
        <f>'Rate Design C&amp;I'!$H$24</f>
        <v>353.77</v>
      </c>
      <c r="M116" s="159">
        <f>'Rate Design C&amp;I'!$H$24</f>
        <v>353.77</v>
      </c>
      <c r="N116" s="159">
        <f>'Rate Design C&amp;I'!$H$24</f>
        <v>353.77</v>
      </c>
      <c r="O116" s="159">
        <f>'Rate Design C&amp;I'!$H$24</f>
        <v>353.77</v>
      </c>
      <c r="P116" s="159">
        <f>'Rate Design C&amp;I'!$H$24</f>
        <v>353.77</v>
      </c>
      <c r="Q116" s="159">
        <f>'Rate Design C&amp;I'!$H$24</f>
        <v>353.77</v>
      </c>
      <c r="R116" s="26"/>
    </row>
    <row r="117" spans="1:19" x14ac:dyDescent="0.2">
      <c r="B117" t="s">
        <v>3</v>
      </c>
      <c r="D117" s="21" t="s">
        <v>387</v>
      </c>
      <c r="E117" t="s">
        <v>6</v>
      </c>
      <c r="F117" s="160">
        <f>'Rate Design C&amp;I'!$H$25</f>
        <v>0.29475000000000001</v>
      </c>
      <c r="G117" s="160">
        <f>'Rate Design C&amp;I'!$H$25</f>
        <v>0.29475000000000001</v>
      </c>
      <c r="H117" s="160">
        <f>'Rate Design C&amp;I'!$H$25</f>
        <v>0.29475000000000001</v>
      </c>
      <c r="I117" s="160">
        <f>'Rate Design C&amp;I'!$H$25</f>
        <v>0.29475000000000001</v>
      </c>
      <c r="J117" s="160">
        <f>'Rate Design C&amp;I'!$H$25</f>
        <v>0.29475000000000001</v>
      </c>
      <c r="K117" s="160">
        <f>'Rate Design C&amp;I'!$H$25</f>
        <v>0.29475000000000001</v>
      </c>
      <c r="L117" s="160">
        <f>'Rate Design C&amp;I'!$H$25</f>
        <v>0.29475000000000001</v>
      </c>
      <c r="M117" s="160">
        <f>'Rate Design C&amp;I'!$H$25</f>
        <v>0.29475000000000001</v>
      </c>
      <c r="N117" s="160">
        <f>'Rate Design C&amp;I'!$H$25</f>
        <v>0.29475000000000001</v>
      </c>
      <c r="O117" s="160">
        <f>'Rate Design C&amp;I'!$H$25</f>
        <v>0.29475000000000001</v>
      </c>
      <c r="P117" s="160">
        <f>'Rate Design C&amp;I'!$H$25</f>
        <v>0.29475000000000001</v>
      </c>
      <c r="Q117" s="160">
        <f>'Rate Design C&amp;I'!$H$25</f>
        <v>0.29475000000000001</v>
      </c>
      <c r="R117" s="20"/>
      <c r="S117"/>
    </row>
    <row r="118" spans="1:19" x14ac:dyDescent="0.2">
      <c r="A118" s="30"/>
      <c r="B118" s="30" t="s">
        <v>301</v>
      </c>
      <c r="D118" s="21" t="s">
        <v>387</v>
      </c>
      <c r="E118" t="s">
        <v>6</v>
      </c>
      <c r="F118" s="160">
        <f>'Rate Design C&amp;I'!$H$29</f>
        <v>6.9999999999999999E-4</v>
      </c>
      <c r="G118" s="160">
        <f>'Rate Design C&amp;I'!$H$29</f>
        <v>6.9999999999999999E-4</v>
      </c>
      <c r="H118" s="160">
        <f>'Rate Design C&amp;I'!$H$29</f>
        <v>6.9999999999999999E-4</v>
      </c>
      <c r="I118" s="160">
        <f>'Rate Design C&amp;I'!$H$29</f>
        <v>6.9999999999999999E-4</v>
      </c>
      <c r="J118" s="160">
        <f>'Rate Design C&amp;I'!$H$29</f>
        <v>6.9999999999999999E-4</v>
      </c>
      <c r="K118" s="160">
        <f>'Rate Design C&amp;I'!$H$29</f>
        <v>6.9999999999999999E-4</v>
      </c>
      <c r="L118" s="160">
        <f>'Rate Design C&amp;I'!$H$29</f>
        <v>6.9999999999999999E-4</v>
      </c>
      <c r="M118" s="160">
        <f>'Rate Design C&amp;I'!$H$29</f>
        <v>6.9999999999999999E-4</v>
      </c>
      <c r="N118" s="160">
        <f>'Rate Design C&amp;I'!$H$29</f>
        <v>6.9999999999999999E-4</v>
      </c>
      <c r="O118" s="160">
        <f>'Rate Design C&amp;I'!$H$29</f>
        <v>6.9999999999999999E-4</v>
      </c>
      <c r="P118" s="160">
        <f>'Rate Design C&amp;I'!$H$29</f>
        <v>6.9999999999999999E-4</v>
      </c>
      <c r="Q118" s="160">
        <f>'Rate Design C&amp;I'!$H$29</f>
        <v>6.9999999999999999E-4</v>
      </c>
      <c r="R118" s="20"/>
      <c r="S118"/>
    </row>
    <row r="119" spans="1:19" x14ac:dyDescent="0.2">
      <c r="A119" s="30"/>
      <c r="B119" t="s">
        <v>237</v>
      </c>
      <c r="D119" s="21" t="s">
        <v>387</v>
      </c>
      <c r="E119" t="s">
        <v>6</v>
      </c>
      <c r="F119" s="131">
        <f>'Rate Design C&amp;I'!$H$26</f>
        <v>0</v>
      </c>
      <c r="G119" s="131">
        <f>'Rate Design C&amp;I'!$H$26</f>
        <v>0</v>
      </c>
      <c r="H119" s="131">
        <f>'Rate Design C&amp;I'!$H$26</f>
        <v>0</v>
      </c>
      <c r="I119" s="131">
        <f>'Rate Design C&amp;I'!$H$26</f>
        <v>0</v>
      </c>
      <c r="J119" s="131">
        <f>'Rate Design C&amp;I'!$H$26</f>
        <v>0</v>
      </c>
      <c r="K119" s="131">
        <f>'Rate Design C&amp;I'!$H$26</f>
        <v>0</v>
      </c>
      <c r="L119" s="131">
        <f>'Rate Design C&amp;I'!$H$26</f>
        <v>0</v>
      </c>
      <c r="M119" s="131">
        <f>'Rate Design C&amp;I'!$H$26</f>
        <v>0</v>
      </c>
      <c r="N119" s="131">
        <f>'Rate Design C&amp;I'!$H$26</f>
        <v>0</v>
      </c>
      <c r="O119" s="131">
        <f>'Rate Design C&amp;I'!$H$26</f>
        <v>0</v>
      </c>
      <c r="P119" s="131">
        <f>'Rate Design C&amp;I'!$H$26</f>
        <v>0</v>
      </c>
      <c r="Q119" s="131">
        <f>'Rate Design C&amp;I'!$H$26</f>
        <v>0</v>
      </c>
      <c r="R119" s="20"/>
    </row>
    <row r="120" spans="1:19" x14ac:dyDescent="0.2">
      <c r="A120" s="30"/>
      <c r="B120" t="s">
        <v>550</v>
      </c>
      <c r="D120" s="21">
        <v>149</v>
      </c>
      <c r="E120" t="s">
        <v>6</v>
      </c>
      <c r="F120" s="772">
        <f>F75</f>
        <v>1.0880000000000001E-2</v>
      </c>
      <c r="G120" s="772">
        <f t="shared" ref="G120:Q120" si="54">G75</f>
        <v>1.0880000000000001E-2</v>
      </c>
      <c r="H120" s="772">
        <f t="shared" si="54"/>
        <v>1.0880000000000001E-2</v>
      </c>
      <c r="I120" s="772">
        <f t="shared" si="54"/>
        <v>1.0880000000000001E-2</v>
      </c>
      <c r="J120" s="772">
        <f t="shared" si="54"/>
        <v>1.0880000000000001E-2</v>
      </c>
      <c r="K120" s="772">
        <f t="shared" si="54"/>
        <v>1.0880000000000001E-2</v>
      </c>
      <c r="L120" s="772">
        <f t="shared" si="54"/>
        <v>1.0880000000000001E-2</v>
      </c>
      <c r="M120" s="772">
        <f t="shared" si="54"/>
        <v>1.0880000000000001E-2</v>
      </c>
      <c r="N120" s="772">
        <f t="shared" si="54"/>
        <v>1.0880000000000001E-2</v>
      </c>
      <c r="O120" s="772">
        <f t="shared" si="54"/>
        <v>1.0880000000000001E-2</v>
      </c>
      <c r="P120" s="772">
        <f t="shared" si="54"/>
        <v>1.0880000000000001E-2</v>
      </c>
      <c r="Q120" s="772">
        <f t="shared" si="54"/>
        <v>1.0880000000000001E-2</v>
      </c>
      <c r="R120" s="20"/>
    </row>
    <row r="121" spans="1:19" x14ac:dyDescent="0.2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</row>
    <row r="122" spans="1:19" x14ac:dyDescent="0.2">
      <c r="A122" s="30"/>
      <c r="B122" s="29" t="s">
        <v>8</v>
      </c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</row>
    <row r="123" spans="1:19" x14ac:dyDescent="0.2">
      <c r="A123" s="30"/>
      <c r="B123" s="30" t="s">
        <v>22</v>
      </c>
      <c r="C123" s="30"/>
      <c r="D123" s="30"/>
      <c r="E123" s="30" t="s">
        <v>22</v>
      </c>
      <c r="F123" s="76">
        <f>'(R) Data'!C16</f>
        <v>2</v>
      </c>
      <c r="G123" s="603">
        <f>'(R) Data'!D16</f>
        <v>2</v>
      </c>
      <c r="H123" s="603">
        <f>'(R) Data'!E16</f>
        <v>2.9999999999999996</v>
      </c>
      <c r="I123" s="603">
        <f>'(R) Data'!F16</f>
        <v>2</v>
      </c>
      <c r="J123" s="603">
        <f>'(R) Data'!G16</f>
        <v>2</v>
      </c>
      <c r="K123" s="603">
        <f>'(R) Data'!H16</f>
        <v>2.000020827694831</v>
      </c>
      <c r="L123" s="603">
        <f>'(R) Data'!I16</f>
        <v>2</v>
      </c>
      <c r="M123" s="603">
        <f>'(R) Data'!J16</f>
        <v>2</v>
      </c>
      <c r="N123" s="603">
        <f>'(R) Data'!K16</f>
        <v>2</v>
      </c>
      <c r="O123" s="603">
        <f>'(R) Data'!L16</f>
        <v>2</v>
      </c>
      <c r="P123" s="603">
        <f>'(R) Data'!M16</f>
        <v>2</v>
      </c>
      <c r="Q123" s="603">
        <f>'(R) Data'!N16</f>
        <v>2</v>
      </c>
      <c r="R123" s="107">
        <f>SUM(F123:Q123)</f>
        <v>25.000020827694833</v>
      </c>
    </row>
    <row r="124" spans="1:19" x14ac:dyDescent="0.2">
      <c r="B124" t="s">
        <v>30</v>
      </c>
      <c r="E124" t="s">
        <v>10</v>
      </c>
      <c r="F124" s="63">
        <f>'Weather Adj'!D187</f>
        <v>833.33</v>
      </c>
      <c r="G124" s="599">
        <f>'Weather Adj'!E187</f>
        <v>852.46</v>
      </c>
      <c r="H124" s="599">
        <f>'Weather Adj'!F187</f>
        <v>1004.34</v>
      </c>
      <c r="I124" s="599">
        <f>'Weather Adj'!G187</f>
        <v>1858.11</v>
      </c>
      <c r="J124" s="599">
        <f>'Weather Adj'!H187</f>
        <v>2420.34</v>
      </c>
      <c r="K124" s="599">
        <f>'Weather Adj'!I187</f>
        <v>3639.8599999999997</v>
      </c>
      <c r="L124" s="599">
        <f>'Weather Adj'!J187</f>
        <v>2356.8000000000002</v>
      </c>
      <c r="M124" s="599">
        <f>'Weather Adj'!K187</f>
        <v>2713.47</v>
      </c>
      <c r="N124" s="599">
        <f>'Weather Adj'!L187</f>
        <v>2240.84</v>
      </c>
      <c r="O124" s="599">
        <f>'Weather Adj'!M187</f>
        <v>1514.91</v>
      </c>
      <c r="P124" s="599">
        <f>'Weather Adj'!N187</f>
        <v>975.42</v>
      </c>
      <c r="Q124" s="599">
        <f>'Weather Adj'!O187</f>
        <v>955</v>
      </c>
      <c r="R124" s="107">
        <f>SUM(F124:Q124)</f>
        <v>21364.879999999994</v>
      </c>
    </row>
    <row r="125" spans="1:19" x14ac:dyDescent="0.2">
      <c r="R125" s="102"/>
    </row>
    <row r="126" spans="1:19" x14ac:dyDescent="0.2">
      <c r="B126" s="15" t="s">
        <v>9</v>
      </c>
      <c r="R126" s="102"/>
    </row>
    <row r="127" spans="1:19" x14ac:dyDescent="0.2">
      <c r="A127" t="s">
        <v>147</v>
      </c>
      <c r="B127" t="s">
        <v>282</v>
      </c>
      <c r="D127" s="21" t="s">
        <v>387</v>
      </c>
      <c r="F127" s="23">
        <f t="shared" ref="F127:N127" si="55">F116*F123</f>
        <v>707.54</v>
      </c>
      <c r="G127" s="23">
        <f t="shared" si="55"/>
        <v>707.54</v>
      </c>
      <c r="H127" s="23">
        <f t="shared" si="55"/>
        <v>1061.3099999999997</v>
      </c>
      <c r="I127" s="23">
        <f t="shared" si="55"/>
        <v>707.54</v>
      </c>
      <c r="J127" s="23">
        <f t="shared" si="55"/>
        <v>707.54</v>
      </c>
      <c r="K127" s="23">
        <f t="shared" si="55"/>
        <v>707.54736821360029</v>
      </c>
      <c r="L127" s="23">
        <f t="shared" si="55"/>
        <v>707.54</v>
      </c>
      <c r="M127" s="23">
        <f t="shared" si="55"/>
        <v>707.54</v>
      </c>
      <c r="N127" s="23">
        <f t="shared" si="55"/>
        <v>707.54</v>
      </c>
      <c r="O127" s="23">
        <f t="shared" ref="O127:Q127" si="56">O116*O123</f>
        <v>707.54</v>
      </c>
      <c r="P127" s="23">
        <f t="shared" si="56"/>
        <v>707.54</v>
      </c>
      <c r="Q127" s="23">
        <f t="shared" si="56"/>
        <v>707.54</v>
      </c>
      <c r="R127" s="100">
        <f>SUM(F127:Q127)</f>
        <v>8844.257368213599</v>
      </c>
    </row>
    <row r="128" spans="1:19" x14ac:dyDescent="0.2">
      <c r="A128" t="s">
        <v>147</v>
      </c>
      <c r="B128" t="s">
        <v>3</v>
      </c>
      <c r="D128" s="21" t="s">
        <v>387</v>
      </c>
      <c r="F128" s="23">
        <f t="shared" ref="F128:N128" si="57">F117*F124</f>
        <v>245.62401750000001</v>
      </c>
      <c r="G128" s="23">
        <f t="shared" si="57"/>
        <v>251.26258500000003</v>
      </c>
      <c r="H128" s="23">
        <f t="shared" si="57"/>
        <v>296.02921500000002</v>
      </c>
      <c r="I128" s="23">
        <f t="shared" si="57"/>
        <v>547.67792250000002</v>
      </c>
      <c r="J128" s="23">
        <f t="shared" si="57"/>
        <v>713.39521500000012</v>
      </c>
      <c r="K128" s="23">
        <f t="shared" si="57"/>
        <v>1072.848735</v>
      </c>
      <c r="L128" s="23">
        <f t="shared" si="57"/>
        <v>694.66680000000008</v>
      </c>
      <c r="M128" s="23">
        <f t="shared" si="57"/>
        <v>799.79528249999998</v>
      </c>
      <c r="N128" s="23">
        <f t="shared" si="57"/>
        <v>660.48759000000007</v>
      </c>
      <c r="O128" s="23">
        <f t="shared" ref="O128:Q128" si="58">O117*O124</f>
        <v>446.51972250000006</v>
      </c>
      <c r="P128" s="23">
        <f t="shared" si="58"/>
        <v>287.505045</v>
      </c>
      <c r="Q128" s="23">
        <f t="shared" si="58"/>
        <v>281.48624999999998</v>
      </c>
      <c r="R128" s="100">
        <f>SUM(F128:Q128)</f>
        <v>6297.2983800000002</v>
      </c>
    </row>
    <row r="129" spans="1:19" x14ac:dyDescent="0.2">
      <c r="A129" t="s">
        <v>130</v>
      </c>
      <c r="B129" s="30" t="s">
        <v>301</v>
      </c>
      <c r="D129" s="21" t="s">
        <v>387</v>
      </c>
      <c r="F129" s="23">
        <f t="shared" ref="F129:N129" si="59">F118*F124</f>
        <v>0.58333100000000004</v>
      </c>
      <c r="G129" s="23">
        <f t="shared" si="59"/>
        <v>0.59672199999999997</v>
      </c>
      <c r="H129" s="23">
        <f t="shared" si="59"/>
        <v>0.70303800000000005</v>
      </c>
      <c r="I129" s="23">
        <f t="shared" si="59"/>
        <v>1.3006769999999999</v>
      </c>
      <c r="J129" s="23">
        <f t="shared" si="59"/>
        <v>1.6942380000000001</v>
      </c>
      <c r="K129" s="23">
        <f t="shared" si="59"/>
        <v>2.5479019999999997</v>
      </c>
      <c r="L129" s="23">
        <f t="shared" si="59"/>
        <v>1.6497600000000001</v>
      </c>
      <c r="M129" s="23">
        <f t="shared" si="59"/>
        <v>1.8994289999999998</v>
      </c>
      <c r="N129" s="23">
        <f t="shared" si="59"/>
        <v>1.5685880000000001</v>
      </c>
      <c r="O129" s="23">
        <f t="shared" ref="O129:Q129" si="60">O118*O124</f>
        <v>1.0604370000000001</v>
      </c>
      <c r="P129" s="23">
        <f t="shared" si="60"/>
        <v>0.68279400000000001</v>
      </c>
      <c r="Q129" s="23">
        <f t="shared" si="60"/>
        <v>0.66849999999999998</v>
      </c>
      <c r="R129" s="23">
        <f>SUM(F129:Q129)</f>
        <v>14.955416</v>
      </c>
    </row>
    <row r="130" spans="1:19" x14ac:dyDescent="0.2">
      <c r="A130" t="s">
        <v>147</v>
      </c>
      <c r="B130" t="s">
        <v>237</v>
      </c>
      <c r="F130" s="23">
        <f t="shared" ref="F130:N130" si="61">F119*F124</f>
        <v>0</v>
      </c>
      <c r="G130" s="23">
        <f t="shared" si="61"/>
        <v>0</v>
      </c>
      <c r="H130" s="23">
        <f t="shared" si="61"/>
        <v>0</v>
      </c>
      <c r="I130" s="23">
        <f t="shared" si="61"/>
        <v>0</v>
      </c>
      <c r="J130" s="23">
        <f t="shared" si="61"/>
        <v>0</v>
      </c>
      <c r="K130" s="23">
        <f t="shared" si="61"/>
        <v>0</v>
      </c>
      <c r="L130" s="23">
        <f t="shared" si="61"/>
        <v>0</v>
      </c>
      <c r="M130" s="23">
        <f t="shared" si="61"/>
        <v>0</v>
      </c>
      <c r="N130" s="23">
        <f t="shared" si="61"/>
        <v>0</v>
      </c>
      <c r="O130" s="23">
        <f t="shared" ref="O130:Q130" si="62">O119*O124</f>
        <v>0</v>
      </c>
      <c r="P130" s="23">
        <f t="shared" si="62"/>
        <v>0</v>
      </c>
      <c r="Q130" s="23">
        <f t="shared" si="62"/>
        <v>0</v>
      </c>
      <c r="R130" s="23">
        <f>SUM(F130:Q130)</f>
        <v>0</v>
      </c>
    </row>
    <row r="131" spans="1:19" x14ac:dyDescent="0.2">
      <c r="A131" t="s">
        <v>551</v>
      </c>
      <c r="B131" t="s">
        <v>552</v>
      </c>
      <c r="D131">
        <v>149</v>
      </c>
      <c r="F131" s="23">
        <f>F120*F124</f>
        <v>9.0666304000000011</v>
      </c>
      <c r="G131" s="23">
        <f t="shared" ref="G131:Q131" si="63">G120*G124</f>
        <v>9.2747648000000016</v>
      </c>
      <c r="H131" s="23">
        <f t="shared" si="63"/>
        <v>10.927219200000001</v>
      </c>
      <c r="I131" s="23">
        <f t="shared" si="63"/>
        <v>20.216236800000001</v>
      </c>
      <c r="J131" s="23">
        <f t="shared" si="63"/>
        <v>26.333299200000003</v>
      </c>
      <c r="K131" s="23">
        <f t="shared" si="63"/>
        <v>39.6016768</v>
      </c>
      <c r="L131" s="23">
        <f t="shared" si="63"/>
        <v>25.641984000000004</v>
      </c>
      <c r="M131" s="23">
        <f t="shared" si="63"/>
        <v>29.522553599999998</v>
      </c>
      <c r="N131" s="23">
        <f t="shared" si="63"/>
        <v>24.380339200000002</v>
      </c>
      <c r="O131" s="23">
        <f t="shared" si="63"/>
        <v>16.4822208</v>
      </c>
      <c r="P131" s="23">
        <f t="shared" si="63"/>
        <v>10.6125696</v>
      </c>
      <c r="Q131" s="23">
        <f t="shared" si="63"/>
        <v>10.390400000000001</v>
      </c>
      <c r="R131" s="23">
        <f>SUM(F131:Q131)</f>
        <v>232.44989440000003</v>
      </c>
    </row>
    <row r="132" spans="1:19" x14ac:dyDescent="0.2">
      <c r="B132" t="s">
        <v>24</v>
      </c>
      <c r="F132" s="24">
        <f>SUM(F127:F131)</f>
        <v>962.81397890000005</v>
      </c>
      <c r="G132" s="24">
        <f t="shared" ref="G132:R132" si="64">SUM(G127:G131)</f>
        <v>968.67407179999998</v>
      </c>
      <c r="H132" s="24">
        <f t="shared" si="64"/>
        <v>1368.9694721999999</v>
      </c>
      <c r="I132" s="24">
        <f t="shared" si="64"/>
        <v>1276.7348362999999</v>
      </c>
      <c r="J132" s="24">
        <f t="shared" si="64"/>
        <v>1448.9627522000001</v>
      </c>
      <c r="K132" s="24">
        <f t="shared" si="64"/>
        <v>1822.5456820136003</v>
      </c>
      <c r="L132" s="24">
        <f t="shared" si="64"/>
        <v>1429.498544</v>
      </c>
      <c r="M132" s="24">
        <f t="shared" si="64"/>
        <v>1538.7572651</v>
      </c>
      <c r="N132" s="24">
        <f t="shared" si="64"/>
        <v>1393.9765172000002</v>
      </c>
      <c r="O132" s="24">
        <f t="shared" si="64"/>
        <v>1171.6023803000003</v>
      </c>
      <c r="P132" s="24">
        <f t="shared" si="64"/>
        <v>1006.3404085999999</v>
      </c>
      <c r="Q132" s="24">
        <f t="shared" si="64"/>
        <v>1000.0851499999999</v>
      </c>
      <c r="R132" s="24">
        <f t="shared" si="64"/>
        <v>15388.9610586136</v>
      </c>
    </row>
    <row r="133" spans="1:19" s="30" customFormat="1" x14ac:dyDescent="0.2">
      <c r="A133"/>
      <c r="B133"/>
      <c r="C133"/>
      <c r="D133"/>
      <c r="E13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100"/>
    </row>
    <row r="134" spans="1:19" s="50" customFormat="1" x14ac:dyDescent="0.2">
      <c r="A134" t="s">
        <v>305</v>
      </c>
      <c r="B134" t="s">
        <v>304</v>
      </c>
      <c r="C134"/>
      <c r="D134"/>
      <c r="E134"/>
      <c r="F134" s="23">
        <f t="shared" ref="F134:N134" si="65">F129</f>
        <v>0.58333100000000004</v>
      </c>
      <c r="G134" s="23">
        <f t="shared" si="65"/>
        <v>0.59672199999999997</v>
      </c>
      <c r="H134" s="23">
        <f t="shared" si="65"/>
        <v>0.70303800000000005</v>
      </c>
      <c r="I134" s="23">
        <f t="shared" si="65"/>
        <v>1.3006769999999999</v>
      </c>
      <c r="J134" s="23">
        <f t="shared" si="65"/>
        <v>1.6942380000000001</v>
      </c>
      <c r="K134" s="23">
        <f t="shared" si="65"/>
        <v>2.5479019999999997</v>
      </c>
      <c r="L134" s="23">
        <f t="shared" si="65"/>
        <v>1.6497600000000001</v>
      </c>
      <c r="M134" s="23">
        <f t="shared" si="65"/>
        <v>1.8994289999999998</v>
      </c>
      <c r="N134" s="23">
        <f t="shared" si="65"/>
        <v>1.5685880000000001</v>
      </c>
      <c r="O134" s="23">
        <f t="shared" ref="O134:Q134" si="66">O129</f>
        <v>1.0604370000000001</v>
      </c>
      <c r="P134" s="23">
        <f t="shared" si="66"/>
        <v>0.68279400000000001</v>
      </c>
      <c r="Q134" s="23">
        <f t="shared" si="66"/>
        <v>0.66849999999999998</v>
      </c>
      <c r="R134" s="100">
        <f>SUM(F134:Q134)</f>
        <v>14.955416</v>
      </c>
      <c r="S134" s="31"/>
    </row>
    <row r="136" spans="1:19" s="30" customFormat="1" x14ac:dyDescent="0.2">
      <c r="A136"/>
      <c r="B136" s="648" t="s">
        <v>536</v>
      </c>
      <c r="C136" s="648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</row>
    <row r="137" spans="1:19" s="30" customFormat="1" x14ac:dyDescent="0.2">
      <c r="A137"/>
      <c r="B137" s="648" t="s">
        <v>7</v>
      </c>
      <c r="C137" s="648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</row>
    <row r="138" spans="1:19" s="30" customFormat="1" x14ac:dyDescent="0.2">
      <c r="A138"/>
      <c r="B138" t="s">
        <v>282</v>
      </c>
      <c r="C138"/>
      <c r="D138" s="21" t="s">
        <v>387</v>
      </c>
      <c r="E138" t="s">
        <v>5</v>
      </c>
      <c r="F138" s="619">
        <f>'Rate Design C&amp;I'!$H$24</f>
        <v>353.77</v>
      </c>
      <c r="G138" s="619">
        <f>'Rate Design C&amp;I'!$H$24</f>
        <v>353.77</v>
      </c>
      <c r="H138" s="619">
        <f>'Rate Design C&amp;I'!$H$24</f>
        <v>353.77</v>
      </c>
      <c r="I138" s="619">
        <f>'Rate Design C&amp;I'!$H$24</f>
        <v>353.77</v>
      </c>
      <c r="J138" s="619">
        <f>'Rate Design C&amp;I'!$H$24</f>
        <v>353.77</v>
      </c>
      <c r="K138" s="619">
        <f>'Rate Design C&amp;I'!$H$24</f>
        <v>353.77</v>
      </c>
      <c r="L138" s="619">
        <f>'Rate Design C&amp;I'!$H$24</f>
        <v>353.77</v>
      </c>
      <c r="M138" s="619">
        <f>'Rate Design C&amp;I'!$H$24</f>
        <v>353.77</v>
      </c>
      <c r="N138" s="619">
        <f>'Rate Design C&amp;I'!$H$24</f>
        <v>353.77</v>
      </c>
      <c r="O138" s="619">
        <f>'Rate Design C&amp;I'!$H$24</f>
        <v>353.77</v>
      </c>
      <c r="P138" s="619">
        <f>'Rate Design C&amp;I'!$H$24</f>
        <v>353.77</v>
      </c>
      <c r="Q138" s="619">
        <f>'Rate Design C&amp;I'!$H$24</f>
        <v>353.77</v>
      </c>
      <c r="R138" s="26"/>
    </row>
    <row r="139" spans="1:19" x14ac:dyDescent="0.2">
      <c r="B139" t="s">
        <v>3</v>
      </c>
      <c r="D139" s="21" t="s">
        <v>387</v>
      </c>
      <c r="E139" t="s">
        <v>6</v>
      </c>
      <c r="F139" s="160">
        <f>'Rate Design C&amp;I'!$H$25</f>
        <v>0.29475000000000001</v>
      </c>
      <c r="G139" s="160">
        <f>'Rate Design C&amp;I'!$H$25</f>
        <v>0.29475000000000001</v>
      </c>
      <c r="H139" s="160">
        <f>'Rate Design C&amp;I'!$H$25</f>
        <v>0.29475000000000001</v>
      </c>
      <c r="I139" s="160">
        <f>'Rate Design C&amp;I'!$H$25</f>
        <v>0.29475000000000001</v>
      </c>
      <c r="J139" s="160">
        <f>'Rate Design C&amp;I'!$H$25</f>
        <v>0.29475000000000001</v>
      </c>
      <c r="K139" s="160">
        <f>'Rate Design C&amp;I'!$H$25</f>
        <v>0.29475000000000001</v>
      </c>
      <c r="L139" s="160">
        <f>'Rate Design C&amp;I'!$H$25</f>
        <v>0.29475000000000001</v>
      </c>
      <c r="M139" s="160">
        <f>'Rate Design C&amp;I'!$H$25</f>
        <v>0.29475000000000001</v>
      </c>
      <c r="N139" s="160">
        <f>'Rate Design C&amp;I'!$H$25</f>
        <v>0.29475000000000001</v>
      </c>
      <c r="O139" s="160">
        <f>'Rate Design C&amp;I'!$H$25</f>
        <v>0.29475000000000001</v>
      </c>
      <c r="P139" s="160">
        <f>'Rate Design C&amp;I'!$H$25</f>
        <v>0.29475000000000001</v>
      </c>
      <c r="Q139" s="160">
        <f>'Rate Design C&amp;I'!$H$25</f>
        <v>0.29475000000000001</v>
      </c>
      <c r="R139" s="20"/>
      <c r="S139"/>
    </row>
    <row r="140" spans="1:19" x14ac:dyDescent="0.2">
      <c r="A140" s="30"/>
      <c r="B140" s="30" t="s">
        <v>301</v>
      </c>
      <c r="D140" s="21" t="s">
        <v>387</v>
      </c>
      <c r="E140" t="s">
        <v>6</v>
      </c>
      <c r="F140" s="160">
        <f>'Rate Design C&amp;I'!$H$29</f>
        <v>6.9999999999999999E-4</v>
      </c>
      <c r="G140" s="160">
        <f>'Rate Design C&amp;I'!$H$29</f>
        <v>6.9999999999999999E-4</v>
      </c>
      <c r="H140" s="160">
        <f>'Rate Design C&amp;I'!$H$29</f>
        <v>6.9999999999999999E-4</v>
      </c>
      <c r="I140" s="160">
        <f>'Rate Design C&amp;I'!$H$29</f>
        <v>6.9999999999999999E-4</v>
      </c>
      <c r="J140" s="160">
        <f>'Rate Design C&amp;I'!$H$29</f>
        <v>6.9999999999999999E-4</v>
      </c>
      <c r="K140" s="160">
        <f>'Rate Design C&amp;I'!$H$29</f>
        <v>6.9999999999999999E-4</v>
      </c>
      <c r="L140" s="160">
        <f>'Rate Design C&amp;I'!$H$29</f>
        <v>6.9999999999999999E-4</v>
      </c>
      <c r="M140" s="160">
        <f>'Rate Design C&amp;I'!$H$29</f>
        <v>6.9999999999999999E-4</v>
      </c>
      <c r="N140" s="160">
        <f>'Rate Design C&amp;I'!$H$29</f>
        <v>6.9999999999999999E-4</v>
      </c>
      <c r="O140" s="160">
        <f>'Rate Design C&amp;I'!$H$29</f>
        <v>6.9999999999999999E-4</v>
      </c>
      <c r="P140" s="160">
        <f>'Rate Design C&amp;I'!$H$29</f>
        <v>6.9999999999999999E-4</v>
      </c>
      <c r="Q140" s="160">
        <f>'Rate Design C&amp;I'!$H$29</f>
        <v>6.9999999999999999E-4</v>
      </c>
      <c r="R140" s="20"/>
      <c r="S140"/>
    </row>
    <row r="141" spans="1:19" x14ac:dyDescent="0.2">
      <c r="A141" s="30"/>
      <c r="B141" t="s">
        <v>237</v>
      </c>
      <c r="D141" s="21" t="s">
        <v>387</v>
      </c>
      <c r="E141" t="s">
        <v>6</v>
      </c>
      <c r="F141" s="131">
        <f>'Rate Design C&amp;I'!$H$26</f>
        <v>0</v>
      </c>
      <c r="G141" s="131">
        <f>'Rate Design C&amp;I'!$H$26</f>
        <v>0</v>
      </c>
      <c r="H141" s="131">
        <f>'Rate Design C&amp;I'!$H$26</f>
        <v>0</v>
      </c>
      <c r="I141" s="131">
        <f>'Rate Design C&amp;I'!$H$26</f>
        <v>0</v>
      </c>
      <c r="J141" s="131">
        <f>'Rate Design C&amp;I'!$H$26</f>
        <v>0</v>
      </c>
      <c r="K141" s="131">
        <f>'Rate Design C&amp;I'!$H$26</f>
        <v>0</v>
      </c>
      <c r="L141" s="131">
        <f>'Rate Design C&amp;I'!$H$26</f>
        <v>0</v>
      </c>
      <c r="M141" s="131">
        <f>'Rate Design C&amp;I'!$H$26</f>
        <v>0</v>
      </c>
      <c r="N141" s="131">
        <f>'Rate Design C&amp;I'!$H$26</f>
        <v>0</v>
      </c>
      <c r="O141" s="131">
        <f>'Rate Design C&amp;I'!$H$26</f>
        <v>0</v>
      </c>
      <c r="P141" s="131">
        <f>'Rate Design C&amp;I'!$H$26</f>
        <v>0</v>
      </c>
      <c r="Q141" s="131">
        <f>'Rate Design C&amp;I'!$H$26</f>
        <v>0</v>
      </c>
      <c r="R141" s="20"/>
      <c r="S141"/>
    </row>
    <row r="142" spans="1:19" x14ac:dyDescent="0.2">
      <c r="A142" s="30"/>
      <c r="B142" t="s">
        <v>550</v>
      </c>
      <c r="D142" s="21">
        <v>149</v>
      </c>
      <c r="E142" t="s">
        <v>6</v>
      </c>
      <c r="F142" s="772">
        <f>F75</f>
        <v>1.0880000000000001E-2</v>
      </c>
      <c r="G142" s="772">
        <f t="shared" ref="G142:Q142" si="67">G75</f>
        <v>1.0880000000000001E-2</v>
      </c>
      <c r="H142" s="772">
        <f t="shared" si="67"/>
        <v>1.0880000000000001E-2</v>
      </c>
      <c r="I142" s="772">
        <f t="shared" si="67"/>
        <v>1.0880000000000001E-2</v>
      </c>
      <c r="J142" s="772">
        <f t="shared" si="67"/>
        <v>1.0880000000000001E-2</v>
      </c>
      <c r="K142" s="772">
        <f t="shared" si="67"/>
        <v>1.0880000000000001E-2</v>
      </c>
      <c r="L142" s="772">
        <f t="shared" si="67"/>
        <v>1.0880000000000001E-2</v>
      </c>
      <c r="M142" s="772">
        <f t="shared" si="67"/>
        <v>1.0880000000000001E-2</v>
      </c>
      <c r="N142" s="772">
        <f t="shared" si="67"/>
        <v>1.0880000000000001E-2</v>
      </c>
      <c r="O142" s="772">
        <f t="shared" si="67"/>
        <v>1.0880000000000001E-2</v>
      </c>
      <c r="P142" s="772">
        <f t="shared" si="67"/>
        <v>1.0880000000000001E-2</v>
      </c>
      <c r="Q142" s="772">
        <f t="shared" si="67"/>
        <v>1.0880000000000001E-2</v>
      </c>
      <c r="R142" s="20"/>
      <c r="S142"/>
    </row>
    <row r="143" spans="1:19" x14ac:dyDescent="0.2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/>
    </row>
    <row r="144" spans="1:19" x14ac:dyDescent="0.2">
      <c r="A144" s="30"/>
      <c r="B144" s="651" t="s">
        <v>8</v>
      </c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/>
    </row>
    <row r="145" spans="1:19" x14ac:dyDescent="0.2">
      <c r="A145" s="30"/>
      <c r="B145" s="30" t="s">
        <v>22</v>
      </c>
      <c r="C145" s="30"/>
      <c r="D145" s="30"/>
      <c r="E145" s="30" t="s">
        <v>22</v>
      </c>
      <c r="F145" s="603">
        <f>'(R) Data'!C17</f>
        <v>1</v>
      </c>
      <c r="G145" s="603">
        <f>'(R) Data'!D17</f>
        <v>1</v>
      </c>
      <c r="H145" s="603">
        <f>'(R) Data'!E17</f>
        <v>1</v>
      </c>
      <c r="I145" s="603">
        <f>'(R) Data'!F17</f>
        <v>1</v>
      </c>
      <c r="J145" s="603">
        <f>'(R) Data'!G17</f>
        <v>1</v>
      </c>
      <c r="K145" s="603">
        <f>'(R) Data'!H17</f>
        <v>1.0000104138474155</v>
      </c>
      <c r="L145" s="603">
        <f>'(R) Data'!I17</f>
        <v>1</v>
      </c>
      <c r="M145" s="603">
        <f>'(R) Data'!J17</f>
        <v>1</v>
      </c>
      <c r="N145" s="603">
        <f>'(R) Data'!K17</f>
        <v>1</v>
      </c>
      <c r="O145" s="603">
        <f>'(R) Data'!L17</f>
        <v>1</v>
      </c>
      <c r="P145" s="603">
        <f>'(R) Data'!M17</f>
        <v>1</v>
      </c>
      <c r="Q145" s="603">
        <f>'(R) Data'!N17</f>
        <v>1</v>
      </c>
      <c r="R145" s="649">
        <f>SUM(F145:Q145)</f>
        <v>12.000010413847416</v>
      </c>
      <c r="S145"/>
    </row>
    <row r="146" spans="1:19" s="30" customFormat="1" x14ac:dyDescent="0.2">
      <c r="A146"/>
      <c r="B146" t="s">
        <v>30</v>
      </c>
      <c r="C146"/>
      <c r="D146"/>
      <c r="E146" t="s">
        <v>10</v>
      </c>
      <c r="F146" s="599">
        <f>'Weather Adj'!D179</f>
        <v>76.98</v>
      </c>
      <c r="G146" s="599">
        <f>'Weather Adj'!E179</f>
        <v>27.25</v>
      </c>
      <c r="H146" s="599">
        <f>'Weather Adj'!F179</f>
        <v>242.87</v>
      </c>
      <c r="I146" s="599">
        <f>'Weather Adj'!G179</f>
        <v>1980.63</v>
      </c>
      <c r="J146" s="599">
        <f>'Weather Adj'!H179</f>
        <v>3346.76</v>
      </c>
      <c r="K146" s="599">
        <f>'Weather Adj'!I179</f>
        <v>4385.21</v>
      </c>
      <c r="L146" s="599">
        <f>'Weather Adj'!J179</f>
        <v>2645.87</v>
      </c>
      <c r="M146" s="599">
        <f>'Weather Adj'!K179</f>
        <v>3836.98</v>
      </c>
      <c r="N146" s="599">
        <f>'Weather Adj'!L179</f>
        <v>2823.34</v>
      </c>
      <c r="O146" s="599">
        <f>'Weather Adj'!M179</f>
        <v>2002.65</v>
      </c>
      <c r="P146" s="599">
        <f>'Weather Adj'!N179</f>
        <v>642.91</v>
      </c>
      <c r="Q146" s="599">
        <f>'Weather Adj'!O179</f>
        <v>37.44</v>
      </c>
      <c r="R146" s="649">
        <f>SUM(F146:Q146)</f>
        <v>22048.89</v>
      </c>
    </row>
    <row r="147" spans="1:19" s="30" customFormat="1" x14ac:dyDescent="0.2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 s="647"/>
    </row>
    <row r="148" spans="1:19" s="30" customFormat="1" x14ac:dyDescent="0.2">
      <c r="A148"/>
      <c r="B148" s="648" t="s">
        <v>9</v>
      </c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 s="647"/>
    </row>
    <row r="149" spans="1:19" x14ac:dyDescent="0.2">
      <c r="A149" t="s">
        <v>147</v>
      </c>
      <c r="B149" t="s">
        <v>282</v>
      </c>
      <c r="D149" s="21" t="s">
        <v>387</v>
      </c>
      <c r="F149" s="23">
        <f t="shared" ref="F149:Q149" si="68">F138*F145</f>
        <v>353.77</v>
      </c>
      <c r="G149" s="23">
        <f t="shared" si="68"/>
        <v>353.77</v>
      </c>
      <c r="H149" s="23">
        <f t="shared" si="68"/>
        <v>353.77</v>
      </c>
      <c r="I149" s="23">
        <f t="shared" si="68"/>
        <v>353.77</v>
      </c>
      <c r="J149" s="23">
        <f t="shared" si="68"/>
        <v>353.77</v>
      </c>
      <c r="K149" s="23">
        <f t="shared" si="68"/>
        <v>353.77368410680015</v>
      </c>
      <c r="L149" s="23">
        <f t="shared" si="68"/>
        <v>353.77</v>
      </c>
      <c r="M149" s="23">
        <f t="shared" si="68"/>
        <v>353.77</v>
      </c>
      <c r="N149" s="23">
        <f t="shared" si="68"/>
        <v>353.77</v>
      </c>
      <c r="O149" s="23">
        <f t="shared" si="68"/>
        <v>353.77</v>
      </c>
      <c r="P149" s="23">
        <f t="shared" si="68"/>
        <v>353.77</v>
      </c>
      <c r="Q149" s="23">
        <f t="shared" si="68"/>
        <v>353.77</v>
      </c>
      <c r="R149" s="100">
        <f>SUM(F149:Q149)</f>
        <v>4245.2436841068002</v>
      </c>
      <c r="S149"/>
    </row>
    <row r="150" spans="1:19" x14ac:dyDescent="0.2">
      <c r="A150" t="s">
        <v>147</v>
      </c>
      <c r="B150" t="s">
        <v>3</v>
      </c>
      <c r="D150" s="21" t="s">
        <v>387</v>
      </c>
      <c r="F150" s="23">
        <f t="shared" ref="F150:Q150" si="69">F139*F146</f>
        <v>22.689855000000001</v>
      </c>
      <c r="G150" s="23">
        <f t="shared" si="69"/>
        <v>8.0319374999999997</v>
      </c>
      <c r="H150" s="23">
        <f t="shared" si="69"/>
        <v>71.585932499999998</v>
      </c>
      <c r="I150" s="23">
        <f t="shared" si="69"/>
        <v>583.79069250000009</v>
      </c>
      <c r="J150" s="23">
        <f t="shared" si="69"/>
        <v>986.45751000000007</v>
      </c>
      <c r="K150" s="23">
        <f t="shared" si="69"/>
        <v>1292.5406475</v>
      </c>
      <c r="L150" s="23">
        <f t="shared" si="69"/>
        <v>779.87018250000006</v>
      </c>
      <c r="M150" s="23">
        <f t="shared" si="69"/>
        <v>1130.9498550000001</v>
      </c>
      <c r="N150" s="23">
        <f t="shared" si="69"/>
        <v>832.17946500000005</v>
      </c>
      <c r="O150" s="23">
        <f t="shared" si="69"/>
        <v>590.28108750000001</v>
      </c>
      <c r="P150" s="23">
        <f t="shared" si="69"/>
        <v>189.49772250000001</v>
      </c>
      <c r="Q150" s="23">
        <f t="shared" si="69"/>
        <v>11.035439999999999</v>
      </c>
      <c r="R150" s="100">
        <f>SUM(F150:Q150)</f>
        <v>6498.9103274999998</v>
      </c>
      <c r="S150"/>
    </row>
    <row r="151" spans="1:19" x14ac:dyDescent="0.2">
      <c r="A151" t="s">
        <v>130</v>
      </c>
      <c r="B151" s="30" t="s">
        <v>301</v>
      </c>
      <c r="D151" s="21" t="s">
        <v>387</v>
      </c>
      <c r="F151" s="23">
        <f t="shared" ref="F151:Q151" si="70">F140*F146</f>
        <v>5.3886000000000003E-2</v>
      </c>
      <c r="G151" s="23">
        <f t="shared" si="70"/>
        <v>1.9074999999999998E-2</v>
      </c>
      <c r="H151" s="23">
        <f t="shared" si="70"/>
        <v>0.17000899999999999</v>
      </c>
      <c r="I151" s="23">
        <f t="shared" si="70"/>
        <v>1.386441</v>
      </c>
      <c r="J151" s="23">
        <f t="shared" si="70"/>
        <v>2.3427320000000003</v>
      </c>
      <c r="K151" s="23">
        <f t="shared" si="70"/>
        <v>3.0696469999999998</v>
      </c>
      <c r="L151" s="23">
        <f t="shared" si="70"/>
        <v>1.852109</v>
      </c>
      <c r="M151" s="23">
        <f t="shared" si="70"/>
        <v>2.685886</v>
      </c>
      <c r="N151" s="23">
        <f t="shared" si="70"/>
        <v>1.9763380000000002</v>
      </c>
      <c r="O151" s="23">
        <f t="shared" si="70"/>
        <v>1.4018550000000001</v>
      </c>
      <c r="P151" s="23">
        <f t="shared" si="70"/>
        <v>0.45003699999999996</v>
      </c>
      <c r="Q151" s="23">
        <f t="shared" si="70"/>
        <v>2.6207999999999999E-2</v>
      </c>
      <c r="R151" s="23">
        <f>SUM(F151:Q151)</f>
        <v>15.434222999999999</v>
      </c>
      <c r="S151"/>
    </row>
    <row r="152" spans="1:19" x14ac:dyDescent="0.2">
      <c r="A152" t="s">
        <v>147</v>
      </c>
      <c r="B152" t="s">
        <v>237</v>
      </c>
      <c r="F152" s="23">
        <f t="shared" ref="F152:Q152" si="71">F141*F146</f>
        <v>0</v>
      </c>
      <c r="G152" s="23">
        <f t="shared" si="71"/>
        <v>0</v>
      </c>
      <c r="H152" s="23">
        <f t="shared" si="71"/>
        <v>0</v>
      </c>
      <c r="I152" s="23">
        <f t="shared" si="71"/>
        <v>0</v>
      </c>
      <c r="J152" s="23">
        <f t="shared" si="71"/>
        <v>0</v>
      </c>
      <c r="K152" s="23">
        <f t="shared" si="71"/>
        <v>0</v>
      </c>
      <c r="L152" s="23">
        <f t="shared" si="71"/>
        <v>0</v>
      </c>
      <c r="M152" s="23">
        <f t="shared" si="71"/>
        <v>0</v>
      </c>
      <c r="N152" s="23">
        <f t="shared" si="71"/>
        <v>0</v>
      </c>
      <c r="O152" s="23">
        <f t="shared" si="71"/>
        <v>0</v>
      </c>
      <c r="P152" s="23">
        <f t="shared" si="71"/>
        <v>0</v>
      </c>
      <c r="Q152" s="23">
        <f t="shared" si="71"/>
        <v>0</v>
      </c>
      <c r="R152" s="23">
        <f>SUM(F152:Q152)</f>
        <v>0</v>
      </c>
      <c r="S152"/>
    </row>
    <row r="153" spans="1:19" x14ac:dyDescent="0.2">
      <c r="A153" t="s">
        <v>551</v>
      </c>
      <c r="B153" t="s">
        <v>552</v>
      </c>
      <c r="D153">
        <v>149</v>
      </c>
      <c r="F153" s="23">
        <f>F142*F146</f>
        <v>0.83754240000000013</v>
      </c>
      <c r="G153" s="23">
        <f t="shared" ref="G153:Q153" si="72">G142*G146</f>
        <v>0.29648000000000002</v>
      </c>
      <c r="H153" s="23">
        <f t="shared" si="72"/>
        <v>2.6424256000000002</v>
      </c>
      <c r="I153" s="23">
        <f t="shared" si="72"/>
        <v>21.549254400000002</v>
      </c>
      <c r="J153" s="23">
        <f t="shared" si="72"/>
        <v>36.412748800000003</v>
      </c>
      <c r="K153" s="23">
        <f t="shared" si="72"/>
        <v>47.711084800000002</v>
      </c>
      <c r="L153" s="23">
        <f t="shared" si="72"/>
        <v>28.787065600000002</v>
      </c>
      <c r="M153" s="23">
        <f t="shared" si="72"/>
        <v>41.746342400000003</v>
      </c>
      <c r="N153" s="23">
        <f t="shared" si="72"/>
        <v>30.717939200000004</v>
      </c>
      <c r="O153" s="23">
        <f t="shared" si="72"/>
        <v>21.788832000000003</v>
      </c>
      <c r="P153" s="23">
        <f t="shared" si="72"/>
        <v>6.9948608000000005</v>
      </c>
      <c r="Q153" s="23">
        <f t="shared" si="72"/>
        <v>0.40734720000000002</v>
      </c>
      <c r="R153" s="23">
        <f>SUM(F153:Q153)</f>
        <v>239.89192320000004</v>
      </c>
      <c r="S153"/>
    </row>
    <row r="154" spans="1:19" x14ac:dyDescent="0.2">
      <c r="B154" t="s">
        <v>24</v>
      </c>
      <c r="F154" s="24">
        <f>SUM(F149:F153)</f>
        <v>377.3512834</v>
      </c>
      <c r="G154" s="24">
        <f t="shared" ref="G154:R154" si="73">SUM(G149:G153)</f>
        <v>362.11749249999997</v>
      </c>
      <c r="H154" s="24">
        <f t="shared" si="73"/>
        <v>428.16836710000001</v>
      </c>
      <c r="I154" s="24">
        <f t="shared" si="73"/>
        <v>960.49638790000006</v>
      </c>
      <c r="J154" s="24">
        <f t="shared" si="73"/>
        <v>1378.9829908000002</v>
      </c>
      <c r="K154" s="24">
        <f t="shared" si="73"/>
        <v>1697.0950634068001</v>
      </c>
      <c r="L154" s="24">
        <f t="shared" si="73"/>
        <v>1164.2793571</v>
      </c>
      <c r="M154" s="24">
        <f t="shared" si="73"/>
        <v>1529.1520834</v>
      </c>
      <c r="N154" s="24">
        <f t="shared" si="73"/>
        <v>1218.6437422000001</v>
      </c>
      <c r="O154" s="24">
        <f t="shared" si="73"/>
        <v>967.24177449999991</v>
      </c>
      <c r="P154" s="24">
        <f t="shared" si="73"/>
        <v>550.71262029999991</v>
      </c>
      <c r="Q154" s="24">
        <f t="shared" si="73"/>
        <v>365.23899519999998</v>
      </c>
      <c r="R154" s="24">
        <f t="shared" si="73"/>
        <v>10999.4801578068</v>
      </c>
      <c r="S154"/>
    </row>
    <row r="155" spans="1:19" x14ac:dyDescent="0.2"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100"/>
      <c r="S155"/>
    </row>
    <row r="156" spans="1:19" x14ac:dyDescent="0.2">
      <c r="A156" t="s">
        <v>305</v>
      </c>
      <c r="B156" t="s">
        <v>304</v>
      </c>
      <c r="F156" s="23">
        <f t="shared" ref="F156:Q156" si="74">F151</f>
        <v>5.3886000000000003E-2</v>
      </c>
      <c r="G156" s="23">
        <f t="shared" si="74"/>
        <v>1.9074999999999998E-2</v>
      </c>
      <c r="H156" s="23">
        <f t="shared" si="74"/>
        <v>0.17000899999999999</v>
      </c>
      <c r="I156" s="23">
        <f t="shared" si="74"/>
        <v>1.386441</v>
      </c>
      <c r="J156" s="23">
        <f t="shared" si="74"/>
        <v>2.3427320000000003</v>
      </c>
      <c r="K156" s="23">
        <f t="shared" si="74"/>
        <v>3.0696469999999998</v>
      </c>
      <c r="L156" s="23">
        <f t="shared" si="74"/>
        <v>1.852109</v>
      </c>
      <c r="M156" s="23">
        <f t="shared" si="74"/>
        <v>2.685886</v>
      </c>
      <c r="N156" s="23">
        <f t="shared" si="74"/>
        <v>1.9763380000000002</v>
      </c>
      <c r="O156" s="23">
        <f t="shared" si="74"/>
        <v>1.4018550000000001</v>
      </c>
      <c r="P156" s="23">
        <f t="shared" si="74"/>
        <v>0.45003699999999996</v>
      </c>
      <c r="Q156" s="23">
        <f t="shared" si="74"/>
        <v>2.6207999999999999E-2</v>
      </c>
      <c r="R156" s="100">
        <f>SUM(F156:Q156)</f>
        <v>15.434222999999999</v>
      </c>
      <c r="S156"/>
    </row>
    <row r="157" spans="1:19" x14ac:dyDescent="0.2">
      <c r="S157"/>
    </row>
    <row r="158" spans="1:19" x14ac:dyDescent="0.2">
      <c r="B158" s="15" t="s">
        <v>92</v>
      </c>
      <c r="C158" s="15"/>
      <c r="S158"/>
    </row>
    <row r="159" spans="1:19" x14ac:dyDescent="0.2">
      <c r="B159" s="15" t="s">
        <v>7</v>
      </c>
      <c r="C159" s="15"/>
      <c r="S159"/>
    </row>
    <row r="160" spans="1:19" x14ac:dyDescent="0.2">
      <c r="B160" t="s">
        <v>282</v>
      </c>
      <c r="D160">
        <v>41</v>
      </c>
      <c r="E160" t="s">
        <v>5</v>
      </c>
      <c r="F160" s="159">
        <f>'Rate Design C&amp;I'!$H$47</f>
        <v>106.43</v>
      </c>
      <c r="G160" s="159">
        <f>'Rate Design C&amp;I'!$H$47</f>
        <v>106.43</v>
      </c>
      <c r="H160" s="159">
        <f>'Rate Design C&amp;I'!$H$47</f>
        <v>106.43</v>
      </c>
      <c r="I160" s="159">
        <f>'Rate Design C&amp;I'!$H$47</f>
        <v>106.43</v>
      </c>
      <c r="J160" s="159">
        <f>'Rate Design C&amp;I'!$H$47</f>
        <v>106.43</v>
      </c>
      <c r="K160" s="159">
        <f>'Rate Design C&amp;I'!$H$47</f>
        <v>106.43</v>
      </c>
      <c r="L160" s="159">
        <f>'Rate Design C&amp;I'!$H$47</f>
        <v>106.43</v>
      </c>
      <c r="M160" s="159">
        <f>'Rate Design C&amp;I'!$H$47</f>
        <v>106.43</v>
      </c>
      <c r="N160" s="159">
        <f>'Rate Design C&amp;I'!$H$47</f>
        <v>106.43</v>
      </c>
      <c r="O160" s="159">
        <f>'Rate Design C&amp;I'!$H$47</f>
        <v>106.43</v>
      </c>
      <c r="P160" s="159">
        <f>'Rate Design C&amp;I'!$H$47</f>
        <v>106.43</v>
      </c>
      <c r="Q160" s="159">
        <f>'Rate Design C&amp;I'!$H$47</f>
        <v>106.43</v>
      </c>
      <c r="R160" s="26"/>
      <c r="S160"/>
    </row>
    <row r="161" spans="1:19" x14ac:dyDescent="0.2">
      <c r="B161" t="s">
        <v>3</v>
      </c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20"/>
    </row>
    <row r="162" spans="1:19" x14ac:dyDescent="0.2">
      <c r="C162" t="s">
        <v>15</v>
      </c>
      <c r="D162">
        <v>41</v>
      </c>
      <c r="E162" t="s">
        <v>6</v>
      </c>
      <c r="F162" s="160">
        <f>'Rate Design C&amp;I'!$H$52</f>
        <v>0.12876000000000001</v>
      </c>
      <c r="G162" s="160">
        <f>'Rate Design C&amp;I'!$H$52</f>
        <v>0.12876000000000001</v>
      </c>
      <c r="H162" s="160">
        <f>'Rate Design C&amp;I'!$H$52</f>
        <v>0.12876000000000001</v>
      </c>
      <c r="I162" s="160">
        <f>'Rate Design C&amp;I'!$H$52</f>
        <v>0.12876000000000001</v>
      </c>
      <c r="J162" s="160">
        <f>'Rate Design C&amp;I'!$H$52</f>
        <v>0.12876000000000001</v>
      </c>
      <c r="K162" s="160">
        <f>'Rate Design C&amp;I'!$H$52</f>
        <v>0.12876000000000001</v>
      </c>
      <c r="L162" s="160">
        <f>'Rate Design C&amp;I'!$H$52</f>
        <v>0.12876000000000001</v>
      </c>
      <c r="M162" s="160">
        <f>'Rate Design C&amp;I'!$H$52</f>
        <v>0.12876000000000001</v>
      </c>
      <c r="N162" s="160">
        <f>'Rate Design C&amp;I'!$H$52</f>
        <v>0.12876000000000001</v>
      </c>
      <c r="O162" s="160">
        <f>'Rate Design C&amp;I'!$H$52</f>
        <v>0.12876000000000001</v>
      </c>
      <c r="P162" s="160">
        <f>'Rate Design C&amp;I'!$H$52</f>
        <v>0.12876000000000001</v>
      </c>
      <c r="Q162" s="160">
        <f>'Rate Design C&amp;I'!$H$52</f>
        <v>0.12876000000000001</v>
      </c>
      <c r="R162" s="20"/>
    </row>
    <row r="163" spans="1:19" x14ac:dyDescent="0.2">
      <c r="C163" t="s">
        <v>16</v>
      </c>
      <c r="D163">
        <v>41</v>
      </c>
      <c r="E163" t="s">
        <v>6</v>
      </c>
      <c r="F163" s="160">
        <f>'Rate Design C&amp;I'!$H$54</f>
        <v>0.10364</v>
      </c>
      <c r="G163" s="160">
        <f>'Rate Design C&amp;I'!$H$54</f>
        <v>0.10364</v>
      </c>
      <c r="H163" s="160">
        <f>'Rate Design C&amp;I'!$H$54</f>
        <v>0.10364</v>
      </c>
      <c r="I163" s="160">
        <f>'Rate Design C&amp;I'!$H$54</f>
        <v>0.10364</v>
      </c>
      <c r="J163" s="160">
        <f>'Rate Design C&amp;I'!$H$54</f>
        <v>0.10364</v>
      </c>
      <c r="K163" s="160">
        <f>'Rate Design C&amp;I'!$H$54</f>
        <v>0.10364</v>
      </c>
      <c r="L163" s="160">
        <f>'Rate Design C&amp;I'!$H$54</f>
        <v>0.10364</v>
      </c>
      <c r="M163" s="160">
        <f>'Rate Design C&amp;I'!$H$54</f>
        <v>0.10364</v>
      </c>
      <c r="N163" s="160">
        <f>'Rate Design C&amp;I'!$H$54</f>
        <v>0.10364</v>
      </c>
      <c r="O163" s="160">
        <f>'Rate Design C&amp;I'!$H$54</f>
        <v>0.10364</v>
      </c>
      <c r="P163" s="160">
        <f>'Rate Design C&amp;I'!$H$54</f>
        <v>0.10364</v>
      </c>
      <c r="Q163" s="160">
        <f>'Rate Design C&amp;I'!$H$54</f>
        <v>0.10364</v>
      </c>
      <c r="R163" s="20"/>
    </row>
    <row r="164" spans="1:19" x14ac:dyDescent="0.2">
      <c r="B164" t="s">
        <v>441</v>
      </c>
      <c r="D164">
        <v>41</v>
      </c>
      <c r="E164" t="s">
        <v>6</v>
      </c>
      <c r="F164" s="160">
        <f>'Rate Design C&amp;I'!$H$56</f>
        <v>6.0899999999999999E-3</v>
      </c>
      <c r="G164" s="160">
        <f>'Rate Design C&amp;I'!$H$56</f>
        <v>6.0899999999999999E-3</v>
      </c>
      <c r="H164" s="160">
        <f>'Rate Design C&amp;I'!$H$56</f>
        <v>6.0899999999999999E-3</v>
      </c>
      <c r="I164" s="160">
        <f>'Rate Design C&amp;I'!$H$56</f>
        <v>6.0899999999999999E-3</v>
      </c>
      <c r="J164" s="160">
        <f>'Rate Design C&amp;I'!$H$56</f>
        <v>6.0899999999999999E-3</v>
      </c>
      <c r="K164" s="160">
        <f>'Rate Design C&amp;I'!$H$56</f>
        <v>6.0899999999999999E-3</v>
      </c>
      <c r="L164" s="160">
        <f>'Rate Design C&amp;I'!$H$56</f>
        <v>6.0899999999999999E-3</v>
      </c>
      <c r="M164" s="160">
        <f>'Rate Design C&amp;I'!$H$56</f>
        <v>6.0899999999999999E-3</v>
      </c>
      <c r="N164" s="160">
        <f>'Rate Design C&amp;I'!$H$56</f>
        <v>6.0899999999999999E-3</v>
      </c>
      <c r="O164" s="160">
        <f>'Rate Design C&amp;I'!$H$56</f>
        <v>6.0899999999999999E-3</v>
      </c>
      <c r="P164" s="160">
        <f>'Rate Design C&amp;I'!$H$56</f>
        <v>6.0899999999999999E-3</v>
      </c>
      <c r="Q164" s="160">
        <f>'Rate Design C&amp;I'!$H$56</f>
        <v>6.0899999999999999E-3</v>
      </c>
      <c r="R164" s="20"/>
    </row>
    <row r="165" spans="1:19" x14ac:dyDescent="0.2">
      <c r="A165" s="30"/>
      <c r="B165" t="s">
        <v>303</v>
      </c>
      <c r="D165">
        <v>101</v>
      </c>
      <c r="E165" t="s">
        <v>6</v>
      </c>
      <c r="F165" s="182">
        <v>0.2271</v>
      </c>
      <c r="G165" s="182">
        <v>0.2271</v>
      </c>
      <c r="H165" s="182">
        <v>0.2271</v>
      </c>
      <c r="I165" s="182">
        <v>0.2271</v>
      </c>
      <c r="J165" s="182">
        <v>0.2271</v>
      </c>
      <c r="K165" s="182">
        <v>0.2271</v>
      </c>
      <c r="L165" s="182">
        <v>0.2271</v>
      </c>
      <c r="M165" s="182">
        <v>0.2271</v>
      </c>
      <c r="N165" s="182">
        <v>0.2271</v>
      </c>
      <c r="O165" s="182">
        <v>0.2271</v>
      </c>
      <c r="P165" s="182">
        <v>0.2271</v>
      </c>
      <c r="Q165" s="182">
        <v>0.2271</v>
      </c>
      <c r="R165" s="20"/>
    </row>
    <row r="166" spans="1:19" x14ac:dyDescent="0.2">
      <c r="A166" s="30"/>
      <c r="B166" t="s">
        <v>553</v>
      </c>
      <c r="D166">
        <v>149</v>
      </c>
      <c r="E166" t="s">
        <v>6</v>
      </c>
      <c r="F166" s="182">
        <v>6.2199999999999998E-3</v>
      </c>
      <c r="G166" s="182">
        <v>6.2199999999999998E-3</v>
      </c>
      <c r="H166" s="182">
        <v>6.2199999999999998E-3</v>
      </c>
      <c r="I166" s="182">
        <v>6.2199999999999998E-3</v>
      </c>
      <c r="J166" s="182">
        <v>6.2199999999999998E-3</v>
      </c>
      <c r="K166" s="182">
        <v>6.2199999999999998E-3</v>
      </c>
      <c r="L166" s="182">
        <v>6.2199999999999998E-3</v>
      </c>
      <c r="M166" s="182">
        <v>6.2199999999999998E-3</v>
      </c>
      <c r="N166" s="182">
        <v>6.2199999999999998E-3</v>
      </c>
      <c r="O166" s="182">
        <v>6.2199999999999998E-3</v>
      </c>
      <c r="P166" s="182">
        <v>6.2199999999999998E-3</v>
      </c>
      <c r="Q166" s="182">
        <v>6.2199999999999998E-3</v>
      </c>
      <c r="R166" s="20"/>
    </row>
    <row r="167" spans="1:19" x14ac:dyDescent="0.2">
      <c r="B167" t="s">
        <v>18</v>
      </c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20"/>
    </row>
    <row r="168" spans="1:19" x14ac:dyDescent="0.2">
      <c r="A168" s="30"/>
      <c r="C168" t="s">
        <v>19</v>
      </c>
      <c r="D168">
        <v>41</v>
      </c>
      <c r="E168" t="s">
        <v>6</v>
      </c>
      <c r="F168" s="159">
        <f>'Rate Design C&amp;I'!$H$49</f>
        <v>1.17</v>
      </c>
      <c r="G168" s="159">
        <f>'Rate Design C&amp;I'!$H$49</f>
        <v>1.17</v>
      </c>
      <c r="H168" s="159">
        <f>'Rate Design C&amp;I'!$H$49</f>
        <v>1.17</v>
      </c>
      <c r="I168" s="159">
        <f>'Rate Design C&amp;I'!$H$49</f>
        <v>1.17</v>
      </c>
      <c r="J168" s="159">
        <f>'Rate Design C&amp;I'!$H$49</f>
        <v>1.17</v>
      </c>
      <c r="K168" s="159">
        <f>'Rate Design C&amp;I'!$H$49</f>
        <v>1.17</v>
      </c>
      <c r="L168" s="159">
        <f>'Rate Design C&amp;I'!$H$49</f>
        <v>1.17</v>
      </c>
      <c r="M168" s="159">
        <f>'Rate Design C&amp;I'!$H$49</f>
        <v>1.17</v>
      </c>
      <c r="N168" s="159">
        <f>'Rate Design C&amp;I'!$H$49</f>
        <v>1.17</v>
      </c>
      <c r="O168" s="159">
        <f>'Rate Design C&amp;I'!$H$49</f>
        <v>1.17</v>
      </c>
      <c r="P168" s="159">
        <f>'Rate Design C&amp;I'!$H$49</f>
        <v>1.17</v>
      </c>
      <c r="Q168" s="159">
        <f>'Rate Design C&amp;I'!$H$49</f>
        <v>1.17</v>
      </c>
      <c r="R168" s="20"/>
    </row>
    <row r="169" spans="1:19" x14ac:dyDescent="0.2">
      <c r="A169" s="30"/>
      <c r="C169" t="s">
        <v>20</v>
      </c>
      <c r="D169">
        <v>101</v>
      </c>
      <c r="E169" t="s">
        <v>6</v>
      </c>
      <c r="F169" s="183">
        <v>1.05</v>
      </c>
      <c r="G169" s="183">
        <v>1.05</v>
      </c>
      <c r="H169" s="183">
        <v>1.05</v>
      </c>
      <c r="I169" s="183">
        <v>1.05</v>
      </c>
      <c r="J169" s="183">
        <v>1.05</v>
      </c>
      <c r="K169" s="183">
        <v>1.05</v>
      </c>
      <c r="L169" s="183">
        <v>1.05</v>
      </c>
      <c r="M169" s="183">
        <v>1.05</v>
      </c>
      <c r="N169" s="183">
        <v>1.05</v>
      </c>
      <c r="O169" s="183">
        <v>1.05</v>
      </c>
      <c r="P169" s="183">
        <v>1.05</v>
      </c>
      <c r="Q169" s="183">
        <v>1.05</v>
      </c>
      <c r="R169" s="20"/>
    </row>
    <row r="170" spans="1:19" x14ac:dyDescent="0.2">
      <c r="B170" t="s">
        <v>21</v>
      </c>
      <c r="D170">
        <v>41</v>
      </c>
      <c r="E170" t="s">
        <v>22</v>
      </c>
      <c r="F170" s="159">
        <f>'Rate Design C&amp;I'!$H$48</f>
        <v>115.88</v>
      </c>
      <c r="G170" s="159">
        <f>'Rate Design C&amp;I'!$H$48</f>
        <v>115.88</v>
      </c>
      <c r="H170" s="159">
        <f>'Rate Design C&amp;I'!$H$48</f>
        <v>115.88</v>
      </c>
      <c r="I170" s="159">
        <f>'Rate Design C&amp;I'!$H$48</f>
        <v>115.88</v>
      </c>
      <c r="J170" s="159">
        <f>'Rate Design C&amp;I'!$H$48</f>
        <v>115.88</v>
      </c>
      <c r="K170" s="159">
        <f>'Rate Design C&amp;I'!$H$48</f>
        <v>115.88</v>
      </c>
      <c r="L170" s="159">
        <f>'Rate Design C&amp;I'!$H$48</f>
        <v>115.88</v>
      </c>
      <c r="M170" s="159">
        <f>'Rate Design C&amp;I'!$H$48</f>
        <v>115.88</v>
      </c>
      <c r="N170" s="159">
        <f>'Rate Design C&amp;I'!$H$48</f>
        <v>115.88</v>
      </c>
      <c r="O170" s="159">
        <f>'Rate Design C&amp;I'!$H$48</f>
        <v>115.88</v>
      </c>
      <c r="P170" s="159">
        <f>'Rate Design C&amp;I'!$H$48</f>
        <v>115.88</v>
      </c>
      <c r="Q170" s="159">
        <f>'Rate Design C&amp;I'!$H$48</f>
        <v>115.88</v>
      </c>
      <c r="R170" s="20"/>
    </row>
    <row r="171" spans="1:19" x14ac:dyDescent="0.2">
      <c r="B171" t="s">
        <v>304</v>
      </c>
      <c r="E171" t="s">
        <v>6</v>
      </c>
      <c r="F171" s="182">
        <v>0.21678</v>
      </c>
      <c r="G171" s="182">
        <v>0.21678</v>
      </c>
      <c r="H171" s="182">
        <v>0.21678</v>
      </c>
      <c r="I171" s="182">
        <v>0.21678</v>
      </c>
      <c r="J171" s="182">
        <v>0.21678</v>
      </c>
      <c r="K171" s="182">
        <v>0.21678</v>
      </c>
      <c r="L171" s="182">
        <v>0.21678</v>
      </c>
      <c r="M171" s="182">
        <v>0.21678</v>
      </c>
      <c r="N171" s="182">
        <v>0.21678</v>
      </c>
      <c r="O171" s="182">
        <v>0.21678</v>
      </c>
      <c r="P171" s="182">
        <v>0.21678</v>
      </c>
      <c r="Q171" s="182">
        <v>0.21678</v>
      </c>
      <c r="R171" s="20"/>
    </row>
    <row r="172" spans="1:19" x14ac:dyDescent="0.2">
      <c r="B172" t="s">
        <v>310</v>
      </c>
      <c r="E172" t="s">
        <v>6</v>
      </c>
      <c r="F172" s="183">
        <v>1</v>
      </c>
      <c r="G172" s="183">
        <v>1</v>
      </c>
      <c r="H172" s="183">
        <v>1</v>
      </c>
      <c r="I172" s="183">
        <v>1</v>
      </c>
      <c r="J172" s="183">
        <v>1</v>
      </c>
      <c r="K172" s="183">
        <v>1</v>
      </c>
      <c r="L172" s="183">
        <v>1</v>
      </c>
      <c r="M172" s="183">
        <v>1</v>
      </c>
      <c r="N172" s="183">
        <v>1</v>
      </c>
      <c r="O172" s="183">
        <v>1</v>
      </c>
      <c r="P172" s="183">
        <v>1</v>
      </c>
      <c r="Q172" s="183">
        <v>1</v>
      </c>
      <c r="R172" s="20"/>
      <c r="S172"/>
    </row>
    <row r="174" spans="1:19" x14ac:dyDescent="0.2">
      <c r="B174" s="15" t="s">
        <v>8</v>
      </c>
      <c r="S174"/>
    </row>
    <row r="175" spans="1:19" x14ac:dyDescent="0.2">
      <c r="B175" t="s">
        <v>22</v>
      </c>
      <c r="E175" t="s">
        <v>22</v>
      </c>
      <c r="F175" s="63">
        <f>'(R) Data'!C18</f>
        <v>1287.9778656126482</v>
      </c>
      <c r="G175" s="63">
        <f>'(R) Data'!D18</f>
        <v>1316.455248133509</v>
      </c>
      <c r="H175" s="63">
        <f>'(R) Data'!E18</f>
        <v>1244.5072463768115</v>
      </c>
      <c r="I175" s="63">
        <f>'(R) Data'!F18</f>
        <v>1291.2735177865613</v>
      </c>
      <c r="J175" s="63">
        <f>'(R) Data'!G18</f>
        <v>1236.0861660079051</v>
      </c>
      <c r="K175" s="63">
        <f>'(R) Data'!H18</f>
        <v>1293.4686895375128</v>
      </c>
      <c r="L175" s="63">
        <f>'(R) Data'!I18</f>
        <v>1289.8973869259485</v>
      </c>
      <c r="M175" s="63">
        <f>'(R) Data'!J18</f>
        <v>1185.0315131521834</v>
      </c>
      <c r="N175" s="63">
        <f>'(R) Data'!K18</f>
        <v>1331.4759093671325</v>
      </c>
      <c r="O175" s="63">
        <f>'(R) Data'!L18</f>
        <v>1305.7300112857019</v>
      </c>
      <c r="P175" s="63">
        <f>'(R) Data'!M18</f>
        <v>1296.0508315324626</v>
      </c>
      <c r="Q175" s="63">
        <f>'(R) Data'!N18</f>
        <v>817.19421215822592</v>
      </c>
      <c r="R175" s="107">
        <f>SUM(F175:Q175)</f>
        <v>14895.148597876603</v>
      </c>
      <c r="S175"/>
    </row>
    <row r="176" spans="1:19" x14ac:dyDescent="0.2">
      <c r="B176" t="s">
        <v>30</v>
      </c>
      <c r="D176" s="30"/>
      <c r="E176" s="30"/>
      <c r="F176" s="25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91"/>
      <c r="S176"/>
    </row>
    <row r="177" spans="1:19" s="30" customFormat="1" x14ac:dyDescent="0.2">
      <c r="A177"/>
      <c r="B177"/>
      <c r="C177" t="s">
        <v>241</v>
      </c>
      <c r="E177" s="30" t="s">
        <v>10</v>
      </c>
      <c r="F177" s="161">
        <f>'(R) Therms By Block'!B9</f>
        <v>886832.65700000001</v>
      </c>
      <c r="G177" s="170">
        <f>'(R) Therms By Block'!C9</f>
        <v>884440.07</v>
      </c>
      <c r="H177" s="170">
        <f>'(R) Therms By Block'!D9</f>
        <v>973850.66299999994</v>
      </c>
      <c r="I177" s="170">
        <f>'(R) Therms By Block'!E9</f>
        <v>1142376.115</v>
      </c>
      <c r="J177" s="170">
        <f>'(R) Therms By Block'!F9</f>
        <v>1109547.08</v>
      </c>
      <c r="K177" s="170">
        <f>'(R) Therms By Block'!G9</f>
        <v>1160802.577</v>
      </c>
      <c r="L177" s="170">
        <f>'(R) Therms By Block'!H9</f>
        <v>1157860.787</v>
      </c>
      <c r="M177" s="170">
        <f>'(R) Therms By Block'!I9</f>
        <v>1062897.169</v>
      </c>
      <c r="N177" s="170">
        <f>'(R) Therms By Block'!J9</f>
        <v>1190628.3959999999</v>
      </c>
      <c r="O177" s="170">
        <f>'(R) Therms By Block'!K9</f>
        <v>1151326.18</v>
      </c>
      <c r="P177" s="170">
        <f>'(R) Therms By Block'!L9</f>
        <v>1069778.638</v>
      </c>
      <c r="Q177" s="170">
        <f>'(R) Therms By Block'!M9</f>
        <v>624301.44700000004</v>
      </c>
      <c r="R177" s="107">
        <f>SUM(F177:Q177)</f>
        <v>12414641.779000001</v>
      </c>
    </row>
    <row r="178" spans="1:19" s="30" customFormat="1" x14ac:dyDescent="0.2">
      <c r="C178" t="s">
        <v>242</v>
      </c>
      <c r="E178" s="30" t="s">
        <v>10</v>
      </c>
      <c r="F178" s="170">
        <f>'(R) Therms By Block'!B10</f>
        <v>1083303.8770000001</v>
      </c>
      <c r="G178" s="170">
        <f>'(R) Therms By Block'!C10</f>
        <v>1035590.325</v>
      </c>
      <c r="H178" s="170">
        <f>'(R) Therms By Block'!D10</f>
        <v>1324279.4210000001</v>
      </c>
      <c r="I178" s="170">
        <f>'(R) Therms By Block'!E10</f>
        <v>2293452.0189999999</v>
      </c>
      <c r="J178" s="170">
        <f>'(R) Therms By Block'!F10</f>
        <v>2912216.0520000001</v>
      </c>
      <c r="K178" s="170">
        <f>'(R) Therms By Block'!G10</f>
        <v>3410283.6340000001</v>
      </c>
      <c r="L178" s="170">
        <f>'(R) Therms By Block'!H10</f>
        <v>3303141.4559999998</v>
      </c>
      <c r="M178" s="170">
        <f>'(R) Therms By Block'!I10</f>
        <v>3137631.9730000002</v>
      </c>
      <c r="N178" s="170">
        <f>'(R) Therms By Block'!J10</f>
        <v>3158401.8859999999</v>
      </c>
      <c r="O178" s="170">
        <f>'(R) Therms By Block'!K10</f>
        <v>2445650.395</v>
      </c>
      <c r="P178" s="170">
        <f>'(R) Therms By Block'!L10</f>
        <v>1621469.713</v>
      </c>
      <c r="Q178" s="170">
        <f>'(R) Therms By Block'!M10</f>
        <v>790567.19799999997</v>
      </c>
      <c r="R178" s="107">
        <f>SUM(F178:Q178)</f>
        <v>26515987.948999997</v>
      </c>
    </row>
    <row r="179" spans="1:19" x14ac:dyDescent="0.2">
      <c r="A179" s="30"/>
      <c r="B179" s="30"/>
      <c r="C179" t="s">
        <v>16</v>
      </c>
      <c r="D179" s="30"/>
      <c r="E179" s="30" t="s">
        <v>10</v>
      </c>
      <c r="F179" s="107">
        <f t="shared" ref="F179:N179" si="75">F180-F177-F178</f>
        <v>466554.5699999996</v>
      </c>
      <c r="G179" s="107">
        <f t="shared" si="75"/>
        <v>385023.02100000042</v>
      </c>
      <c r="H179" s="107">
        <f t="shared" si="75"/>
        <v>570645.81799999974</v>
      </c>
      <c r="I179" s="107">
        <f t="shared" si="75"/>
        <v>1008265.2689999999</v>
      </c>
      <c r="J179" s="107">
        <f t="shared" si="75"/>
        <v>1781232.83</v>
      </c>
      <c r="K179" s="107">
        <f t="shared" si="75"/>
        <v>2232703.0239999997</v>
      </c>
      <c r="L179" s="107">
        <f t="shared" si="75"/>
        <v>2753328.6930000004</v>
      </c>
      <c r="M179" s="107">
        <f t="shared" si="75"/>
        <v>1792421.9410000006</v>
      </c>
      <c r="N179" s="107">
        <f t="shared" si="75"/>
        <v>1912575.4010000005</v>
      </c>
      <c r="O179" s="107">
        <f t="shared" ref="O179:Q179" si="76">O180-O177-O178</f>
        <v>1329123.5960000004</v>
      </c>
      <c r="P179" s="107">
        <f t="shared" si="76"/>
        <v>1065385.1719999998</v>
      </c>
      <c r="Q179" s="107">
        <f t="shared" si="76"/>
        <v>273617.25100000005</v>
      </c>
      <c r="R179" s="107">
        <f>SUM(F179:Q179)</f>
        <v>15570876.586000003</v>
      </c>
      <c r="S179"/>
    </row>
    <row r="180" spans="1:19" s="30" customFormat="1" x14ac:dyDescent="0.2">
      <c r="A180"/>
      <c r="B180"/>
      <c r="C180" t="s">
        <v>17</v>
      </c>
      <c r="D180"/>
      <c r="E180" t="s">
        <v>10</v>
      </c>
      <c r="F180" s="110">
        <f>'Weather Adj'!D172</f>
        <v>2436691.1039999998</v>
      </c>
      <c r="G180" s="110">
        <f>'Weather Adj'!E172</f>
        <v>2305053.4160000002</v>
      </c>
      <c r="H180" s="110">
        <f>'Weather Adj'!F172</f>
        <v>2868775.9019999998</v>
      </c>
      <c r="I180" s="110">
        <f>'Weather Adj'!G172</f>
        <v>4444093.4029999999</v>
      </c>
      <c r="J180" s="110">
        <f>'Weather Adj'!H172</f>
        <v>5802995.9620000003</v>
      </c>
      <c r="K180" s="110">
        <f>'Weather Adj'!I172</f>
        <v>6803789.2349999994</v>
      </c>
      <c r="L180" s="110">
        <f>'Weather Adj'!J172</f>
        <v>7214330.9359999998</v>
      </c>
      <c r="M180" s="110">
        <f>'Weather Adj'!K172</f>
        <v>5992951.0830000006</v>
      </c>
      <c r="N180" s="110">
        <f>'Weather Adj'!L172</f>
        <v>6261605.6830000002</v>
      </c>
      <c r="O180" s="110">
        <f>'Weather Adj'!M172</f>
        <v>4926100.1710000001</v>
      </c>
      <c r="P180" s="110">
        <f>'Weather Adj'!N172</f>
        <v>3756633.523</v>
      </c>
      <c r="Q180" s="110">
        <f>'Weather Adj'!O172</f>
        <v>1688485.8959999999</v>
      </c>
      <c r="R180" s="108">
        <f>SUM(R177:R179)</f>
        <v>54501506.314000003</v>
      </c>
    </row>
    <row r="181" spans="1:19" s="30" customFormat="1" x14ac:dyDescent="0.2">
      <c r="B181" s="30" t="s">
        <v>29</v>
      </c>
      <c r="E181" s="30" t="s">
        <v>100</v>
      </c>
      <c r="F181" s="76">
        <f>'(R) Data'!C39</f>
        <v>299206.70899999997</v>
      </c>
      <c r="G181" s="156">
        <f>'(R) Data'!D39</f>
        <v>286382.19699999999</v>
      </c>
      <c r="H181" s="156">
        <f>'(R) Data'!E39</f>
        <v>273422.99099999998</v>
      </c>
      <c r="I181" s="156">
        <f>'(R) Data'!F39</f>
        <v>280968.92</v>
      </c>
      <c r="J181" s="156">
        <f>'(R) Data'!G39</f>
        <v>269903.56099999999</v>
      </c>
      <c r="K181" s="156">
        <f>'(R) Data'!H39</f>
        <v>284689.35600000003</v>
      </c>
      <c r="L181" s="156">
        <f>'(R) Data'!I39</f>
        <v>289438.478</v>
      </c>
      <c r="M181" s="156">
        <f>'(R) Data'!J39</f>
        <v>267079.92800000001</v>
      </c>
      <c r="N181" s="156">
        <f>'(R) Data'!K39</f>
        <v>290554.50799999997</v>
      </c>
      <c r="O181" s="156">
        <f>'(R) Data'!L39</f>
        <v>287258.95400000003</v>
      </c>
      <c r="P181" s="156">
        <f>'(R) Data'!M39</f>
        <v>285611.61800000002</v>
      </c>
      <c r="Q181" s="156">
        <f>'(R) Data'!N39</f>
        <v>338595.58</v>
      </c>
      <c r="R181" s="107">
        <f>SUM(F181:Q181)</f>
        <v>3453112.8</v>
      </c>
    </row>
    <row r="182" spans="1:19" x14ac:dyDescent="0.2">
      <c r="A182" s="30"/>
      <c r="B182" s="30" t="s">
        <v>21</v>
      </c>
      <c r="C182" s="30"/>
      <c r="D182" s="30"/>
      <c r="E182" s="30" t="s">
        <v>22</v>
      </c>
      <c r="F182" s="107">
        <f>F175</f>
        <v>1287.9778656126482</v>
      </c>
      <c r="G182" s="107">
        <f t="shared" ref="G182:N182" si="77">G175</f>
        <v>1316.455248133509</v>
      </c>
      <c r="H182" s="107">
        <f t="shared" si="77"/>
        <v>1244.5072463768115</v>
      </c>
      <c r="I182" s="107">
        <f t="shared" si="77"/>
        <v>1291.2735177865613</v>
      </c>
      <c r="J182" s="107">
        <f t="shared" si="77"/>
        <v>1236.0861660079051</v>
      </c>
      <c r="K182" s="107">
        <f t="shared" si="77"/>
        <v>1293.4686895375128</v>
      </c>
      <c r="L182" s="107">
        <f t="shared" si="77"/>
        <v>1289.8973869259485</v>
      </c>
      <c r="M182" s="107">
        <f t="shared" si="77"/>
        <v>1185.0315131521834</v>
      </c>
      <c r="N182" s="107">
        <f t="shared" si="77"/>
        <v>1331.4759093671325</v>
      </c>
      <c r="O182" s="107">
        <f t="shared" ref="O182:Q182" si="78">O175</f>
        <v>1305.7300112857019</v>
      </c>
      <c r="P182" s="107">
        <f t="shared" si="78"/>
        <v>1296.0508315324626</v>
      </c>
      <c r="Q182" s="107">
        <f t="shared" si="78"/>
        <v>817.19421215822592</v>
      </c>
      <c r="R182" s="107">
        <f>SUM(F182:Q182)</f>
        <v>14895.148597876603</v>
      </c>
      <c r="S182"/>
    </row>
    <row r="183" spans="1:19" x14ac:dyDescent="0.2"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/>
    </row>
    <row r="184" spans="1:19" x14ac:dyDescent="0.2">
      <c r="B184" s="15" t="s">
        <v>9</v>
      </c>
      <c r="R184" s="102"/>
      <c r="S184"/>
    </row>
    <row r="185" spans="1:19" x14ac:dyDescent="0.2">
      <c r="A185" t="s">
        <v>147</v>
      </c>
      <c r="B185" t="s">
        <v>282</v>
      </c>
      <c r="D185">
        <v>41</v>
      </c>
      <c r="F185" s="23">
        <f t="shared" ref="F185:N185" si="79">F160*F175</f>
        <v>137079.48423715416</v>
      </c>
      <c r="G185" s="23">
        <f t="shared" si="79"/>
        <v>140110.33205884937</v>
      </c>
      <c r="H185" s="23">
        <f t="shared" si="79"/>
        <v>132452.90623188406</v>
      </c>
      <c r="I185" s="23">
        <f t="shared" si="79"/>
        <v>137430.24049802372</v>
      </c>
      <c r="J185" s="23">
        <f t="shared" si="79"/>
        <v>131556.65064822134</v>
      </c>
      <c r="K185" s="23">
        <f t="shared" si="79"/>
        <v>137663.87262747748</v>
      </c>
      <c r="L185" s="23">
        <f t="shared" si="79"/>
        <v>137283.77889052872</v>
      </c>
      <c r="M185" s="23">
        <f t="shared" si="79"/>
        <v>126122.90394478689</v>
      </c>
      <c r="N185" s="23">
        <f t="shared" si="79"/>
        <v>141708.98103394391</v>
      </c>
      <c r="O185" s="23">
        <f t="shared" ref="O185:Q185" si="80">O160*O175</f>
        <v>138968.84510113727</v>
      </c>
      <c r="P185" s="23">
        <f t="shared" si="80"/>
        <v>137938.69</v>
      </c>
      <c r="Q185" s="23">
        <f t="shared" si="80"/>
        <v>86973.98</v>
      </c>
      <c r="R185" s="100">
        <f>SUM(F185:Q185)</f>
        <v>1585290.6652720068</v>
      </c>
      <c r="S185"/>
    </row>
    <row r="186" spans="1:19" x14ac:dyDescent="0.2">
      <c r="B186" t="s">
        <v>3</v>
      </c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100"/>
      <c r="S186"/>
    </row>
    <row r="187" spans="1:19" x14ac:dyDescent="0.2">
      <c r="C187" t="s">
        <v>241</v>
      </c>
      <c r="F187" s="104">
        <v>0</v>
      </c>
      <c r="G187" s="104">
        <v>0</v>
      </c>
      <c r="H187" s="104">
        <v>0</v>
      </c>
      <c r="I187" s="104">
        <v>0</v>
      </c>
      <c r="J187" s="104">
        <v>0</v>
      </c>
      <c r="K187" s="104">
        <v>0</v>
      </c>
      <c r="L187" s="104">
        <v>0</v>
      </c>
      <c r="M187" s="104">
        <v>0</v>
      </c>
      <c r="N187" s="104">
        <v>0</v>
      </c>
      <c r="O187" s="104">
        <v>0</v>
      </c>
      <c r="P187" s="104">
        <v>0</v>
      </c>
      <c r="Q187" s="104">
        <v>0</v>
      </c>
      <c r="R187" s="104">
        <v>0</v>
      </c>
      <c r="S187"/>
    </row>
    <row r="188" spans="1:19" x14ac:dyDescent="0.2">
      <c r="C188" t="s">
        <v>242</v>
      </c>
      <c r="D188">
        <v>41</v>
      </c>
      <c r="F188" s="23">
        <f t="shared" ref="F188:N188" si="81">F162*F178</f>
        <v>139486.20720252002</v>
      </c>
      <c r="G188" s="23">
        <f t="shared" si="81"/>
        <v>133342.610247</v>
      </c>
      <c r="H188" s="23">
        <f t="shared" si="81"/>
        <v>170514.21824796003</v>
      </c>
      <c r="I188" s="23">
        <f t="shared" si="81"/>
        <v>295304.88196644001</v>
      </c>
      <c r="J188" s="23">
        <f t="shared" si="81"/>
        <v>374976.93885552004</v>
      </c>
      <c r="K188" s="23">
        <f t="shared" si="81"/>
        <v>439108.12071384006</v>
      </c>
      <c r="L188" s="23">
        <f t="shared" si="81"/>
        <v>425312.49387455999</v>
      </c>
      <c r="M188" s="23">
        <f t="shared" si="81"/>
        <v>404001.49284348008</v>
      </c>
      <c r="N188" s="23">
        <f t="shared" si="81"/>
        <v>406675.82684136002</v>
      </c>
      <c r="O188" s="23">
        <f t="shared" ref="O188:Q188" si="82">O162*O178</f>
        <v>314901.94486020005</v>
      </c>
      <c r="P188" s="23">
        <f t="shared" si="82"/>
        <v>208780.44024588002</v>
      </c>
      <c r="Q188" s="23">
        <f t="shared" si="82"/>
        <v>101793.43241448</v>
      </c>
      <c r="R188" s="100">
        <f>SUM(F188:Q188)</f>
        <v>3414198.6083132401</v>
      </c>
      <c r="S188"/>
    </row>
    <row r="189" spans="1:19" x14ac:dyDescent="0.2">
      <c r="C189" t="s">
        <v>16</v>
      </c>
      <c r="D189">
        <v>41</v>
      </c>
      <c r="F189" s="23">
        <f t="shared" ref="F189:N189" si="83">F163*F179</f>
        <v>48353.715634799955</v>
      </c>
      <c r="G189" s="23">
        <f t="shared" si="83"/>
        <v>39903.785896440044</v>
      </c>
      <c r="H189" s="23">
        <f t="shared" si="83"/>
        <v>59141.732577519972</v>
      </c>
      <c r="I189" s="23">
        <f t="shared" si="83"/>
        <v>104496.61247915999</v>
      </c>
      <c r="J189" s="23">
        <f t="shared" si="83"/>
        <v>184606.9705012</v>
      </c>
      <c r="K189" s="23">
        <f t="shared" si="83"/>
        <v>231397.34140735996</v>
      </c>
      <c r="L189" s="23">
        <f t="shared" si="83"/>
        <v>285354.98574252002</v>
      </c>
      <c r="M189" s="23">
        <f t="shared" si="83"/>
        <v>185766.60996524006</v>
      </c>
      <c r="N189" s="23">
        <f t="shared" si="83"/>
        <v>198219.31455964004</v>
      </c>
      <c r="O189" s="23">
        <f t="shared" ref="O189:Q189" si="84">O163*O179</f>
        <v>137750.36948944003</v>
      </c>
      <c r="P189" s="23">
        <f t="shared" si="84"/>
        <v>110416.51922607997</v>
      </c>
      <c r="Q189" s="23">
        <f t="shared" si="84"/>
        <v>28357.691893640003</v>
      </c>
      <c r="R189" s="100">
        <f>SUM(F189:Q189)</f>
        <v>1613765.6493730401</v>
      </c>
      <c r="S189"/>
    </row>
    <row r="190" spans="1:19" x14ac:dyDescent="0.2">
      <c r="A190" t="s">
        <v>147</v>
      </c>
      <c r="C190" t="s">
        <v>26</v>
      </c>
      <c r="F190" s="24">
        <f t="shared" ref="F190:N190" si="85">SUM(F187:F189)</f>
        <v>187839.92283731996</v>
      </c>
      <c r="G190" s="24">
        <f t="shared" si="85"/>
        <v>173246.39614344004</v>
      </c>
      <c r="H190" s="24">
        <f t="shared" si="85"/>
        <v>229655.95082547999</v>
      </c>
      <c r="I190" s="24">
        <f t="shared" si="85"/>
        <v>399801.49444559996</v>
      </c>
      <c r="J190" s="24">
        <f t="shared" si="85"/>
        <v>559583.90935672005</v>
      </c>
      <c r="K190" s="24">
        <f t="shared" si="85"/>
        <v>670505.46212120005</v>
      </c>
      <c r="L190" s="24">
        <f t="shared" si="85"/>
        <v>710667.47961707995</v>
      </c>
      <c r="M190" s="24">
        <f t="shared" si="85"/>
        <v>589768.1028087202</v>
      </c>
      <c r="N190" s="24">
        <f t="shared" si="85"/>
        <v>604895.14140100009</v>
      </c>
      <c r="O190" s="24">
        <f t="shared" ref="O190:Q190" si="86">SUM(O187:O189)</f>
        <v>452652.31434964004</v>
      </c>
      <c r="P190" s="24">
        <f t="shared" si="86"/>
        <v>319196.95947195997</v>
      </c>
      <c r="Q190" s="24">
        <f t="shared" si="86"/>
        <v>130151.12430812001</v>
      </c>
      <c r="R190" s="24">
        <f>SUM(R187:R189)</f>
        <v>5027964.2576862797</v>
      </c>
      <c r="S190"/>
    </row>
    <row r="191" spans="1:19" x14ac:dyDescent="0.2">
      <c r="A191" t="s">
        <v>147</v>
      </c>
      <c r="B191" t="s">
        <v>441</v>
      </c>
      <c r="D191">
        <v>41</v>
      </c>
      <c r="F191" s="40">
        <f>F164*F180</f>
        <v>14839.448823359999</v>
      </c>
      <c r="G191" s="40">
        <f t="shared" ref="G191:Q191" si="87">G164*G180</f>
        <v>14037.775303440001</v>
      </c>
      <c r="H191" s="40">
        <f t="shared" si="87"/>
        <v>17470.84524318</v>
      </c>
      <c r="I191" s="40">
        <f t="shared" si="87"/>
        <v>27064.528824270001</v>
      </c>
      <c r="J191" s="40">
        <f t="shared" si="87"/>
        <v>35340.245408579998</v>
      </c>
      <c r="K191" s="40">
        <f t="shared" si="87"/>
        <v>41435.076441149999</v>
      </c>
      <c r="L191" s="40">
        <f t="shared" si="87"/>
        <v>43935.275400239996</v>
      </c>
      <c r="M191" s="40">
        <f t="shared" si="87"/>
        <v>36497.072095470001</v>
      </c>
      <c r="N191" s="40">
        <f t="shared" si="87"/>
        <v>38133.17860947</v>
      </c>
      <c r="O191" s="40">
        <f t="shared" si="87"/>
        <v>29999.950041389999</v>
      </c>
      <c r="P191" s="40">
        <f t="shared" si="87"/>
        <v>22877.898155070001</v>
      </c>
      <c r="Q191" s="40">
        <f t="shared" si="87"/>
        <v>10282.879106639999</v>
      </c>
      <c r="R191" s="100">
        <f>SUM(F191:Q191)</f>
        <v>331914.17345226009</v>
      </c>
      <c r="S191"/>
    </row>
    <row r="192" spans="1:19" x14ac:dyDescent="0.2">
      <c r="A192" t="s">
        <v>130</v>
      </c>
      <c r="B192" t="s">
        <v>303</v>
      </c>
      <c r="D192">
        <v>101</v>
      </c>
      <c r="F192" s="23">
        <f t="shared" ref="F192:N192" si="88">F165*F180</f>
        <v>553372.5497184</v>
      </c>
      <c r="G192" s="23">
        <f t="shared" si="88"/>
        <v>523477.63077360002</v>
      </c>
      <c r="H192" s="23">
        <f t="shared" si="88"/>
        <v>651499.00734419993</v>
      </c>
      <c r="I192" s="23">
        <f t="shared" si="88"/>
        <v>1009253.6118213</v>
      </c>
      <c r="J192" s="34">
        <f t="shared" si="88"/>
        <v>1317860.3829702002</v>
      </c>
      <c r="K192" s="23">
        <f t="shared" si="88"/>
        <v>1545140.5352684997</v>
      </c>
      <c r="L192" s="23">
        <f t="shared" si="88"/>
        <v>1638374.5555655998</v>
      </c>
      <c r="M192" s="23">
        <f t="shared" si="88"/>
        <v>1360999.1909493001</v>
      </c>
      <c r="N192" s="23">
        <f t="shared" si="88"/>
        <v>1422010.6506093</v>
      </c>
      <c r="O192" s="23">
        <f t="shared" ref="O192:Q192" si="89">O165*O180</f>
        <v>1118717.3488340999</v>
      </c>
      <c r="P192" s="23">
        <f t="shared" si="89"/>
        <v>853131.47307329997</v>
      </c>
      <c r="Q192" s="23">
        <f t="shared" si="89"/>
        <v>383455.14698159997</v>
      </c>
      <c r="R192" s="100">
        <f>SUM(F192:Q192)</f>
        <v>12377292.0839094</v>
      </c>
      <c r="S192"/>
    </row>
    <row r="193" spans="1:19" x14ac:dyDescent="0.2">
      <c r="A193" t="s">
        <v>551</v>
      </c>
      <c r="B193" t="s">
        <v>552</v>
      </c>
      <c r="D193">
        <v>149</v>
      </c>
      <c r="F193" s="23">
        <f>F166*F180</f>
        <v>15156.218666879999</v>
      </c>
      <c r="G193" s="23">
        <f t="shared" ref="G193:Q193" si="90">G166*G180</f>
        <v>14337.432247520001</v>
      </c>
      <c r="H193" s="23">
        <f t="shared" si="90"/>
        <v>17843.78611044</v>
      </c>
      <c r="I193" s="23">
        <f t="shared" si="90"/>
        <v>27642.26096666</v>
      </c>
      <c r="J193" s="23">
        <f t="shared" si="90"/>
        <v>36094.634883639999</v>
      </c>
      <c r="K193" s="23">
        <f t="shared" si="90"/>
        <v>42319.569041699993</v>
      </c>
      <c r="L193" s="23">
        <f t="shared" si="90"/>
        <v>44873.138421919997</v>
      </c>
      <c r="M193" s="23">
        <f t="shared" si="90"/>
        <v>37276.15573626</v>
      </c>
      <c r="N193" s="23">
        <f t="shared" si="90"/>
        <v>38947.187348259999</v>
      </c>
      <c r="O193" s="23">
        <f t="shared" si="90"/>
        <v>30640.343063619999</v>
      </c>
      <c r="P193" s="23">
        <f t="shared" si="90"/>
        <v>23366.260513059999</v>
      </c>
      <c r="Q193" s="23">
        <f t="shared" si="90"/>
        <v>10502.38227312</v>
      </c>
      <c r="R193" s="100">
        <f>SUM(F193:Q193)</f>
        <v>338999.36927308002</v>
      </c>
      <c r="S193"/>
    </row>
    <row r="194" spans="1:19" s="30" customFormat="1" x14ac:dyDescent="0.2">
      <c r="A194"/>
      <c r="B194" t="s">
        <v>18</v>
      </c>
      <c r="C194"/>
      <c r="D194"/>
      <c r="E194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100"/>
    </row>
    <row r="195" spans="1:19" x14ac:dyDescent="0.2">
      <c r="A195" t="s">
        <v>147</v>
      </c>
      <c r="C195" t="s">
        <v>19</v>
      </c>
      <c r="D195">
        <v>41</v>
      </c>
      <c r="F195" s="23">
        <f t="shared" ref="F195:N195" si="91">F168*F181</f>
        <v>350071.84952999995</v>
      </c>
      <c r="G195" s="23">
        <f t="shared" si="91"/>
        <v>335067.17048999999</v>
      </c>
      <c r="H195" s="23">
        <f t="shared" si="91"/>
        <v>319904.89946999995</v>
      </c>
      <c r="I195" s="23">
        <f t="shared" si="91"/>
        <v>328733.63639999996</v>
      </c>
      <c r="J195" s="23">
        <f t="shared" si="91"/>
        <v>315787.16636999999</v>
      </c>
      <c r="K195" s="23">
        <f t="shared" si="91"/>
        <v>333086.54652000003</v>
      </c>
      <c r="L195" s="23">
        <f t="shared" si="91"/>
        <v>338643.01925999997</v>
      </c>
      <c r="M195" s="23">
        <f t="shared" si="91"/>
        <v>312483.51575999998</v>
      </c>
      <c r="N195" s="23">
        <f t="shared" si="91"/>
        <v>339948.77435999992</v>
      </c>
      <c r="O195" s="23">
        <f t="shared" ref="O195:Q195" si="92">O168*O181</f>
        <v>336092.97618</v>
      </c>
      <c r="P195" s="23">
        <f t="shared" si="92"/>
        <v>334165.59305999998</v>
      </c>
      <c r="Q195" s="23">
        <f t="shared" si="92"/>
        <v>396156.82860000001</v>
      </c>
      <c r="R195" s="100">
        <f>SUM(F195:Q195)</f>
        <v>4040141.9760000003</v>
      </c>
      <c r="S195"/>
    </row>
    <row r="196" spans="1:19" x14ac:dyDescent="0.2">
      <c r="A196" t="s">
        <v>130</v>
      </c>
      <c r="C196" t="s">
        <v>20</v>
      </c>
      <c r="D196">
        <v>101</v>
      </c>
      <c r="F196" s="23">
        <f t="shared" ref="F196:N196" si="93">F169*F181</f>
        <v>314167.04444999999</v>
      </c>
      <c r="G196" s="23">
        <f t="shared" si="93"/>
        <v>300701.30684999999</v>
      </c>
      <c r="H196" s="23">
        <f t="shared" si="93"/>
        <v>287094.14055000001</v>
      </c>
      <c r="I196" s="23">
        <f t="shared" si="93"/>
        <v>295017.36599999998</v>
      </c>
      <c r="J196" s="34">
        <f t="shared" si="93"/>
        <v>283398.73904999997</v>
      </c>
      <c r="K196" s="23">
        <f t="shared" si="93"/>
        <v>298923.82380000007</v>
      </c>
      <c r="L196" s="23">
        <f t="shared" si="93"/>
        <v>303910.4019</v>
      </c>
      <c r="M196" s="23">
        <f t="shared" si="93"/>
        <v>280433.92440000002</v>
      </c>
      <c r="N196" s="23">
        <f t="shared" si="93"/>
        <v>305082.23339999997</v>
      </c>
      <c r="O196" s="23">
        <f t="shared" ref="O196:Q196" si="94">O169*O181</f>
        <v>301621.90170000005</v>
      </c>
      <c r="P196" s="23">
        <f t="shared" si="94"/>
        <v>299892.19890000002</v>
      </c>
      <c r="Q196" s="23">
        <f t="shared" si="94"/>
        <v>355525.35900000005</v>
      </c>
      <c r="R196" s="100">
        <f>SUM(F196:Q196)</f>
        <v>3625768.4400000004</v>
      </c>
      <c r="S196"/>
    </row>
    <row r="197" spans="1:19" x14ac:dyDescent="0.2">
      <c r="C197" t="s">
        <v>23</v>
      </c>
      <c r="F197" s="24">
        <f>SUM(F195:F196)</f>
        <v>664238.89397999994</v>
      </c>
      <c r="G197" s="24">
        <f t="shared" ref="G197:N197" si="95">SUM(G195:G196)</f>
        <v>635768.47733999998</v>
      </c>
      <c r="H197" s="24">
        <f t="shared" si="95"/>
        <v>606999.04001999996</v>
      </c>
      <c r="I197" s="24">
        <f t="shared" si="95"/>
        <v>623751.00239999988</v>
      </c>
      <c r="J197" s="24">
        <f t="shared" si="95"/>
        <v>599185.90541999997</v>
      </c>
      <c r="K197" s="24">
        <f t="shared" si="95"/>
        <v>632010.3703200001</v>
      </c>
      <c r="L197" s="24">
        <f t="shared" si="95"/>
        <v>642553.42115999991</v>
      </c>
      <c r="M197" s="24">
        <f t="shared" si="95"/>
        <v>592917.44016</v>
      </c>
      <c r="N197" s="24">
        <f t="shared" si="95"/>
        <v>645031.00775999995</v>
      </c>
      <c r="O197" s="24">
        <f t="shared" ref="O197:Q197" si="96">SUM(O195:O196)</f>
        <v>637714.87788000004</v>
      </c>
      <c r="P197" s="24">
        <f t="shared" si="96"/>
        <v>634057.79196000006</v>
      </c>
      <c r="Q197" s="24">
        <f t="shared" si="96"/>
        <v>751682.18760000006</v>
      </c>
      <c r="R197" s="24">
        <f>SUM(R195:R196)</f>
        <v>7665910.4160000011</v>
      </c>
      <c r="S197"/>
    </row>
    <row r="198" spans="1:19" x14ac:dyDescent="0.2">
      <c r="A198" s="30" t="s">
        <v>147</v>
      </c>
      <c r="B198" s="30" t="s">
        <v>21</v>
      </c>
      <c r="C198" s="30"/>
      <c r="D198" s="30">
        <v>41</v>
      </c>
      <c r="E198" s="30"/>
      <c r="F198" s="34">
        <f t="shared" ref="F198:N198" si="97">F182*F170</f>
        <v>149250.87506719367</v>
      </c>
      <c r="G198" s="34">
        <f t="shared" si="97"/>
        <v>152550.83415371101</v>
      </c>
      <c r="H198" s="34">
        <f t="shared" si="97"/>
        <v>144213.49971014491</v>
      </c>
      <c r="I198" s="34">
        <f t="shared" si="97"/>
        <v>149632.77524110672</v>
      </c>
      <c r="J198" s="34">
        <f t="shared" si="97"/>
        <v>143237.66491699603</v>
      </c>
      <c r="K198" s="34">
        <f t="shared" si="97"/>
        <v>149887.15174360698</v>
      </c>
      <c r="L198" s="34">
        <f t="shared" si="97"/>
        <v>149473.30919697889</v>
      </c>
      <c r="M198" s="34">
        <f t="shared" si="97"/>
        <v>137321.45174407499</v>
      </c>
      <c r="N198" s="34">
        <f t="shared" si="97"/>
        <v>154291.42837746331</v>
      </c>
      <c r="O198" s="34">
        <f t="shared" ref="O198:Q198" si="98">O182*O170</f>
        <v>151307.99370778713</v>
      </c>
      <c r="P198" s="34">
        <f t="shared" si="98"/>
        <v>150186.37035798177</v>
      </c>
      <c r="Q198" s="34">
        <f t="shared" si="98"/>
        <v>94696.465304895217</v>
      </c>
      <c r="R198" s="70">
        <f>SUM(F198:Q198)</f>
        <v>1726049.8195219408</v>
      </c>
      <c r="S198"/>
    </row>
    <row r="199" spans="1:19" s="30" customFormat="1" x14ac:dyDescent="0.2">
      <c r="A199" s="50"/>
      <c r="B199" s="50" t="s">
        <v>25</v>
      </c>
      <c r="C199" s="50"/>
      <c r="D199" s="50"/>
      <c r="E199" s="50"/>
      <c r="F199" s="40">
        <f>F192+F196</f>
        <v>867539.59416839993</v>
      </c>
      <c r="G199" s="40">
        <f t="shared" ref="G199:N199" si="99">G192+G196</f>
        <v>824178.93762360001</v>
      </c>
      <c r="H199" s="40">
        <f t="shared" si="99"/>
        <v>938593.14789419994</v>
      </c>
      <c r="I199" s="40">
        <f t="shared" si="99"/>
        <v>1304270.9778213</v>
      </c>
      <c r="J199" s="40">
        <f t="shared" si="99"/>
        <v>1601259.1220202001</v>
      </c>
      <c r="K199" s="40">
        <f t="shared" si="99"/>
        <v>1844064.3590684999</v>
      </c>
      <c r="L199" s="40">
        <f t="shared" si="99"/>
        <v>1942284.9574655998</v>
      </c>
      <c r="M199" s="40">
        <f t="shared" si="99"/>
        <v>1641433.1153493002</v>
      </c>
      <c r="N199" s="40">
        <f t="shared" si="99"/>
        <v>1727092.8840093</v>
      </c>
      <c r="O199" s="40">
        <f t="shared" ref="O199:Q199" si="100">O192+O196</f>
        <v>1420339.2505341</v>
      </c>
      <c r="P199" s="40">
        <f t="shared" si="100"/>
        <v>1153023.6719732999</v>
      </c>
      <c r="Q199" s="40">
        <f t="shared" si="100"/>
        <v>738980.50598160003</v>
      </c>
      <c r="R199" s="40">
        <f>R192+R196</f>
        <v>16003060.523909401</v>
      </c>
    </row>
    <row r="200" spans="1:19" x14ac:dyDescent="0.2">
      <c r="B200" t="s">
        <v>24</v>
      </c>
      <c r="F200" s="24">
        <f>F185+F190+F191+F192+F193+F197+F198</f>
        <v>1721777.3933303079</v>
      </c>
      <c r="G200" s="24">
        <f t="shared" ref="G200:R200" si="101">G185+G190+G191+G192+G193+G197+G198</f>
        <v>1653528.8780205606</v>
      </c>
      <c r="H200" s="24">
        <f t="shared" si="101"/>
        <v>1800135.0354853289</v>
      </c>
      <c r="I200" s="24">
        <f t="shared" si="101"/>
        <v>2374575.9141969606</v>
      </c>
      <c r="J200" s="24">
        <f t="shared" si="101"/>
        <v>2822859.3936043577</v>
      </c>
      <c r="K200" s="24">
        <f t="shared" si="101"/>
        <v>3218962.037563635</v>
      </c>
      <c r="L200" s="24">
        <f t="shared" si="101"/>
        <v>3367160.9582523475</v>
      </c>
      <c r="M200" s="24">
        <f t="shared" si="101"/>
        <v>2880902.3174386118</v>
      </c>
      <c r="N200" s="24">
        <f t="shared" si="101"/>
        <v>3045017.5751394378</v>
      </c>
      <c r="O200" s="24">
        <f t="shared" si="101"/>
        <v>2560001.6729776748</v>
      </c>
      <c r="P200" s="24">
        <f t="shared" si="101"/>
        <v>2140755.4435313717</v>
      </c>
      <c r="Q200" s="24">
        <f t="shared" si="101"/>
        <v>1467744.1655743753</v>
      </c>
      <c r="R200" s="24">
        <f t="shared" si="101"/>
        <v>29053420.78511497</v>
      </c>
      <c r="S200"/>
    </row>
    <row r="201" spans="1:19" x14ac:dyDescent="0.2">
      <c r="A201" s="30"/>
      <c r="B201" s="30"/>
      <c r="C201" s="30"/>
      <c r="D201" s="30"/>
      <c r="E201" s="30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70"/>
      <c r="S201"/>
    </row>
    <row r="202" spans="1:19" x14ac:dyDescent="0.2">
      <c r="A202" s="30" t="s">
        <v>305</v>
      </c>
      <c r="B202" s="30" t="s">
        <v>304</v>
      </c>
      <c r="C202" s="30"/>
      <c r="D202" s="30"/>
      <c r="E202" s="30"/>
      <c r="F202" s="34">
        <f t="shared" ref="F202:N202" si="102">F171*F180+F181*F172</f>
        <v>827432.60652511986</v>
      </c>
      <c r="G202" s="34">
        <f t="shared" si="102"/>
        <v>786071.67652048008</v>
      </c>
      <c r="H202" s="34">
        <f t="shared" si="102"/>
        <v>895316.2310355599</v>
      </c>
      <c r="I202" s="34">
        <f t="shared" si="102"/>
        <v>1244359.48790234</v>
      </c>
      <c r="J202" s="34">
        <f t="shared" si="102"/>
        <v>1527877.0256423601</v>
      </c>
      <c r="K202" s="34">
        <f t="shared" si="102"/>
        <v>1759614.7863632999</v>
      </c>
      <c r="L202" s="34">
        <f t="shared" si="102"/>
        <v>1853361.1383060799</v>
      </c>
      <c r="M202" s="34">
        <f t="shared" si="102"/>
        <v>1566231.8637727401</v>
      </c>
      <c r="N202" s="34">
        <f t="shared" si="102"/>
        <v>1647945.3879607399</v>
      </c>
      <c r="O202" s="34">
        <f t="shared" ref="O202:Q202" si="103">O171*O180+O181*O172</f>
        <v>1355138.9490693798</v>
      </c>
      <c r="P202" s="34">
        <f t="shared" si="103"/>
        <v>1099974.63311594</v>
      </c>
      <c r="Q202" s="34">
        <f t="shared" si="103"/>
        <v>704625.55253488</v>
      </c>
      <c r="R202" s="70">
        <f>SUM(F202:Q202)</f>
        <v>15267949.338748919</v>
      </c>
      <c r="S202"/>
    </row>
    <row r="204" spans="1:19" x14ac:dyDescent="0.2">
      <c r="B204" s="15" t="s">
        <v>96</v>
      </c>
      <c r="C204" s="15"/>
      <c r="S204"/>
    </row>
    <row r="205" spans="1:19" x14ac:dyDescent="0.2">
      <c r="B205" s="15" t="s">
        <v>7</v>
      </c>
      <c r="C205" s="15"/>
      <c r="S205"/>
    </row>
    <row r="206" spans="1:19" s="30" customFormat="1" x14ac:dyDescent="0.2">
      <c r="A206"/>
      <c r="B206" t="s">
        <v>282</v>
      </c>
      <c r="C206"/>
      <c r="D206">
        <v>41</v>
      </c>
      <c r="E206" t="s">
        <v>5</v>
      </c>
      <c r="F206" s="17">
        <f t="shared" ref="F206:Q206" si="104">F160</f>
        <v>106.43</v>
      </c>
      <c r="G206" s="17">
        <f t="shared" si="104"/>
        <v>106.43</v>
      </c>
      <c r="H206" s="17">
        <f t="shared" si="104"/>
        <v>106.43</v>
      </c>
      <c r="I206" s="17">
        <f t="shared" si="104"/>
        <v>106.43</v>
      </c>
      <c r="J206" s="17">
        <f t="shared" si="104"/>
        <v>106.43</v>
      </c>
      <c r="K206" s="17">
        <f t="shared" si="104"/>
        <v>106.43</v>
      </c>
      <c r="L206" s="17">
        <f t="shared" si="104"/>
        <v>106.43</v>
      </c>
      <c r="M206" s="17">
        <f t="shared" si="104"/>
        <v>106.43</v>
      </c>
      <c r="N206" s="17">
        <f t="shared" si="104"/>
        <v>106.43</v>
      </c>
      <c r="O206" s="17">
        <f t="shared" si="104"/>
        <v>106.43</v>
      </c>
      <c r="P206" s="17">
        <f t="shared" si="104"/>
        <v>106.43</v>
      </c>
      <c r="Q206" s="17">
        <f t="shared" si="104"/>
        <v>106.43</v>
      </c>
      <c r="R206" s="26"/>
    </row>
    <row r="207" spans="1:19" s="30" customFormat="1" x14ac:dyDescent="0.2">
      <c r="A207"/>
      <c r="B207" t="s">
        <v>3</v>
      </c>
      <c r="C207"/>
      <c r="D207"/>
      <c r="E207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20"/>
    </row>
    <row r="208" spans="1:19" s="30" customFormat="1" x14ac:dyDescent="0.2">
      <c r="A208"/>
      <c r="B208"/>
      <c r="C208" t="s">
        <v>15</v>
      </c>
      <c r="D208">
        <v>41</v>
      </c>
      <c r="E208" t="s">
        <v>6</v>
      </c>
      <c r="F208" s="18">
        <f t="shared" ref="F208:Q208" si="105">F162</f>
        <v>0.12876000000000001</v>
      </c>
      <c r="G208" s="18">
        <f t="shared" si="105"/>
        <v>0.12876000000000001</v>
      </c>
      <c r="H208" s="18">
        <f t="shared" si="105"/>
        <v>0.12876000000000001</v>
      </c>
      <c r="I208" s="18">
        <f t="shared" si="105"/>
        <v>0.12876000000000001</v>
      </c>
      <c r="J208" s="18">
        <f t="shared" si="105"/>
        <v>0.12876000000000001</v>
      </c>
      <c r="K208" s="18">
        <f t="shared" si="105"/>
        <v>0.12876000000000001</v>
      </c>
      <c r="L208" s="18">
        <f t="shared" si="105"/>
        <v>0.12876000000000001</v>
      </c>
      <c r="M208" s="18">
        <f t="shared" si="105"/>
        <v>0.12876000000000001</v>
      </c>
      <c r="N208" s="18">
        <f t="shared" si="105"/>
        <v>0.12876000000000001</v>
      </c>
      <c r="O208" s="18">
        <f t="shared" si="105"/>
        <v>0.12876000000000001</v>
      </c>
      <c r="P208" s="18">
        <f t="shared" si="105"/>
        <v>0.12876000000000001</v>
      </c>
      <c r="Q208" s="18">
        <f t="shared" si="105"/>
        <v>0.12876000000000001</v>
      </c>
      <c r="R208" s="20"/>
    </row>
    <row r="209" spans="1:18" s="30" customFormat="1" x14ac:dyDescent="0.2">
      <c r="A209"/>
      <c r="B209"/>
      <c r="C209" t="s">
        <v>16</v>
      </c>
      <c r="D209">
        <v>41</v>
      </c>
      <c r="E209" t="s">
        <v>6</v>
      </c>
      <c r="F209" s="18">
        <f t="shared" ref="F209:Q209" si="106">F163</f>
        <v>0.10364</v>
      </c>
      <c r="G209" s="18">
        <f t="shared" si="106"/>
        <v>0.10364</v>
      </c>
      <c r="H209" s="18">
        <f t="shared" si="106"/>
        <v>0.10364</v>
      </c>
      <c r="I209" s="18">
        <f t="shared" si="106"/>
        <v>0.10364</v>
      </c>
      <c r="J209" s="18">
        <f t="shared" si="106"/>
        <v>0.10364</v>
      </c>
      <c r="K209" s="18">
        <f t="shared" si="106"/>
        <v>0.10364</v>
      </c>
      <c r="L209" s="18">
        <f t="shared" si="106"/>
        <v>0.10364</v>
      </c>
      <c r="M209" s="18">
        <f t="shared" si="106"/>
        <v>0.10364</v>
      </c>
      <c r="N209" s="18">
        <f t="shared" si="106"/>
        <v>0.10364</v>
      </c>
      <c r="O209" s="18">
        <f t="shared" si="106"/>
        <v>0.10364</v>
      </c>
      <c r="P209" s="18">
        <f t="shared" si="106"/>
        <v>0.10364</v>
      </c>
      <c r="Q209" s="18">
        <f t="shared" si="106"/>
        <v>0.10364</v>
      </c>
      <c r="R209" s="20"/>
    </row>
    <row r="210" spans="1:18" s="30" customFormat="1" x14ac:dyDescent="0.2">
      <c r="A210"/>
      <c r="B210" t="s">
        <v>441</v>
      </c>
      <c r="C210"/>
      <c r="D210">
        <v>41</v>
      </c>
      <c r="E210" t="s">
        <v>6</v>
      </c>
      <c r="F210" s="18">
        <f t="shared" ref="F210:Q210" si="107">F164</f>
        <v>6.0899999999999999E-3</v>
      </c>
      <c r="G210" s="18">
        <f t="shared" si="107"/>
        <v>6.0899999999999999E-3</v>
      </c>
      <c r="H210" s="18">
        <f t="shared" si="107"/>
        <v>6.0899999999999999E-3</v>
      </c>
      <c r="I210" s="18">
        <f t="shared" si="107"/>
        <v>6.0899999999999999E-3</v>
      </c>
      <c r="J210" s="18">
        <f t="shared" si="107"/>
        <v>6.0899999999999999E-3</v>
      </c>
      <c r="K210" s="18">
        <f t="shared" si="107"/>
        <v>6.0899999999999999E-3</v>
      </c>
      <c r="L210" s="18">
        <f t="shared" si="107"/>
        <v>6.0899999999999999E-3</v>
      </c>
      <c r="M210" s="18">
        <f t="shared" si="107"/>
        <v>6.0899999999999999E-3</v>
      </c>
      <c r="N210" s="18">
        <f t="shared" si="107"/>
        <v>6.0899999999999999E-3</v>
      </c>
      <c r="O210" s="18">
        <f t="shared" si="107"/>
        <v>6.0899999999999999E-3</v>
      </c>
      <c r="P210" s="18">
        <f t="shared" si="107"/>
        <v>6.0899999999999999E-3</v>
      </c>
      <c r="Q210" s="18">
        <f t="shared" si="107"/>
        <v>6.0899999999999999E-3</v>
      </c>
      <c r="R210" s="20"/>
    </row>
    <row r="211" spans="1:18" s="30" customFormat="1" x14ac:dyDescent="0.2">
      <c r="A211"/>
      <c r="B211" t="s">
        <v>303</v>
      </c>
      <c r="C211"/>
      <c r="D211">
        <v>101</v>
      </c>
      <c r="E211" t="s">
        <v>6</v>
      </c>
      <c r="F211" s="98">
        <f t="shared" ref="F211:Q212" si="108">F165</f>
        <v>0.2271</v>
      </c>
      <c r="G211" s="98">
        <f t="shared" si="108"/>
        <v>0.2271</v>
      </c>
      <c r="H211" s="98">
        <f t="shared" si="108"/>
        <v>0.2271</v>
      </c>
      <c r="I211" s="98">
        <f t="shared" si="108"/>
        <v>0.2271</v>
      </c>
      <c r="J211" s="98">
        <f t="shared" si="108"/>
        <v>0.2271</v>
      </c>
      <c r="K211" s="98">
        <f t="shared" si="108"/>
        <v>0.2271</v>
      </c>
      <c r="L211" s="98">
        <f t="shared" si="108"/>
        <v>0.2271</v>
      </c>
      <c r="M211" s="98">
        <f t="shared" si="108"/>
        <v>0.2271</v>
      </c>
      <c r="N211" s="98">
        <f t="shared" si="108"/>
        <v>0.2271</v>
      </c>
      <c r="O211" s="98">
        <f t="shared" si="108"/>
        <v>0.2271</v>
      </c>
      <c r="P211" s="98">
        <f t="shared" si="108"/>
        <v>0.2271</v>
      </c>
      <c r="Q211" s="98">
        <f t="shared" si="108"/>
        <v>0.2271</v>
      </c>
      <c r="R211" s="20"/>
    </row>
    <row r="212" spans="1:18" s="30" customFormat="1" x14ac:dyDescent="0.2">
      <c r="A212"/>
      <c r="B212" t="s">
        <v>553</v>
      </c>
      <c r="C212"/>
      <c r="D212">
        <v>149</v>
      </c>
      <c r="E212" t="s">
        <v>6</v>
      </c>
      <c r="F212" s="98">
        <f t="shared" si="108"/>
        <v>6.2199999999999998E-3</v>
      </c>
      <c r="G212" s="98">
        <f t="shared" si="108"/>
        <v>6.2199999999999998E-3</v>
      </c>
      <c r="H212" s="98">
        <f t="shared" si="108"/>
        <v>6.2199999999999998E-3</v>
      </c>
      <c r="I212" s="98">
        <f t="shared" si="108"/>
        <v>6.2199999999999998E-3</v>
      </c>
      <c r="J212" s="98">
        <f t="shared" si="108"/>
        <v>6.2199999999999998E-3</v>
      </c>
      <c r="K212" s="98">
        <f t="shared" si="108"/>
        <v>6.2199999999999998E-3</v>
      </c>
      <c r="L212" s="98">
        <f t="shared" si="108"/>
        <v>6.2199999999999998E-3</v>
      </c>
      <c r="M212" s="98">
        <f t="shared" si="108"/>
        <v>6.2199999999999998E-3</v>
      </c>
      <c r="N212" s="98">
        <f t="shared" si="108"/>
        <v>6.2199999999999998E-3</v>
      </c>
      <c r="O212" s="98">
        <f t="shared" si="108"/>
        <v>6.2199999999999998E-3</v>
      </c>
      <c r="P212" s="98">
        <f t="shared" si="108"/>
        <v>6.2199999999999998E-3</v>
      </c>
      <c r="Q212" s="98">
        <f t="shared" si="108"/>
        <v>6.2199999999999998E-3</v>
      </c>
      <c r="R212" s="20"/>
    </row>
    <row r="213" spans="1:18" s="30" customFormat="1" x14ac:dyDescent="0.2">
      <c r="A213"/>
      <c r="B213" t="s">
        <v>18</v>
      </c>
      <c r="C213"/>
      <c r="D213"/>
      <c r="E213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</row>
    <row r="214" spans="1:18" s="30" customFormat="1" x14ac:dyDescent="0.2">
      <c r="A214"/>
      <c r="B214"/>
      <c r="C214" t="s">
        <v>19</v>
      </c>
      <c r="D214">
        <v>101</v>
      </c>
      <c r="E214" t="s">
        <v>6</v>
      </c>
      <c r="F214" s="112">
        <f t="shared" ref="F214:Q214" si="109">F168</f>
        <v>1.17</v>
      </c>
      <c r="G214" s="112">
        <f t="shared" si="109"/>
        <v>1.17</v>
      </c>
      <c r="H214" s="112">
        <f t="shared" si="109"/>
        <v>1.17</v>
      </c>
      <c r="I214" s="112">
        <f t="shared" si="109"/>
        <v>1.17</v>
      </c>
      <c r="J214" s="112">
        <f t="shared" si="109"/>
        <v>1.17</v>
      </c>
      <c r="K214" s="112">
        <f t="shared" si="109"/>
        <v>1.17</v>
      </c>
      <c r="L214" s="112">
        <f t="shared" si="109"/>
        <v>1.17</v>
      </c>
      <c r="M214" s="112">
        <f t="shared" si="109"/>
        <v>1.17</v>
      </c>
      <c r="N214" s="112">
        <f t="shared" si="109"/>
        <v>1.17</v>
      </c>
      <c r="O214" s="112">
        <f t="shared" si="109"/>
        <v>1.17</v>
      </c>
      <c r="P214" s="112">
        <f t="shared" si="109"/>
        <v>1.17</v>
      </c>
      <c r="Q214" s="112">
        <f t="shared" si="109"/>
        <v>1.17</v>
      </c>
      <c r="R214" s="20"/>
    </row>
    <row r="215" spans="1:18" s="30" customFormat="1" x14ac:dyDescent="0.2">
      <c r="A215"/>
      <c r="B215"/>
      <c r="C215" t="s">
        <v>20</v>
      </c>
      <c r="D215">
        <v>101</v>
      </c>
      <c r="E215" t="s">
        <v>6</v>
      </c>
      <c r="F215" s="112">
        <f t="shared" ref="F215:Q215" si="110">F169</f>
        <v>1.05</v>
      </c>
      <c r="G215" s="112">
        <f t="shared" si="110"/>
        <v>1.05</v>
      </c>
      <c r="H215" s="112">
        <f t="shared" si="110"/>
        <v>1.05</v>
      </c>
      <c r="I215" s="112">
        <f t="shared" si="110"/>
        <v>1.05</v>
      </c>
      <c r="J215" s="112">
        <f t="shared" si="110"/>
        <v>1.05</v>
      </c>
      <c r="K215" s="112">
        <f t="shared" si="110"/>
        <v>1.05</v>
      </c>
      <c r="L215" s="112">
        <f t="shared" si="110"/>
        <v>1.05</v>
      </c>
      <c r="M215" s="112">
        <f t="shared" si="110"/>
        <v>1.05</v>
      </c>
      <c r="N215" s="112">
        <f t="shared" si="110"/>
        <v>1.05</v>
      </c>
      <c r="O215" s="112">
        <f t="shared" si="110"/>
        <v>1.05</v>
      </c>
      <c r="P215" s="112">
        <f t="shared" si="110"/>
        <v>1.05</v>
      </c>
      <c r="Q215" s="112">
        <f t="shared" si="110"/>
        <v>1.05</v>
      </c>
      <c r="R215" s="20"/>
    </row>
    <row r="216" spans="1:18" s="30" customFormat="1" x14ac:dyDescent="0.2">
      <c r="A216"/>
      <c r="B216" t="s">
        <v>21</v>
      </c>
      <c r="C216"/>
      <c r="D216">
        <v>41</v>
      </c>
      <c r="E216" t="s">
        <v>22</v>
      </c>
      <c r="F216" s="17">
        <f t="shared" ref="F216:Q216" si="111">F170</f>
        <v>115.88</v>
      </c>
      <c r="G216" s="17">
        <f t="shared" si="111"/>
        <v>115.88</v>
      </c>
      <c r="H216" s="17">
        <f t="shared" si="111"/>
        <v>115.88</v>
      </c>
      <c r="I216" s="17">
        <f t="shared" si="111"/>
        <v>115.88</v>
      </c>
      <c r="J216" s="17">
        <f t="shared" si="111"/>
        <v>115.88</v>
      </c>
      <c r="K216" s="17">
        <f t="shared" si="111"/>
        <v>115.88</v>
      </c>
      <c r="L216" s="17">
        <f t="shared" si="111"/>
        <v>115.88</v>
      </c>
      <c r="M216" s="17">
        <f t="shared" si="111"/>
        <v>115.88</v>
      </c>
      <c r="N216" s="17">
        <f t="shared" si="111"/>
        <v>115.88</v>
      </c>
      <c r="O216" s="17">
        <f t="shared" si="111"/>
        <v>115.88</v>
      </c>
      <c r="P216" s="17">
        <f t="shared" si="111"/>
        <v>115.88</v>
      </c>
      <c r="Q216" s="17">
        <f t="shared" si="111"/>
        <v>115.88</v>
      </c>
      <c r="R216" s="20"/>
    </row>
    <row r="217" spans="1:18" s="30" customFormat="1" x14ac:dyDescent="0.2">
      <c r="A217"/>
      <c r="B217" t="s">
        <v>304</v>
      </c>
      <c r="C217"/>
      <c r="D217"/>
      <c r="E217"/>
      <c r="F217" s="98">
        <f t="shared" ref="F217:Q217" si="112">F171</f>
        <v>0.21678</v>
      </c>
      <c r="G217" s="98">
        <f t="shared" si="112"/>
        <v>0.21678</v>
      </c>
      <c r="H217" s="98">
        <f t="shared" si="112"/>
        <v>0.21678</v>
      </c>
      <c r="I217" s="98">
        <f t="shared" si="112"/>
        <v>0.21678</v>
      </c>
      <c r="J217" s="98">
        <f t="shared" si="112"/>
        <v>0.21678</v>
      </c>
      <c r="K217" s="98">
        <f t="shared" si="112"/>
        <v>0.21678</v>
      </c>
      <c r="L217" s="98">
        <f t="shared" si="112"/>
        <v>0.21678</v>
      </c>
      <c r="M217" s="98">
        <f t="shared" si="112"/>
        <v>0.21678</v>
      </c>
      <c r="N217" s="98">
        <f t="shared" si="112"/>
        <v>0.21678</v>
      </c>
      <c r="O217" s="98">
        <f t="shared" si="112"/>
        <v>0.21678</v>
      </c>
      <c r="P217" s="98">
        <f t="shared" si="112"/>
        <v>0.21678</v>
      </c>
      <c r="Q217" s="98">
        <f t="shared" si="112"/>
        <v>0.21678</v>
      </c>
      <c r="R217" s="20"/>
    </row>
    <row r="218" spans="1:18" s="30" customFormat="1" x14ac:dyDescent="0.2">
      <c r="A218"/>
      <c r="B218" t="s">
        <v>310</v>
      </c>
      <c r="C218"/>
      <c r="D218"/>
      <c r="E218"/>
      <c r="F218" s="112">
        <f t="shared" ref="F218:Q218" si="113">F172</f>
        <v>1</v>
      </c>
      <c r="G218" s="112">
        <f t="shared" si="113"/>
        <v>1</v>
      </c>
      <c r="H218" s="112">
        <f t="shared" si="113"/>
        <v>1</v>
      </c>
      <c r="I218" s="112">
        <f t="shared" si="113"/>
        <v>1</v>
      </c>
      <c r="J218" s="112">
        <f t="shared" si="113"/>
        <v>1</v>
      </c>
      <c r="K218" s="112">
        <f t="shared" si="113"/>
        <v>1</v>
      </c>
      <c r="L218" s="112">
        <f t="shared" si="113"/>
        <v>1</v>
      </c>
      <c r="M218" s="112">
        <f t="shared" si="113"/>
        <v>1</v>
      </c>
      <c r="N218" s="112">
        <f t="shared" si="113"/>
        <v>1</v>
      </c>
      <c r="O218" s="112">
        <f t="shared" si="113"/>
        <v>1</v>
      </c>
      <c r="P218" s="112">
        <f t="shared" si="113"/>
        <v>1</v>
      </c>
      <c r="Q218" s="112">
        <f t="shared" si="113"/>
        <v>1</v>
      </c>
      <c r="R218" s="20"/>
    </row>
    <row r="219" spans="1:18" s="30" customFormat="1" x14ac:dyDescent="0.2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</row>
    <row r="220" spans="1:18" s="30" customFormat="1" x14ac:dyDescent="0.2">
      <c r="A220"/>
      <c r="B220" s="15" t="s">
        <v>8</v>
      </c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</row>
    <row r="221" spans="1:18" s="30" customFormat="1" x14ac:dyDescent="0.2">
      <c r="A221"/>
      <c r="B221" t="s">
        <v>22</v>
      </c>
      <c r="C221"/>
      <c r="D221"/>
      <c r="E221" t="s">
        <v>22</v>
      </c>
      <c r="F221" s="76">
        <f>'(R) Data'!C19</f>
        <v>80.497848045674132</v>
      </c>
      <c r="G221" s="156">
        <f>'(R) Data'!D19</f>
        <v>80.037417654808962</v>
      </c>
      <c r="H221" s="156">
        <f>'(R) Data'!E19</f>
        <v>76.810803689064556</v>
      </c>
      <c r="I221" s="156">
        <f>'(R) Data'!F19</f>
        <v>78.018093983311388</v>
      </c>
      <c r="J221" s="156">
        <f>'(R) Data'!G19</f>
        <v>73.751075977162927</v>
      </c>
      <c r="K221" s="156">
        <f>'(R) Data'!H19</f>
        <v>76.034583865049214</v>
      </c>
      <c r="L221" s="156">
        <f>'(R) Data'!I19</f>
        <v>73.09532077437278</v>
      </c>
      <c r="M221" s="156">
        <f>'(R) Data'!J19</f>
        <v>69.06155048181266</v>
      </c>
      <c r="N221" s="156">
        <f>'(R) Data'!K19</f>
        <v>74.83974303324942</v>
      </c>
      <c r="O221" s="156">
        <f>'(R) Data'!L19</f>
        <v>74.071099921868225</v>
      </c>
      <c r="P221" s="156">
        <f>'(R) Data'!M19</f>
        <v>74.148642300103347</v>
      </c>
      <c r="Q221" s="156">
        <f>'(R) Data'!N19</f>
        <v>31.613924645306774</v>
      </c>
      <c r="R221" s="107">
        <f>SUM(F221:Q221)</f>
        <v>861.98010437178436</v>
      </c>
    </row>
    <row r="222" spans="1:18" s="30" customFormat="1" x14ac:dyDescent="0.2">
      <c r="B222" s="30" t="s">
        <v>30</v>
      </c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107"/>
    </row>
    <row r="223" spans="1:18" s="30" customFormat="1" x14ac:dyDescent="0.2">
      <c r="C223" t="s">
        <v>241</v>
      </c>
      <c r="E223" s="30" t="s">
        <v>10</v>
      </c>
      <c r="F223" s="161">
        <f>'(R) Therms By Block'!B16</f>
        <v>66455.850999999995</v>
      </c>
      <c r="G223" s="170">
        <f>'(R) Therms By Block'!C16</f>
        <v>65810.383000000002</v>
      </c>
      <c r="H223" s="170">
        <f>'(R) Therms By Block'!D16</f>
        <v>65174.857000000004</v>
      </c>
      <c r="I223" s="170">
        <f>'(R) Therms By Block'!E16</f>
        <v>68991.076000000001</v>
      </c>
      <c r="J223" s="170">
        <f>'(R) Therms By Block'!F16</f>
        <v>65734.865000000005</v>
      </c>
      <c r="K223" s="170">
        <f>'(R) Therms By Block'!G16</f>
        <v>68226.277000000002</v>
      </c>
      <c r="L223" s="170">
        <f>'(R) Therms By Block'!H16</f>
        <v>65669.274000000005</v>
      </c>
      <c r="M223" s="170">
        <f>'(R) Therms By Block'!I16</f>
        <v>62094.766000000003</v>
      </c>
      <c r="N223" s="170">
        <f>'(R) Therms By Block'!J16</f>
        <v>67369.051000000007</v>
      </c>
      <c r="O223" s="170">
        <f>'(R) Therms By Block'!K16</f>
        <v>65894.456000000006</v>
      </c>
      <c r="P223" s="170">
        <f>'(R) Therms By Block'!L16</f>
        <v>64681.207000000002</v>
      </c>
      <c r="Q223" s="170">
        <f>'(R) Therms By Block'!M16</f>
        <v>28021.076000000001</v>
      </c>
      <c r="R223" s="107">
        <f>SUM(F223:Q223)</f>
        <v>754123.13899999997</v>
      </c>
    </row>
    <row r="224" spans="1:18" s="30" customFormat="1" x14ac:dyDescent="0.2">
      <c r="C224" t="s">
        <v>242</v>
      </c>
      <c r="E224" s="30" t="s">
        <v>10</v>
      </c>
      <c r="F224" s="170">
        <f>'(R) Therms By Block'!B17</f>
        <v>206546.99400000001</v>
      </c>
      <c r="G224" s="170">
        <f>'(R) Therms By Block'!C17</f>
        <v>207953.351</v>
      </c>
      <c r="H224" s="170">
        <f>'(R) Therms By Block'!D17</f>
        <v>213176.33499999999</v>
      </c>
      <c r="I224" s="170">
        <f>'(R) Therms By Block'!E17</f>
        <v>248447.16800000001</v>
      </c>
      <c r="J224" s="170">
        <f>'(R) Therms By Block'!F17</f>
        <v>249445.00899999999</v>
      </c>
      <c r="K224" s="170">
        <f>'(R) Therms By Block'!G17</f>
        <v>260066.27799999999</v>
      </c>
      <c r="L224" s="170">
        <f>'(R) Therms By Block'!H17</f>
        <v>251095.27799999999</v>
      </c>
      <c r="M224" s="170">
        <f>'(R) Therms By Block'!I17</f>
        <v>239327.72</v>
      </c>
      <c r="N224" s="170">
        <f>'(R) Therms By Block'!J17</f>
        <v>254583.26</v>
      </c>
      <c r="O224" s="170">
        <f>'(R) Therms By Block'!K17</f>
        <v>240732.26</v>
      </c>
      <c r="P224" s="170">
        <f>'(R) Therms By Block'!L17</f>
        <v>216637.33</v>
      </c>
      <c r="Q224" s="170">
        <f>'(R) Therms By Block'!M17</f>
        <v>81984.774000000005</v>
      </c>
      <c r="R224" s="107">
        <f>SUM(F224:Q224)</f>
        <v>2669995.7570000002</v>
      </c>
    </row>
    <row r="225" spans="1:37" s="30" customFormat="1" x14ac:dyDescent="0.2">
      <c r="C225" t="s">
        <v>16</v>
      </c>
      <c r="E225" s="30" t="s">
        <v>10</v>
      </c>
      <c r="F225" s="107">
        <f t="shared" ref="F225:N225" si="114">F226-SUM(F223:F224)</f>
        <v>442683.80099999998</v>
      </c>
      <c r="G225" s="107">
        <f t="shared" si="114"/>
        <v>449558.81</v>
      </c>
      <c r="H225" s="107">
        <f t="shared" si="114"/>
        <v>443236.66699999996</v>
      </c>
      <c r="I225" s="107">
        <f t="shared" si="114"/>
        <v>576262.05900000012</v>
      </c>
      <c r="J225" s="107">
        <f t="shared" si="114"/>
        <v>587366.56000000006</v>
      </c>
      <c r="K225" s="107">
        <f t="shared" si="114"/>
        <v>638998.39800000004</v>
      </c>
      <c r="L225" s="107">
        <f t="shared" si="114"/>
        <v>668159.36899999995</v>
      </c>
      <c r="M225" s="107">
        <f t="shared" si="114"/>
        <v>579906.53700000001</v>
      </c>
      <c r="N225" s="107">
        <f t="shared" si="114"/>
        <v>599326.31599999999</v>
      </c>
      <c r="O225" s="107">
        <f t="shared" ref="O225:Q225" si="115">O226-SUM(O223:O224)</f>
        <v>513261.34400000004</v>
      </c>
      <c r="P225" s="107">
        <f t="shared" si="115"/>
        <v>443799.62199999997</v>
      </c>
      <c r="Q225" s="107">
        <f t="shared" si="115"/>
        <v>98683.323999999993</v>
      </c>
      <c r="R225" s="107">
        <f>SUM(F225:Q225)</f>
        <v>6041242.8069999991</v>
      </c>
    </row>
    <row r="226" spans="1:37" x14ac:dyDescent="0.2">
      <c r="A226" s="30"/>
      <c r="B226" s="30"/>
      <c r="C226" s="30" t="s">
        <v>17</v>
      </c>
      <c r="D226" s="30"/>
      <c r="E226" s="30" t="s">
        <v>10</v>
      </c>
      <c r="F226" s="111">
        <f>'Weather Adj'!D181</f>
        <v>715686.64599999995</v>
      </c>
      <c r="G226" s="111">
        <f>'Weather Adj'!E181</f>
        <v>723322.54399999999</v>
      </c>
      <c r="H226" s="111">
        <f>'Weather Adj'!F181</f>
        <v>721587.85899999994</v>
      </c>
      <c r="I226" s="111">
        <f>'Weather Adj'!G181</f>
        <v>893700.30300000007</v>
      </c>
      <c r="J226" s="111">
        <f>'Weather Adj'!H181</f>
        <v>902546.43400000012</v>
      </c>
      <c r="K226" s="111">
        <f>'Weather Adj'!I181</f>
        <v>967290.95299999998</v>
      </c>
      <c r="L226" s="111">
        <f>'Weather Adj'!J181</f>
        <v>984923.92099999997</v>
      </c>
      <c r="M226" s="111">
        <f>'Weather Adj'!K181</f>
        <v>881329.02300000004</v>
      </c>
      <c r="N226" s="111">
        <f>'Weather Adj'!L181</f>
        <v>921278.62699999998</v>
      </c>
      <c r="O226" s="111">
        <f>'Weather Adj'!M181</f>
        <v>819888.06</v>
      </c>
      <c r="P226" s="111">
        <f>'Weather Adj'!N181</f>
        <v>725118.15899999999</v>
      </c>
      <c r="Q226" s="111">
        <f>'Weather Adj'!O181</f>
        <v>208689.174</v>
      </c>
      <c r="R226" s="109">
        <f>SUM(R223:R225)</f>
        <v>9465361.7029999997</v>
      </c>
    </row>
    <row r="227" spans="1:37" x14ac:dyDescent="0.2">
      <c r="A227" s="30"/>
      <c r="B227" s="30" t="s">
        <v>29</v>
      </c>
      <c r="C227" s="30"/>
      <c r="D227" s="30"/>
      <c r="E227" s="30" t="s">
        <v>100</v>
      </c>
      <c r="F227" s="76">
        <f>'(R) Data'!C40</f>
        <v>43084.084999999999</v>
      </c>
      <c r="G227" s="156">
        <f>'(R) Data'!D40</f>
        <v>40720.915000000001</v>
      </c>
      <c r="H227" s="156">
        <f>'(R) Data'!E40</f>
        <v>39251.000999999997</v>
      </c>
      <c r="I227" s="156">
        <f>'(R) Data'!F40</f>
        <v>41478.165000000001</v>
      </c>
      <c r="J227" s="156">
        <f>'(R) Data'!G40</f>
        <v>35383.019</v>
      </c>
      <c r="K227" s="156">
        <f>'(R) Data'!H40</f>
        <v>34661.311000000002</v>
      </c>
      <c r="L227" s="156">
        <f>'(R) Data'!I40</f>
        <v>35039.822</v>
      </c>
      <c r="M227" s="156">
        <f>'(R) Data'!J40</f>
        <v>32922.214999999997</v>
      </c>
      <c r="N227" s="156">
        <f>'(R) Data'!K40</f>
        <v>35515.919000000002</v>
      </c>
      <c r="O227" s="156">
        <f>'(R) Data'!L40</f>
        <v>35497.504000000001</v>
      </c>
      <c r="P227" s="156">
        <f>'(R) Data'!M40</f>
        <v>34267.963000000003</v>
      </c>
      <c r="Q227" s="156">
        <f>'(R) Data'!N40</f>
        <v>41493.053999999996</v>
      </c>
      <c r="R227" s="107">
        <f>SUM(F227:Q227)</f>
        <v>449314.97299999994</v>
      </c>
    </row>
    <row r="228" spans="1:37" x14ac:dyDescent="0.2">
      <c r="A228" s="30"/>
      <c r="B228" s="30" t="s">
        <v>21</v>
      </c>
      <c r="C228" s="30"/>
      <c r="D228" s="30"/>
      <c r="E228" s="30" t="s">
        <v>22</v>
      </c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107"/>
    </row>
    <row r="229" spans="1:37" x14ac:dyDescent="0.2">
      <c r="A229" s="30"/>
      <c r="B229" s="30"/>
      <c r="C229" s="30"/>
      <c r="D229" s="30"/>
      <c r="E229" s="30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</row>
    <row r="230" spans="1:37" s="30" customFormat="1" x14ac:dyDescent="0.2">
      <c r="B230" s="29" t="s">
        <v>9</v>
      </c>
      <c r="R230" s="96"/>
    </row>
    <row r="231" spans="1:37" x14ac:dyDescent="0.2">
      <c r="A231" s="30" t="s">
        <v>147</v>
      </c>
      <c r="B231" s="30" t="s">
        <v>282</v>
      </c>
      <c r="C231" s="30"/>
      <c r="D231" s="30">
        <v>41</v>
      </c>
      <c r="E231" s="30"/>
      <c r="F231" s="34">
        <f t="shared" ref="F231:N231" si="116">F206*F221</f>
        <v>8567.385967501099</v>
      </c>
      <c r="G231" s="34">
        <f t="shared" si="116"/>
        <v>8518.3823610013187</v>
      </c>
      <c r="H231" s="34">
        <f t="shared" si="116"/>
        <v>8174.9738366271413</v>
      </c>
      <c r="I231" s="34">
        <f t="shared" si="116"/>
        <v>8303.4657426438316</v>
      </c>
      <c r="J231" s="34">
        <f t="shared" si="116"/>
        <v>7849.3270162494509</v>
      </c>
      <c r="K231" s="34">
        <f t="shared" si="116"/>
        <v>8092.3607607571885</v>
      </c>
      <c r="L231" s="34">
        <f t="shared" si="116"/>
        <v>7779.5349900164956</v>
      </c>
      <c r="M231" s="34">
        <f t="shared" si="116"/>
        <v>7350.2208177793218</v>
      </c>
      <c r="N231" s="34">
        <f t="shared" si="116"/>
        <v>7965.1938510287364</v>
      </c>
      <c r="O231" s="34">
        <f t="shared" ref="O231:Q231" si="117">O206*O221</f>
        <v>7883.3871646844354</v>
      </c>
      <c r="P231" s="34">
        <f t="shared" si="117"/>
        <v>7891.6399999999994</v>
      </c>
      <c r="Q231" s="34">
        <f t="shared" si="117"/>
        <v>3364.67</v>
      </c>
      <c r="R231" s="70">
        <f>SUM(F231:Q231)</f>
        <v>91740.542508289029</v>
      </c>
    </row>
    <row r="232" spans="1:37" s="30" customFormat="1" x14ac:dyDescent="0.2">
      <c r="B232" s="30" t="s">
        <v>3</v>
      </c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70"/>
    </row>
    <row r="233" spans="1:37" s="30" customFormat="1" x14ac:dyDescent="0.2">
      <c r="C233" t="s">
        <v>241</v>
      </c>
      <c r="F233" s="104">
        <v>0</v>
      </c>
      <c r="G233" s="104">
        <v>0</v>
      </c>
      <c r="H233" s="104">
        <v>0</v>
      </c>
      <c r="I233" s="104">
        <v>0</v>
      </c>
      <c r="J233" s="104">
        <v>0</v>
      </c>
      <c r="K233" s="104">
        <v>0</v>
      </c>
      <c r="L233" s="104">
        <v>0</v>
      </c>
      <c r="M233" s="104">
        <v>0</v>
      </c>
      <c r="N233" s="104">
        <v>0</v>
      </c>
      <c r="O233" s="104">
        <v>0</v>
      </c>
      <c r="P233" s="104">
        <v>0</v>
      </c>
      <c r="Q233" s="104">
        <v>0</v>
      </c>
      <c r="R233" s="70">
        <f>SUM(F233:Q233)</f>
        <v>0</v>
      </c>
    </row>
    <row r="234" spans="1:37" s="30" customFormat="1" x14ac:dyDescent="0.2">
      <c r="C234" t="s">
        <v>242</v>
      </c>
      <c r="D234" s="30">
        <v>41</v>
      </c>
      <c r="F234" s="34">
        <f t="shared" ref="F234:N234" si="118">F208*F224</f>
        <v>26594.990947440005</v>
      </c>
      <c r="G234" s="34">
        <f t="shared" si="118"/>
        <v>26776.073474760004</v>
      </c>
      <c r="H234" s="34">
        <f t="shared" si="118"/>
        <v>27448.584894600001</v>
      </c>
      <c r="I234" s="34">
        <f t="shared" si="118"/>
        <v>31990.057351680003</v>
      </c>
      <c r="J234" s="34">
        <f t="shared" si="118"/>
        <v>32118.539358840004</v>
      </c>
      <c r="K234" s="34">
        <f t="shared" si="118"/>
        <v>33486.133955280005</v>
      </c>
      <c r="L234" s="34">
        <f t="shared" si="118"/>
        <v>32331.027995280001</v>
      </c>
      <c r="M234" s="34">
        <f t="shared" si="118"/>
        <v>30815.837227200005</v>
      </c>
      <c r="N234" s="34">
        <f t="shared" si="118"/>
        <v>32780.140557600003</v>
      </c>
      <c r="O234" s="34">
        <f t="shared" ref="O234:Q234" si="119">O208*O224</f>
        <v>30996.685797600003</v>
      </c>
      <c r="P234" s="34">
        <f t="shared" si="119"/>
        <v>27894.2226108</v>
      </c>
      <c r="Q234" s="34">
        <f t="shared" si="119"/>
        <v>10556.359500240002</v>
      </c>
      <c r="R234" s="70">
        <f>SUM(F234:Q234)</f>
        <v>343788.65367132006</v>
      </c>
      <c r="Y234" s="34"/>
      <c r="Z234" s="34"/>
      <c r="AA234" s="34"/>
      <c r="AB234" s="34"/>
      <c r="AC234" s="34"/>
      <c r="AD234" s="34"/>
      <c r="AE234" s="34"/>
      <c r="AF234" s="34"/>
      <c r="AG234" s="34"/>
      <c r="AH234" s="34"/>
      <c r="AI234" s="34"/>
      <c r="AJ234" s="34"/>
      <c r="AK234" s="34"/>
    </row>
    <row r="235" spans="1:37" s="30" customFormat="1" x14ac:dyDescent="0.2">
      <c r="C235" t="s">
        <v>16</v>
      </c>
      <c r="D235" s="30">
        <v>41</v>
      </c>
      <c r="F235" s="34">
        <f t="shared" ref="F235:N235" si="120">F209*F225</f>
        <v>45879.749135639999</v>
      </c>
      <c r="G235" s="34">
        <f t="shared" si="120"/>
        <v>46592.275068399998</v>
      </c>
      <c r="H235" s="34">
        <f t="shared" si="120"/>
        <v>45937.048167879992</v>
      </c>
      <c r="I235" s="34">
        <f t="shared" si="120"/>
        <v>59723.799794760009</v>
      </c>
      <c r="J235" s="34">
        <f t="shared" si="120"/>
        <v>60874.670278400001</v>
      </c>
      <c r="K235" s="34">
        <f t="shared" si="120"/>
        <v>66225.793968719998</v>
      </c>
      <c r="L235" s="34">
        <f t="shared" si="120"/>
        <v>69248.037003159989</v>
      </c>
      <c r="M235" s="34">
        <f t="shared" si="120"/>
        <v>60101.513494679995</v>
      </c>
      <c r="N235" s="34">
        <f t="shared" si="120"/>
        <v>62114.179390239995</v>
      </c>
      <c r="O235" s="34">
        <f t="shared" ref="O235:Q235" si="121">O209*O225</f>
        <v>53194.405692159999</v>
      </c>
      <c r="P235" s="34">
        <f t="shared" si="121"/>
        <v>45995.392824079994</v>
      </c>
      <c r="Q235" s="34">
        <f t="shared" si="121"/>
        <v>10227.539699359999</v>
      </c>
      <c r="R235" s="70">
        <f>SUM(F235:Q235)</f>
        <v>626114.40451747994</v>
      </c>
    </row>
    <row r="236" spans="1:37" s="30" customFormat="1" x14ac:dyDescent="0.2">
      <c r="A236" s="30" t="s">
        <v>147</v>
      </c>
      <c r="C236" s="30" t="s">
        <v>26</v>
      </c>
      <c r="F236" s="24">
        <f t="shared" ref="F236:N236" si="122">SUM(F233:F235)</f>
        <v>72474.740083080003</v>
      </c>
      <c r="G236" s="24">
        <f t="shared" si="122"/>
        <v>73368.348543159998</v>
      </c>
      <c r="H236" s="24">
        <f t="shared" si="122"/>
        <v>73385.633062479988</v>
      </c>
      <c r="I236" s="24">
        <f t="shared" si="122"/>
        <v>91713.857146440016</v>
      </c>
      <c r="J236" s="24">
        <f t="shared" si="122"/>
        <v>92993.209637240012</v>
      </c>
      <c r="K236" s="24">
        <f t="shared" si="122"/>
        <v>99711.927924000003</v>
      </c>
      <c r="L236" s="24">
        <f t="shared" si="122"/>
        <v>101579.06499843999</v>
      </c>
      <c r="M236" s="24">
        <f t="shared" si="122"/>
        <v>90917.350721880008</v>
      </c>
      <c r="N236" s="24">
        <f t="shared" si="122"/>
        <v>94894.319947840006</v>
      </c>
      <c r="O236" s="24">
        <f t="shared" ref="O236:Q236" si="123">SUM(O233:O235)</f>
        <v>84191.091489760001</v>
      </c>
      <c r="P236" s="24">
        <f t="shared" si="123"/>
        <v>73889.61543487999</v>
      </c>
      <c r="Q236" s="24">
        <f t="shared" si="123"/>
        <v>20783.8991996</v>
      </c>
      <c r="R236" s="24">
        <f>SUM(R233:R235)</f>
        <v>969903.0581888</v>
      </c>
    </row>
    <row r="237" spans="1:37" s="30" customFormat="1" x14ac:dyDescent="0.2">
      <c r="A237" s="30" t="s">
        <v>147</v>
      </c>
      <c r="B237" s="30" t="s">
        <v>441</v>
      </c>
      <c r="D237" s="30">
        <v>41</v>
      </c>
      <c r="F237" s="40">
        <f>F210*F226</f>
        <v>4358.5316741399993</v>
      </c>
      <c r="G237" s="40">
        <f t="shared" ref="G237:Q237" si="124">G210*G226</f>
        <v>4405.0342929600001</v>
      </c>
      <c r="H237" s="40">
        <f t="shared" si="124"/>
        <v>4394.4700613099994</v>
      </c>
      <c r="I237" s="40">
        <f t="shared" si="124"/>
        <v>5442.6348452700004</v>
      </c>
      <c r="J237" s="40">
        <f t="shared" si="124"/>
        <v>5496.5077830600003</v>
      </c>
      <c r="K237" s="40">
        <f t="shared" si="124"/>
        <v>5890.8019037699996</v>
      </c>
      <c r="L237" s="40">
        <f t="shared" si="124"/>
        <v>5998.1866788899997</v>
      </c>
      <c r="M237" s="40">
        <f t="shared" si="124"/>
        <v>5367.29375007</v>
      </c>
      <c r="N237" s="40">
        <f t="shared" si="124"/>
        <v>5610.5868384300002</v>
      </c>
      <c r="O237" s="40">
        <f t="shared" si="124"/>
        <v>4993.1182853999999</v>
      </c>
      <c r="P237" s="40">
        <f t="shared" si="124"/>
        <v>4415.9695883100003</v>
      </c>
      <c r="Q237" s="40">
        <f t="shared" si="124"/>
        <v>1270.9170696599999</v>
      </c>
      <c r="R237" s="622">
        <f>SUM(F237:Q237)</f>
        <v>57644.052771269991</v>
      </c>
    </row>
    <row r="238" spans="1:37" s="30" customFormat="1" x14ac:dyDescent="0.2">
      <c r="A238" s="30" t="s">
        <v>130</v>
      </c>
      <c r="B238" s="30" t="s">
        <v>306</v>
      </c>
      <c r="D238" s="30">
        <v>101</v>
      </c>
      <c r="F238" s="34">
        <f t="shared" ref="F238:N238" si="125">F211*F226</f>
        <v>162532.43730659998</v>
      </c>
      <c r="G238" s="34">
        <f t="shared" si="125"/>
        <v>164266.54974240001</v>
      </c>
      <c r="H238" s="34">
        <f t="shared" si="125"/>
        <v>163872.60277889998</v>
      </c>
      <c r="I238" s="34">
        <f t="shared" si="125"/>
        <v>202959.33881130003</v>
      </c>
      <c r="J238" s="34">
        <f t="shared" si="125"/>
        <v>204968.29516140002</v>
      </c>
      <c r="K238" s="34">
        <f t="shared" si="125"/>
        <v>219671.77542629998</v>
      </c>
      <c r="L238" s="34">
        <f t="shared" si="125"/>
        <v>223676.22245909998</v>
      </c>
      <c r="M238" s="34">
        <f t="shared" si="125"/>
        <v>200149.8211233</v>
      </c>
      <c r="N238" s="34">
        <f t="shared" si="125"/>
        <v>209222.37619169999</v>
      </c>
      <c r="O238" s="34">
        <f t="shared" ref="O238:Q238" si="126">O211*O226</f>
        <v>186196.57842600002</v>
      </c>
      <c r="P238" s="34">
        <f t="shared" si="126"/>
        <v>164674.33390890001</v>
      </c>
      <c r="Q238" s="34">
        <f t="shared" si="126"/>
        <v>47393.3114154</v>
      </c>
      <c r="R238" s="70">
        <f>SUM(F238:Q238)</f>
        <v>2149583.6427512993</v>
      </c>
    </row>
    <row r="239" spans="1:37" s="30" customFormat="1" x14ac:dyDescent="0.2">
      <c r="A239" s="30" t="s">
        <v>551</v>
      </c>
      <c r="B239" s="30" t="s">
        <v>552</v>
      </c>
      <c r="D239" s="30">
        <v>149</v>
      </c>
      <c r="F239" s="34">
        <f>F212*F226</f>
        <v>4451.5709381199995</v>
      </c>
      <c r="G239" s="34">
        <f t="shared" ref="G239:Q239" si="127">G212*G226</f>
        <v>4499.0662236799999</v>
      </c>
      <c r="H239" s="34">
        <f t="shared" si="127"/>
        <v>4488.2764829799999</v>
      </c>
      <c r="I239" s="34">
        <f t="shared" si="127"/>
        <v>5558.8158846599999</v>
      </c>
      <c r="J239" s="34">
        <f t="shared" si="127"/>
        <v>5613.8388194800009</v>
      </c>
      <c r="K239" s="34">
        <f t="shared" si="127"/>
        <v>6016.5497276599999</v>
      </c>
      <c r="L239" s="34">
        <f t="shared" si="127"/>
        <v>6126.2267886199998</v>
      </c>
      <c r="M239" s="34">
        <f t="shared" si="127"/>
        <v>5481.86652306</v>
      </c>
      <c r="N239" s="34">
        <f t="shared" si="127"/>
        <v>5730.3530599400001</v>
      </c>
      <c r="O239" s="34">
        <f t="shared" si="127"/>
        <v>5099.7037332</v>
      </c>
      <c r="P239" s="34">
        <f t="shared" si="127"/>
        <v>4510.2349489799999</v>
      </c>
      <c r="Q239" s="34">
        <f t="shared" si="127"/>
        <v>1298.04666228</v>
      </c>
      <c r="R239" s="622">
        <f>SUM(F239:Q239)</f>
        <v>58874.549792660007</v>
      </c>
    </row>
    <row r="240" spans="1:37" s="30" customFormat="1" x14ac:dyDescent="0.2">
      <c r="B240" s="30" t="s">
        <v>18</v>
      </c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70"/>
    </row>
    <row r="241" spans="1:19" s="30" customFormat="1" x14ac:dyDescent="0.2">
      <c r="A241" s="30" t="s">
        <v>147</v>
      </c>
      <c r="C241" s="30" t="s">
        <v>19</v>
      </c>
      <c r="D241" s="30">
        <v>41</v>
      </c>
      <c r="F241" s="34">
        <f t="shared" ref="F241:N241" si="128">F214*F227</f>
        <v>50408.379449999993</v>
      </c>
      <c r="G241" s="34">
        <f t="shared" si="128"/>
        <v>47643.470549999998</v>
      </c>
      <c r="H241" s="34">
        <f t="shared" si="128"/>
        <v>45923.671169999994</v>
      </c>
      <c r="I241" s="34">
        <f t="shared" si="128"/>
        <v>48529.453049999996</v>
      </c>
      <c r="J241" s="34">
        <f t="shared" si="128"/>
        <v>41398.132229999996</v>
      </c>
      <c r="K241" s="34">
        <f t="shared" si="128"/>
        <v>40553.733869999996</v>
      </c>
      <c r="L241" s="34">
        <f t="shared" si="128"/>
        <v>40996.591739999996</v>
      </c>
      <c r="M241" s="34">
        <f t="shared" si="128"/>
        <v>38518.991549999992</v>
      </c>
      <c r="N241" s="34">
        <f t="shared" si="128"/>
        <v>41553.625229999998</v>
      </c>
      <c r="O241" s="34">
        <f t="shared" ref="O241:Q241" si="129">O214*O227</f>
        <v>41532.079679999995</v>
      </c>
      <c r="P241" s="34">
        <f t="shared" si="129"/>
        <v>40093.516710000004</v>
      </c>
      <c r="Q241" s="34">
        <f t="shared" si="129"/>
        <v>48546.873179999995</v>
      </c>
      <c r="R241" s="70">
        <f>SUM(F241:Q241)</f>
        <v>525698.5184099999</v>
      </c>
    </row>
    <row r="242" spans="1:19" s="30" customFormat="1" x14ac:dyDescent="0.2">
      <c r="A242" s="30" t="s">
        <v>130</v>
      </c>
      <c r="C242" s="30" t="s">
        <v>20</v>
      </c>
      <c r="D242" s="30">
        <v>101</v>
      </c>
      <c r="F242" s="34">
        <f t="shared" ref="F242:N242" si="130">F215*F227</f>
        <v>45238.289250000002</v>
      </c>
      <c r="G242" s="34">
        <f t="shared" si="130"/>
        <v>42756.960750000006</v>
      </c>
      <c r="H242" s="34">
        <f t="shared" si="130"/>
        <v>41213.551049999995</v>
      </c>
      <c r="I242" s="34">
        <f t="shared" si="130"/>
        <v>43552.073250000001</v>
      </c>
      <c r="J242" s="34">
        <f t="shared" si="130"/>
        <v>37152.169950000003</v>
      </c>
      <c r="K242" s="34">
        <f t="shared" si="130"/>
        <v>36394.376550000001</v>
      </c>
      <c r="L242" s="34">
        <f t="shared" si="130"/>
        <v>36791.813099999999</v>
      </c>
      <c r="M242" s="34">
        <f t="shared" si="130"/>
        <v>34568.325749999996</v>
      </c>
      <c r="N242" s="34">
        <f t="shared" si="130"/>
        <v>37291.714950000001</v>
      </c>
      <c r="O242" s="34">
        <f t="shared" ref="O242:Q242" si="131">O215*O227</f>
        <v>37272.379200000003</v>
      </c>
      <c r="P242" s="34">
        <f t="shared" si="131"/>
        <v>35981.361150000004</v>
      </c>
      <c r="Q242" s="34">
        <f t="shared" si="131"/>
        <v>43567.706699999995</v>
      </c>
      <c r="R242" s="70">
        <f>SUM(F242:Q242)</f>
        <v>471780.72165000002</v>
      </c>
    </row>
    <row r="243" spans="1:19" s="30" customFormat="1" x14ac:dyDescent="0.2">
      <c r="C243" s="30" t="s">
        <v>23</v>
      </c>
      <c r="F243" s="35">
        <f t="shared" ref="F243:N243" si="132">SUM(F241:F242)</f>
        <v>95646.668699999995</v>
      </c>
      <c r="G243" s="35">
        <f t="shared" si="132"/>
        <v>90400.431299999997</v>
      </c>
      <c r="H243" s="35">
        <f t="shared" si="132"/>
        <v>87137.222219999996</v>
      </c>
      <c r="I243" s="35">
        <f t="shared" si="132"/>
        <v>92081.526299999998</v>
      </c>
      <c r="J243" s="35">
        <f t="shared" si="132"/>
        <v>78550.302179999999</v>
      </c>
      <c r="K243" s="35">
        <f t="shared" si="132"/>
        <v>76948.110419999997</v>
      </c>
      <c r="L243" s="35">
        <f t="shared" si="132"/>
        <v>77788.404840000003</v>
      </c>
      <c r="M243" s="35">
        <f t="shared" si="132"/>
        <v>73087.317299999995</v>
      </c>
      <c r="N243" s="35">
        <f t="shared" si="132"/>
        <v>78845.340179999999</v>
      </c>
      <c r="O243" s="35">
        <f t="shared" ref="O243:Q243" si="133">SUM(O241:O242)</f>
        <v>78804.458879999991</v>
      </c>
      <c r="P243" s="35">
        <f t="shared" si="133"/>
        <v>76074.877860000008</v>
      </c>
      <c r="Q243" s="35">
        <f t="shared" si="133"/>
        <v>92114.57987999999</v>
      </c>
      <c r="R243" s="35">
        <f>SUM(R241:R242)</f>
        <v>997479.24005999998</v>
      </c>
    </row>
    <row r="244" spans="1:19" s="30" customFormat="1" x14ac:dyDescent="0.2">
      <c r="A244" s="30" t="s">
        <v>147</v>
      </c>
      <c r="B244" s="30" t="s">
        <v>21</v>
      </c>
      <c r="D244" s="30">
        <v>41</v>
      </c>
      <c r="F244" s="34">
        <f t="shared" ref="F244:N244" si="134">F221*F216</f>
        <v>9328.0906315327175</v>
      </c>
      <c r="G244" s="34">
        <f t="shared" si="134"/>
        <v>9274.7359578392625</v>
      </c>
      <c r="H244" s="34">
        <f t="shared" si="134"/>
        <v>8900.8359314888003</v>
      </c>
      <c r="I244" s="34">
        <f t="shared" si="134"/>
        <v>9040.7367307861241</v>
      </c>
      <c r="J244" s="34">
        <f t="shared" si="134"/>
        <v>8546.2746842336401</v>
      </c>
      <c r="K244" s="34">
        <f t="shared" si="134"/>
        <v>8810.8875782819032</v>
      </c>
      <c r="L244" s="34">
        <f t="shared" si="134"/>
        <v>8470.2857713343183</v>
      </c>
      <c r="M244" s="34">
        <f t="shared" si="134"/>
        <v>8002.8524698324509</v>
      </c>
      <c r="N244" s="34">
        <f t="shared" si="134"/>
        <v>8672.4294226929433</v>
      </c>
      <c r="O244" s="34">
        <f t="shared" ref="O244:Q244" si="135">O221*O216</f>
        <v>8583.3590589460891</v>
      </c>
      <c r="P244" s="34">
        <f t="shared" si="135"/>
        <v>8592.3446697359759</v>
      </c>
      <c r="Q244" s="34">
        <f t="shared" si="135"/>
        <v>3663.421587898149</v>
      </c>
      <c r="R244" s="70">
        <f>SUM(F244:Q244)</f>
        <v>99886.254494602385</v>
      </c>
    </row>
    <row r="245" spans="1:19" s="30" customFormat="1" x14ac:dyDescent="0.2">
      <c r="B245" s="30" t="s">
        <v>25</v>
      </c>
      <c r="F245" s="35">
        <f t="shared" ref="F245:N245" si="136">F238+F242</f>
        <v>207770.72655659998</v>
      </c>
      <c r="G245" s="35">
        <f t="shared" si="136"/>
        <v>207023.5104924</v>
      </c>
      <c r="H245" s="35">
        <f t="shared" si="136"/>
        <v>205086.15382889996</v>
      </c>
      <c r="I245" s="35">
        <f t="shared" si="136"/>
        <v>246511.41206130001</v>
      </c>
      <c r="J245" s="35">
        <f t="shared" si="136"/>
        <v>242120.46511140003</v>
      </c>
      <c r="K245" s="35">
        <f t="shared" si="136"/>
        <v>256066.1519763</v>
      </c>
      <c r="L245" s="35">
        <f t="shared" si="136"/>
        <v>260468.03555909998</v>
      </c>
      <c r="M245" s="35">
        <f t="shared" si="136"/>
        <v>234718.14687329999</v>
      </c>
      <c r="N245" s="35">
        <f t="shared" si="136"/>
        <v>246514.09114169999</v>
      </c>
      <c r="O245" s="35">
        <f t="shared" ref="O245:Q245" si="137">O238+O242</f>
        <v>223468.95762600002</v>
      </c>
      <c r="P245" s="35">
        <f t="shared" si="137"/>
        <v>200655.69505890002</v>
      </c>
      <c r="Q245" s="35">
        <f t="shared" si="137"/>
        <v>90961.018115399987</v>
      </c>
      <c r="R245" s="35">
        <f>R238+R242</f>
        <v>2621364.3644012995</v>
      </c>
    </row>
    <row r="246" spans="1:19" s="30" customFormat="1" x14ac:dyDescent="0.2">
      <c r="B246" s="30" t="s">
        <v>24</v>
      </c>
      <c r="F246" s="35">
        <f>F231+F236+F237+F238+F239+F243+F244</f>
        <v>357359.42530097382</v>
      </c>
      <c r="G246" s="35">
        <f t="shared" ref="G246:R246" si="138">G231+G236+G237+G238+G239+G243+G244</f>
        <v>354732.54842104058</v>
      </c>
      <c r="H246" s="35">
        <f t="shared" si="138"/>
        <v>350354.01437378587</v>
      </c>
      <c r="I246" s="35">
        <f t="shared" si="138"/>
        <v>415100.37546109996</v>
      </c>
      <c r="J246" s="35">
        <f t="shared" si="138"/>
        <v>404017.75528166309</v>
      </c>
      <c r="K246" s="35">
        <f t="shared" si="138"/>
        <v>425142.41374076909</v>
      </c>
      <c r="L246" s="35">
        <f t="shared" si="138"/>
        <v>431417.92652640073</v>
      </c>
      <c r="M246" s="35">
        <f t="shared" si="138"/>
        <v>390356.7227059218</v>
      </c>
      <c r="N246" s="35">
        <f t="shared" si="138"/>
        <v>410940.59949163167</v>
      </c>
      <c r="O246" s="35">
        <f t="shared" si="138"/>
        <v>375751.6970379905</v>
      </c>
      <c r="P246" s="35">
        <f t="shared" si="138"/>
        <v>340049.01641080598</v>
      </c>
      <c r="Q246" s="35">
        <f t="shared" si="138"/>
        <v>169888.84581483816</v>
      </c>
      <c r="R246" s="35">
        <f t="shared" si="138"/>
        <v>4425111.340566921</v>
      </c>
    </row>
    <row r="247" spans="1:19" s="30" customFormat="1" x14ac:dyDescent="0.2"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70"/>
    </row>
    <row r="248" spans="1:19" s="30" customFormat="1" x14ac:dyDescent="0.2">
      <c r="A248" s="30" t="s">
        <v>305</v>
      </c>
      <c r="B248" s="30" t="s">
        <v>304</v>
      </c>
      <c r="F248" s="34">
        <f t="shared" ref="F248:N248" si="139">F217*F226+F227*F218</f>
        <v>198230.63611987999</v>
      </c>
      <c r="G248" s="34">
        <f t="shared" si="139"/>
        <v>197522.77608832001</v>
      </c>
      <c r="H248" s="34">
        <f t="shared" si="139"/>
        <v>195676.81707401999</v>
      </c>
      <c r="I248" s="34">
        <f t="shared" si="139"/>
        <v>235214.51668434002</v>
      </c>
      <c r="J248" s="34">
        <f t="shared" si="139"/>
        <v>231037.03496252003</v>
      </c>
      <c r="K248" s="34">
        <f t="shared" si="139"/>
        <v>244350.64379134</v>
      </c>
      <c r="L248" s="34">
        <f t="shared" si="139"/>
        <v>248551.62959437998</v>
      </c>
      <c r="M248" s="34">
        <f t="shared" si="139"/>
        <v>223976.72060594001</v>
      </c>
      <c r="N248" s="34">
        <f t="shared" si="139"/>
        <v>235230.69976105998</v>
      </c>
      <c r="O248" s="34">
        <f t="shared" ref="O248:Q248" si="140">O217*O226+O227*O218</f>
        <v>213232.83764680004</v>
      </c>
      <c r="P248" s="34">
        <f t="shared" si="140"/>
        <v>191459.07750801998</v>
      </c>
      <c r="Q248" s="34">
        <f t="shared" si="140"/>
        <v>86732.693139719995</v>
      </c>
      <c r="R248" s="70">
        <f>SUM(F248:Q248)</f>
        <v>2501216.0829763403</v>
      </c>
    </row>
    <row r="249" spans="1:19" s="30" customFormat="1" x14ac:dyDescent="0.2"/>
    <row r="250" spans="1:19" x14ac:dyDescent="0.2">
      <c r="B250" s="15" t="s">
        <v>294</v>
      </c>
      <c r="C250" s="15"/>
      <c r="F250" s="50"/>
      <c r="G250" s="50"/>
      <c r="S250"/>
    </row>
    <row r="251" spans="1:19" x14ac:dyDescent="0.2">
      <c r="B251" s="15" t="s">
        <v>7</v>
      </c>
      <c r="C251" s="15"/>
      <c r="F251" s="50"/>
      <c r="G251" s="50"/>
      <c r="S251"/>
    </row>
    <row r="252" spans="1:19" s="30" customFormat="1" x14ac:dyDescent="0.2">
      <c r="A252"/>
      <c r="B252" t="s">
        <v>282</v>
      </c>
      <c r="C252"/>
      <c r="D252" s="21" t="s">
        <v>236</v>
      </c>
      <c r="E252" t="s">
        <v>5</v>
      </c>
      <c r="F252" s="159">
        <f>'Rate Design C&amp;I'!$H$69</f>
        <v>410.51</v>
      </c>
      <c r="G252" s="159">
        <f>'Rate Design C&amp;I'!$H$69</f>
        <v>410.51</v>
      </c>
      <c r="H252" s="159">
        <f>'Rate Design C&amp;I'!$H$69</f>
        <v>410.51</v>
      </c>
      <c r="I252" s="159">
        <f>'Rate Design C&amp;I'!$H$69</f>
        <v>410.51</v>
      </c>
      <c r="J252" s="159">
        <f>'Rate Design C&amp;I'!$H$69</f>
        <v>410.51</v>
      </c>
      <c r="K252" s="159">
        <f>'Rate Design C&amp;I'!$H$69</f>
        <v>410.51</v>
      </c>
      <c r="L252" s="159">
        <f>'Rate Design C&amp;I'!$H$69</f>
        <v>410.51</v>
      </c>
      <c r="M252" s="159">
        <f>'Rate Design C&amp;I'!$H$69</f>
        <v>410.51</v>
      </c>
      <c r="N252" s="159">
        <f>'Rate Design C&amp;I'!$H$69</f>
        <v>410.51</v>
      </c>
      <c r="O252" s="159">
        <f>'Rate Design C&amp;I'!$H$69</f>
        <v>410.51</v>
      </c>
      <c r="P252" s="159">
        <f>'Rate Design C&amp;I'!$H$69</f>
        <v>410.51</v>
      </c>
      <c r="Q252" s="159">
        <f>'Rate Design C&amp;I'!$H$69</f>
        <v>410.51</v>
      </c>
      <c r="R252"/>
    </row>
    <row r="253" spans="1:19" s="30" customFormat="1" x14ac:dyDescent="0.2">
      <c r="A253"/>
      <c r="B253" t="s">
        <v>3</v>
      </c>
      <c r="C253"/>
      <c r="D253" s="21"/>
      <c r="E253"/>
      <c r="F253" s="160"/>
      <c r="G253" s="160"/>
      <c r="H253" s="160"/>
      <c r="I253" s="160"/>
      <c r="J253" s="160"/>
      <c r="K253" s="160"/>
      <c r="L253" s="160"/>
      <c r="M253" s="160"/>
      <c r="N253" s="160"/>
      <c r="O253" s="160"/>
      <c r="P253" s="160"/>
      <c r="Q253" s="160"/>
      <c r="R253"/>
    </row>
    <row r="254" spans="1:19" s="30" customFormat="1" x14ac:dyDescent="0.2">
      <c r="A254"/>
      <c r="B254"/>
      <c r="C254" t="s">
        <v>15</v>
      </c>
      <c r="D254" s="21" t="s">
        <v>236</v>
      </c>
      <c r="E254" t="s">
        <v>6</v>
      </c>
      <c r="F254" s="160">
        <f>'Rate Design C&amp;I'!$H$74</f>
        <v>0.12876000000000001</v>
      </c>
      <c r="G254" s="160">
        <f>'Rate Design C&amp;I'!$H$74</f>
        <v>0.12876000000000001</v>
      </c>
      <c r="H254" s="160">
        <f>'Rate Design C&amp;I'!$H$74</f>
        <v>0.12876000000000001</v>
      </c>
      <c r="I254" s="160">
        <f>'Rate Design C&amp;I'!$H$74</f>
        <v>0.12876000000000001</v>
      </c>
      <c r="J254" s="160">
        <f>'Rate Design C&amp;I'!$H$74</f>
        <v>0.12876000000000001</v>
      </c>
      <c r="K254" s="160">
        <f>'Rate Design C&amp;I'!$H$74</f>
        <v>0.12876000000000001</v>
      </c>
      <c r="L254" s="160">
        <f>'Rate Design C&amp;I'!$H$74</f>
        <v>0.12876000000000001</v>
      </c>
      <c r="M254" s="160">
        <f>'Rate Design C&amp;I'!$H$74</f>
        <v>0.12876000000000001</v>
      </c>
      <c r="N254" s="160">
        <f>'Rate Design C&amp;I'!$H$74</f>
        <v>0.12876000000000001</v>
      </c>
      <c r="O254" s="160">
        <f>'Rate Design C&amp;I'!$H$74</f>
        <v>0.12876000000000001</v>
      </c>
      <c r="P254" s="160">
        <f>'Rate Design C&amp;I'!$H$74</f>
        <v>0.12876000000000001</v>
      </c>
      <c r="Q254" s="160">
        <f>'Rate Design C&amp;I'!$H$74</f>
        <v>0.12876000000000001</v>
      </c>
      <c r="R254"/>
    </row>
    <row r="255" spans="1:19" s="30" customFormat="1" x14ac:dyDescent="0.2">
      <c r="A255"/>
      <c r="B255"/>
      <c r="C255" t="s">
        <v>16</v>
      </c>
      <c r="D255" s="21" t="s">
        <v>236</v>
      </c>
      <c r="E255" t="s">
        <v>6</v>
      </c>
      <c r="F255" s="160">
        <f>'Rate Design C&amp;I'!$H$76</f>
        <v>0.10364</v>
      </c>
      <c r="G255" s="160">
        <f>'Rate Design C&amp;I'!$H$76</f>
        <v>0.10364</v>
      </c>
      <c r="H255" s="160">
        <f>'Rate Design C&amp;I'!$H$76</f>
        <v>0.10364</v>
      </c>
      <c r="I255" s="160">
        <f>'Rate Design C&amp;I'!$H$76</f>
        <v>0.10364</v>
      </c>
      <c r="J255" s="160">
        <f>'Rate Design C&amp;I'!$H$76</f>
        <v>0.10364</v>
      </c>
      <c r="K255" s="160">
        <f>'Rate Design C&amp;I'!$H$76</f>
        <v>0.10364</v>
      </c>
      <c r="L255" s="160">
        <f>'Rate Design C&amp;I'!$H$76</f>
        <v>0.10364</v>
      </c>
      <c r="M255" s="160">
        <f>'Rate Design C&amp;I'!$H$76</f>
        <v>0.10364</v>
      </c>
      <c r="N255" s="160">
        <f>'Rate Design C&amp;I'!$H$76</f>
        <v>0.10364</v>
      </c>
      <c r="O255" s="160">
        <f>'Rate Design C&amp;I'!$H$76</f>
        <v>0.10364</v>
      </c>
      <c r="P255" s="160">
        <f>'Rate Design C&amp;I'!$H$76</f>
        <v>0.10364</v>
      </c>
      <c r="Q255" s="160">
        <f>'Rate Design C&amp;I'!$H$76</f>
        <v>0.10364</v>
      </c>
      <c r="R255"/>
    </row>
    <row r="256" spans="1:19" s="30" customFormat="1" x14ac:dyDescent="0.2">
      <c r="A256"/>
      <c r="B256" s="30" t="s">
        <v>301</v>
      </c>
      <c r="C256"/>
      <c r="D256" s="21" t="s">
        <v>236</v>
      </c>
      <c r="E256" t="s">
        <v>6</v>
      </c>
      <c r="F256" s="160">
        <f>'Rate Design C&amp;I'!$H$81</f>
        <v>6.9999999999999999E-4</v>
      </c>
      <c r="G256" s="160">
        <f>'Rate Design C&amp;I'!$H$81</f>
        <v>6.9999999999999999E-4</v>
      </c>
      <c r="H256" s="160">
        <f>'Rate Design C&amp;I'!$H$81</f>
        <v>6.9999999999999999E-4</v>
      </c>
      <c r="I256" s="160">
        <f>'Rate Design C&amp;I'!$H$81</f>
        <v>6.9999999999999999E-4</v>
      </c>
      <c r="J256" s="160">
        <f>'Rate Design C&amp;I'!$H$81</f>
        <v>6.9999999999999999E-4</v>
      </c>
      <c r="K256" s="160">
        <f>'Rate Design C&amp;I'!$H$81</f>
        <v>6.9999999999999999E-4</v>
      </c>
      <c r="L256" s="160">
        <f>'Rate Design C&amp;I'!$H$81</f>
        <v>6.9999999999999999E-4</v>
      </c>
      <c r="M256" s="160">
        <f>'Rate Design C&amp;I'!$H$81</f>
        <v>6.9999999999999999E-4</v>
      </c>
      <c r="N256" s="160">
        <f>'Rate Design C&amp;I'!$H$81</f>
        <v>6.9999999999999999E-4</v>
      </c>
      <c r="O256" s="160">
        <f>'Rate Design C&amp;I'!$H$81</f>
        <v>6.9999999999999999E-4</v>
      </c>
      <c r="P256" s="160">
        <f>'Rate Design C&amp;I'!$H$81</f>
        <v>6.9999999999999999E-4</v>
      </c>
      <c r="Q256" s="160">
        <f>'Rate Design C&amp;I'!$H$81</f>
        <v>6.9999999999999999E-4</v>
      </c>
      <c r="R256"/>
    </row>
    <row r="257" spans="1:19" s="30" customFormat="1" x14ac:dyDescent="0.2">
      <c r="A257"/>
      <c r="B257" t="s">
        <v>237</v>
      </c>
      <c r="C257"/>
      <c r="D257" s="21" t="s">
        <v>236</v>
      </c>
      <c r="E257" t="s">
        <v>6</v>
      </c>
      <c r="F257" s="160">
        <f>'Rate Design C&amp;I'!$H$78</f>
        <v>0</v>
      </c>
      <c r="G257" s="160">
        <f>'Rate Design C&amp;I'!$H$78</f>
        <v>0</v>
      </c>
      <c r="H257" s="160">
        <f>'Rate Design C&amp;I'!$H$78</f>
        <v>0</v>
      </c>
      <c r="I257" s="160">
        <f>'Rate Design C&amp;I'!$H$78</f>
        <v>0</v>
      </c>
      <c r="J257" s="160">
        <f>'Rate Design C&amp;I'!$H$78</f>
        <v>0</v>
      </c>
      <c r="K257" s="160">
        <f>'Rate Design C&amp;I'!$H$78</f>
        <v>0</v>
      </c>
      <c r="L257" s="160">
        <f>'Rate Design C&amp;I'!$H$78</f>
        <v>0</v>
      </c>
      <c r="M257" s="160">
        <f>'Rate Design C&amp;I'!$H$78</f>
        <v>0</v>
      </c>
      <c r="N257" s="160">
        <f>'Rate Design C&amp;I'!$H$78</f>
        <v>0</v>
      </c>
      <c r="O257" s="160">
        <f>'Rate Design C&amp;I'!$H$78</f>
        <v>0</v>
      </c>
      <c r="P257" s="160">
        <f>'Rate Design C&amp;I'!$H$78</f>
        <v>0</v>
      </c>
      <c r="Q257" s="160">
        <f>'Rate Design C&amp;I'!$H$78</f>
        <v>0</v>
      </c>
      <c r="R257"/>
    </row>
    <row r="258" spans="1:19" s="30" customFormat="1" x14ac:dyDescent="0.2">
      <c r="A258"/>
      <c r="B258" t="s">
        <v>550</v>
      </c>
      <c r="C258"/>
      <c r="D258" s="21">
        <v>149</v>
      </c>
      <c r="E258" t="s">
        <v>6</v>
      </c>
      <c r="F258" s="773">
        <f>F166</f>
        <v>6.2199999999999998E-3</v>
      </c>
      <c r="G258" s="773">
        <f t="shared" ref="G258:Q258" si="141">G166</f>
        <v>6.2199999999999998E-3</v>
      </c>
      <c r="H258" s="773">
        <f t="shared" si="141"/>
        <v>6.2199999999999998E-3</v>
      </c>
      <c r="I258" s="773">
        <f t="shared" si="141"/>
        <v>6.2199999999999998E-3</v>
      </c>
      <c r="J258" s="773">
        <f t="shared" si="141"/>
        <v>6.2199999999999998E-3</v>
      </c>
      <c r="K258" s="773">
        <f t="shared" si="141"/>
        <v>6.2199999999999998E-3</v>
      </c>
      <c r="L258" s="773">
        <f t="shared" si="141"/>
        <v>6.2199999999999998E-3</v>
      </c>
      <c r="M258" s="773">
        <f t="shared" si="141"/>
        <v>6.2199999999999998E-3</v>
      </c>
      <c r="N258" s="773">
        <f t="shared" si="141"/>
        <v>6.2199999999999998E-3</v>
      </c>
      <c r="O258" s="773">
        <f t="shared" si="141"/>
        <v>6.2199999999999998E-3</v>
      </c>
      <c r="P258" s="773">
        <f t="shared" si="141"/>
        <v>6.2199999999999998E-3</v>
      </c>
      <c r="Q258" s="773">
        <f t="shared" si="141"/>
        <v>6.2199999999999998E-3</v>
      </c>
      <c r="R258"/>
    </row>
    <row r="259" spans="1:19" s="30" customFormat="1" x14ac:dyDescent="0.2">
      <c r="B259" t="s">
        <v>19</v>
      </c>
      <c r="C259"/>
      <c r="D259" s="21" t="s">
        <v>236</v>
      </c>
      <c r="E259" t="s">
        <v>6</v>
      </c>
      <c r="F259" s="159">
        <f>'Rate Design C&amp;I'!$H$71</f>
        <v>1.17</v>
      </c>
      <c r="G259" s="159">
        <f>'Rate Design C&amp;I'!$H$71</f>
        <v>1.17</v>
      </c>
      <c r="H259" s="159">
        <f>'Rate Design C&amp;I'!$H$71</f>
        <v>1.17</v>
      </c>
      <c r="I259" s="159">
        <f>'Rate Design C&amp;I'!$H$71</f>
        <v>1.17</v>
      </c>
      <c r="J259" s="159">
        <f>'Rate Design C&amp;I'!$H$71</f>
        <v>1.17</v>
      </c>
      <c r="K259" s="159">
        <f>'Rate Design C&amp;I'!$H$71</f>
        <v>1.17</v>
      </c>
      <c r="L259" s="159">
        <f>'Rate Design C&amp;I'!$H$71</f>
        <v>1.17</v>
      </c>
      <c r="M259" s="159">
        <f>'Rate Design C&amp;I'!$H$71</f>
        <v>1.17</v>
      </c>
      <c r="N259" s="159">
        <f>'Rate Design C&amp;I'!$H$71</f>
        <v>1.17</v>
      </c>
      <c r="O259" s="159">
        <f>'Rate Design C&amp;I'!$H$71</f>
        <v>1.17</v>
      </c>
      <c r="P259" s="159">
        <f>'Rate Design C&amp;I'!$H$71</f>
        <v>1.17</v>
      </c>
      <c r="Q259" s="159">
        <f>'Rate Design C&amp;I'!$H$71</f>
        <v>1.17</v>
      </c>
      <c r="R259"/>
    </row>
    <row r="260" spans="1:19" s="30" customFormat="1" x14ac:dyDescent="0.2">
      <c r="A260"/>
      <c r="B260" t="s">
        <v>21</v>
      </c>
      <c r="C260"/>
      <c r="D260" s="21" t="s">
        <v>236</v>
      </c>
      <c r="E260" t="s">
        <v>22</v>
      </c>
      <c r="F260" s="159">
        <f>'Rate Design C&amp;I'!$H$70</f>
        <v>115.88</v>
      </c>
      <c r="G260" s="159">
        <f>'Rate Design C&amp;I'!$H$70</f>
        <v>115.88</v>
      </c>
      <c r="H260" s="159">
        <f>'Rate Design C&amp;I'!$H$70</f>
        <v>115.88</v>
      </c>
      <c r="I260" s="159">
        <f>'Rate Design C&amp;I'!$H$70</f>
        <v>115.88</v>
      </c>
      <c r="J260" s="159">
        <f>'Rate Design C&amp;I'!$H$70</f>
        <v>115.88</v>
      </c>
      <c r="K260" s="159">
        <f>'Rate Design C&amp;I'!$H$70</f>
        <v>115.88</v>
      </c>
      <c r="L260" s="159">
        <f>'Rate Design C&amp;I'!$H$70</f>
        <v>115.88</v>
      </c>
      <c r="M260" s="159">
        <f>'Rate Design C&amp;I'!$H$70</f>
        <v>115.88</v>
      </c>
      <c r="N260" s="159">
        <f>'Rate Design C&amp;I'!$H$70</f>
        <v>115.88</v>
      </c>
      <c r="O260" s="159">
        <f>'Rate Design C&amp;I'!$H$70</f>
        <v>115.88</v>
      </c>
      <c r="P260" s="159">
        <f>'Rate Design C&amp;I'!$H$70</f>
        <v>115.88</v>
      </c>
      <c r="Q260" s="159">
        <f>'Rate Design C&amp;I'!$H$70</f>
        <v>115.88</v>
      </c>
      <c r="R260"/>
    </row>
    <row r="261" spans="1:19" s="30" customFormat="1" x14ac:dyDescent="0.2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</row>
    <row r="262" spans="1:19" s="30" customFormat="1" x14ac:dyDescent="0.2">
      <c r="A262"/>
      <c r="B262" s="15" t="s">
        <v>295</v>
      </c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</row>
    <row r="263" spans="1:19" s="30" customFormat="1" x14ac:dyDescent="0.2">
      <c r="A263"/>
      <c r="B263" t="s">
        <v>22</v>
      </c>
      <c r="C263"/>
      <c r="D263"/>
      <c r="E263" t="s">
        <v>22</v>
      </c>
      <c r="F263" s="64">
        <f>'(R) Data'!C20</f>
        <v>72</v>
      </c>
      <c r="G263" s="64">
        <f>'(R) Data'!D20</f>
        <v>73</v>
      </c>
      <c r="H263" s="64">
        <f>'(R) Data'!E20</f>
        <v>73</v>
      </c>
      <c r="I263" s="64">
        <f>'(R) Data'!F20</f>
        <v>74</v>
      </c>
      <c r="J263" s="64">
        <f>'(R) Data'!G20</f>
        <v>75</v>
      </c>
      <c r="K263" s="64">
        <f>'(R) Data'!H20</f>
        <v>74.999888514211207</v>
      </c>
      <c r="L263" s="64">
        <f>'(R) Data'!I20</f>
        <v>77</v>
      </c>
      <c r="M263" s="64">
        <f>'(R) Data'!J20</f>
        <v>78.999999999999986</v>
      </c>
      <c r="N263" s="64">
        <f>'(R) Data'!K20</f>
        <v>78.999999999999986</v>
      </c>
      <c r="O263" s="64">
        <f>'(R) Data'!L20</f>
        <v>81</v>
      </c>
      <c r="P263" s="64">
        <f>'(R) Data'!M20</f>
        <v>81</v>
      </c>
      <c r="Q263" s="64">
        <f>'(R) Data'!N20</f>
        <v>83</v>
      </c>
      <c r="R263" s="91">
        <f>SUM(F263:Q263)</f>
        <v>921.99988851421119</v>
      </c>
    </row>
    <row r="264" spans="1:19" s="30" customFormat="1" x14ac:dyDescent="0.2">
      <c r="A264"/>
      <c r="B264" t="s">
        <v>30</v>
      </c>
      <c r="C264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107"/>
    </row>
    <row r="265" spans="1:19" s="30" customFormat="1" x14ac:dyDescent="0.2">
      <c r="A265"/>
      <c r="B265"/>
      <c r="C265" t="s">
        <v>241</v>
      </c>
      <c r="D265" s="21" t="s">
        <v>236</v>
      </c>
      <c r="E265" s="30" t="s">
        <v>10</v>
      </c>
      <c r="F265" s="161">
        <f>'(R) Therms By Block'!B23</f>
        <v>61737.599999999999</v>
      </c>
      <c r="G265" s="170">
        <f>'(R) Therms By Block'!C23</f>
        <v>62165.19</v>
      </c>
      <c r="H265" s="170">
        <f>'(R) Therms By Block'!D23</f>
        <v>63433.68</v>
      </c>
      <c r="I265" s="170">
        <f>'(R) Therms By Block'!E23</f>
        <v>66525.899999999994</v>
      </c>
      <c r="J265" s="170">
        <f>'(R) Therms By Block'!F23</f>
        <v>67500</v>
      </c>
      <c r="K265" s="170">
        <f>'(R) Therms By Block'!G23</f>
        <v>67334.38</v>
      </c>
      <c r="L265" s="170">
        <f>'(R) Therms By Block'!H23</f>
        <v>69360</v>
      </c>
      <c r="M265" s="170">
        <f>'(R) Therms By Block'!I23</f>
        <v>70980</v>
      </c>
      <c r="N265" s="170">
        <f>'(R) Therms By Block'!J23</f>
        <v>71100</v>
      </c>
      <c r="O265" s="170">
        <f>'(R) Therms By Block'!K23</f>
        <v>72000</v>
      </c>
      <c r="P265" s="170">
        <f>'(R) Therms By Block'!L23</f>
        <v>70241.990000000005</v>
      </c>
      <c r="Q265" s="170">
        <f>'(R) Therms By Block'!M23</f>
        <v>70979.11</v>
      </c>
      <c r="R265" s="107">
        <f>SUM(F265:Q265)</f>
        <v>813357.85</v>
      </c>
    </row>
    <row r="266" spans="1:19" s="30" customFormat="1" x14ac:dyDescent="0.2">
      <c r="C266" t="s">
        <v>242</v>
      </c>
      <c r="D266" s="21" t="s">
        <v>236</v>
      </c>
      <c r="E266" s="30" t="s">
        <v>10</v>
      </c>
      <c r="F266" s="170">
        <f>'(R) Therms By Block'!B24</f>
        <v>190222.91</v>
      </c>
      <c r="G266" s="170">
        <f>'(R) Therms By Block'!C24</f>
        <v>188862.49</v>
      </c>
      <c r="H266" s="170">
        <f>'(R) Therms By Block'!D24</f>
        <v>196876.2</v>
      </c>
      <c r="I266" s="170">
        <f>'(R) Therms By Block'!E24</f>
        <v>241816.23</v>
      </c>
      <c r="J266" s="170">
        <f>'(R) Therms By Block'!F24</f>
        <v>260935.1</v>
      </c>
      <c r="K266" s="170">
        <f>'(R) Therms By Block'!G24</f>
        <v>276147.83</v>
      </c>
      <c r="L266" s="170">
        <f>'(R) Therms By Block'!H24</f>
        <v>278423.61</v>
      </c>
      <c r="M266" s="170">
        <f>'(R) Therms By Block'!I24</f>
        <v>284808.07</v>
      </c>
      <c r="N266" s="170">
        <f>'(R) Therms By Block'!J24</f>
        <v>280728.15999999997</v>
      </c>
      <c r="O266" s="170">
        <f>'(R) Therms By Block'!K24</f>
        <v>264094.78999999998</v>
      </c>
      <c r="P266" s="170">
        <f>'(R) Therms By Block'!L24</f>
        <v>232893.8</v>
      </c>
      <c r="Q266" s="170">
        <f>'(R) Therms By Block'!M24</f>
        <v>224854.84</v>
      </c>
      <c r="R266" s="107">
        <f>SUM(F266:Q266)</f>
        <v>2920664.03</v>
      </c>
    </row>
    <row r="267" spans="1:19" s="30" customFormat="1" x14ac:dyDescent="0.2">
      <c r="C267" t="s">
        <v>16</v>
      </c>
      <c r="D267" s="21" t="s">
        <v>236</v>
      </c>
      <c r="E267" s="30" t="s">
        <v>10</v>
      </c>
      <c r="F267" s="107">
        <f>F268-F265-F266</f>
        <v>590317.98</v>
      </c>
      <c r="G267" s="107">
        <f t="shared" ref="G267:N267" si="142">G268-G265-G266</f>
        <v>668176.92000000016</v>
      </c>
      <c r="H267" s="107">
        <f t="shared" si="142"/>
        <v>614308.48</v>
      </c>
      <c r="I267" s="107">
        <f t="shared" si="142"/>
        <v>730283.55</v>
      </c>
      <c r="J267" s="107">
        <f t="shared" si="142"/>
        <v>823024.13900000008</v>
      </c>
      <c r="K267" s="107">
        <f t="shared" si="142"/>
        <v>894317.43000000017</v>
      </c>
      <c r="L267" s="107">
        <f t="shared" si="142"/>
        <v>962148.78000000014</v>
      </c>
      <c r="M267" s="107">
        <f t="shared" si="142"/>
        <v>831897.94</v>
      </c>
      <c r="N267" s="107">
        <f t="shared" si="142"/>
        <v>898639.7</v>
      </c>
      <c r="O267" s="107">
        <f t="shared" ref="O267:Q267" si="143">O268-O265-O266</f>
        <v>797746.1399999999</v>
      </c>
      <c r="P267" s="107">
        <f t="shared" si="143"/>
        <v>720290.42999999993</v>
      </c>
      <c r="Q267" s="107">
        <f t="shared" si="143"/>
        <v>517322.58000000007</v>
      </c>
      <c r="R267" s="107">
        <f>SUM(F267:Q267)</f>
        <v>9048474.0690000001</v>
      </c>
    </row>
    <row r="268" spans="1:19" s="30" customFormat="1" x14ac:dyDescent="0.2">
      <c r="A268"/>
      <c r="B268"/>
      <c r="C268" t="s">
        <v>17</v>
      </c>
      <c r="D268" s="21" t="s">
        <v>236</v>
      </c>
      <c r="E268" t="s">
        <v>10</v>
      </c>
      <c r="F268" s="110">
        <f>'Weather Adj'!D173</f>
        <v>842278.49</v>
      </c>
      <c r="G268" s="110">
        <f>'Weather Adj'!E173</f>
        <v>919204.60000000009</v>
      </c>
      <c r="H268" s="110">
        <f>'Weather Adj'!F173</f>
        <v>874618.36</v>
      </c>
      <c r="I268" s="110">
        <f>'Weather Adj'!G173</f>
        <v>1038625.68</v>
      </c>
      <c r="J268" s="110">
        <f>'Weather Adj'!H173</f>
        <v>1151459.2390000001</v>
      </c>
      <c r="K268" s="110">
        <f>'Weather Adj'!I173</f>
        <v>1237799.6400000001</v>
      </c>
      <c r="L268" s="110">
        <f>'Weather Adj'!J173</f>
        <v>1309932.3900000001</v>
      </c>
      <c r="M268" s="110">
        <f>'Weather Adj'!K173</f>
        <v>1187686.01</v>
      </c>
      <c r="N268" s="110">
        <f>'Weather Adj'!L173</f>
        <v>1250467.8599999999</v>
      </c>
      <c r="O268" s="110">
        <f>'Weather Adj'!M173</f>
        <v>1133840.93</v>
      </c>
      <c r="P268" s="110">
        <f>'Weather Adj'!N173</f>
        <v>1023426.22</v>
      </c>
      <c r="Q268" s="110">
        <f>'Weather Adj'!O173</f>
        <v>813156.53</v>
      </c>
      <c r="R268" s="108">
        <f>SUM(R265:R267)</f>
        <v>12782495.949000001</v>
      </c>
    </row>
    <row r="269" spans="1:19" s="30" customFormat="1" x14ac:dyDescent="0.2">
      <c r="B269" s="30" t="s">
        <v>29</v>
      </c>
      <c r="D269" s="21" t="s">
        <v>236</v>
      </c>
      <c r="E269" s="30" t="s">
        <v>100</v>
      </c>
      <c r="F269" s="72">
        <f>'(R) Data'!C41</f>
        <v>57061</v>
      </c>
      <c r="G269" s="72">
        <f>'(R) Data'!D41</f>
        <v>58602</v>
      </c>
      <c r="H269" s="72">
        <f>'(R) Data'!E41</f>
        <v>58602</v>
      </c>
      <c r="I269" s="72">
        <f>'(R) Data'!F41</f>
        <v>59080</v>
      </c>
      <c r="J269" s="72">
        <f>'(R) Data'!G41</f>
        <v>75440</v>
      </c>
      <c r="K269" s="72">
        <f>'(R) Data'!H41</f>
        <v>65691</v>
      </c>
      <c r="L269" s="72">
        <f>'(R) Data'!I41</f>
        <v>61510.601000000002</v>
      </c>
      <c r="M269" s="72">
        <f>'(R) Data'!J41</f>
        <v>60748</v>
      </c>
      <c r="N269" s="72">
        <f>'(R) Data'!K41</f>
        <v>60798</v>
      </c>
      <c r="O269" s="72">
        <f>'(R) Data'!L41</f>
        <v>62130</v>
      </c>
      <c r="P269" s="72">
        <f>'(R) Data'!M41</f>
        <v>59713</v>
      </c>
      <c r="Q269" s="72">
        <f>'(R) Data'!N41</f>
        <v>55707</v>
      </c>
      <c r="R269" s="107">
        <f>SUM(F269:Q269)</f>
        <v>735082.60100000002</v>
      </c>
    </row>
    <row r="270" spans="1:19" x14ac:dyDescent="0.2">
      <c r="A270" s="30"/>
      <c r="B270" s="30" t="s">
        <v>21</v>
      </c>
      <c r="C270" s="30"/>
      <c r="D270" s="21" t="s">
        <v>236</v>
      </c>
      <c r="E270" s="30" t="s">
        <v>22</v>
      </c>
      <c r="F270" s="91">
        <f t="shared" ref="F270:N270" si="144">F263</f>
        <v>72</v>
      </c>
      <c r="G270" s="91">
        <f t="shared" si="144"/>
        <v>73</v>
      </c>
      <c r="H270" s="91">
        <f t="shared" si="144"/>
        <v>73</v>
      </c>
      <c r="I270" s="91">
        <f t="shared" si="144"/>
        <v>74</v>
      </c>
      <c r="J270" s="91">
        <f t="shared" si="144"/>
        <v>75</v>
      </c>
      <c r="K270" s="91">
        <f t="shared" si="144"/>
        <v>74.999888514211207</v>
      </c>
      <c r="L270" s="91">
        <f t="shared" si="144"/>
        <v>77</v>
      </c>
      <c r="M270" s="91">
        <f t="shared" si="144"/>
        <v>78.999999999999986</v>
      </c>
      <c r="N270" s="91">
        <f t="shared" si="144"/>
        <v>78.999999999999986</v>
      </c>
      <c r="O270" s="91">
        <f t="shared" ref="O270:Q270" si="145">O263</f>
        <v>81</v>
      </c>
      <c r="P270" s="91">
        <f t="shared" si="145"/>
        <v>81</v>
      </c>
      <c r="Q270" s="91">
        <f t="shared" si="145"/>
        <v>83</v>
      </c>
      <c r="R270" s="91">
        <f>SUM(F270:Q270)</f>
        <v>921.99988851421119</v>
      </c>
      <c r="S270"/>
    </row>
    <row r="271" spans="1:19" x14ac:dyDescent="0.2"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/>
    </row>
    <row r="272" spans="1:19" x14ac:dyDescent="0.2">
      <c r="B272" s="15" t="s">
        <v>299</v>
      </c>
    </row>
    <row r="273" spans="1:19" x14ac:dyDescent="0.2">
      <c r="A273" t="s">
        <v>147</v>
      </c>
      <c r="B273" t="s">
        <v>282</v>
      </c>
      <c r="D273" s="21" t="s">
        <v>236</v>
      </c>
      <c r="F273" s="23">
        <f t="shared" ref="F273:N273" si="146">F252*F263</f>
        <v>29556.720000000001</v>
      </c>
      <c r="G273" s="23">
        <f t="shared" si="146"/>
        <v>29967.23</v>
      </c>
      <c r="H273" s="23">
        <f t="shared" si="146"/>
        <v>29967.23</v>
      </c>
      <c r="I273" s="23">
        <f t="shared" si="146"/>
        <v>30377.739999999998</v>
      </c>
      <c r="J273" s="23">
        <f t="shared" si="146"/>
        <v>30788.25</v>
      </c>
      <c r="K273" s="23">
        <f t="shared" si="146"/>
        <v>30788.204233968841</v>
      </c>
      <c r="L273" s="23">
        <f t="shared" si="146"/>
        <v>31609.27</v>
      </c>
      <c r="M273" s="23">
        <f t="shared" si="146"/>
        <v>32430.289999999994</v>
      </c>
      <c r="N273" s="23">
        <f t="shared" si="146"/>
        <v>32430.289999999994</v>
      </c>
      <c r="O273" s="23">
        <f t="shared" ref="O273:Q273" si="147">O252*O263</f>
        <v>33251.31</v>
      </c>
      <c r="P273" s="23">
        <f t="shared" si="147"/>
        <v>33251.31</v>
      </c>
      <c r="Q273" s="23">
        <f t="shared" si="147"/>
        <v>34072.33</v>
      </c>
      <c r="R273" s="23">
        <f>SUM(F273:Q273)</f>
        <v>378490.17423396878</v>
      </c>
    </row>
    <row r="274" spans="1:19" s="50" customFormat="1" x14ac:dyDescent="0.2">
      <c r="A274"/>
      <c r="B274" t="s">
        <v>3</v>
      </c>
      <c r="C274"/>
      <c r="D274"/>
      <c r="E274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31"/>
    </row>
    <row r="275" spans="1:19" x14ac:dyDescent="0.2">
      <c r="C275" t="s">
        <v>241</v>
      </c>
      <c r="F275" s="42">
        <v>0</v>
      </c>
      <c r="G275" s="42">
        <v>0</v>
      </c>
      <c r="H275" s="42">
        <v>0</v>
      </c>
      <c r="I275" s="42">
        <v>0</v>
      </c>
      <c r="J275" s="42">
        <v>0</v>
      </c>
      <c r="K275" s="42">
        <v>0</v>
      </c>
      <c r="L275" s="42">
        <v>0</v>
      </c>
      <c r="M275" s="42">
        <v>0</v>
      </c>
      <c r="N275" s="42">
        <v>0</v>
      </c>
      <c r="O275" s="42">
        <v>0</v>
      </c>
      <c r="P275" s="42">
        <v>0</v>
      </c>
      <c r="Q275" s="42">
        <v>0</v>
      </c>
      <c r="R275" s="42">
        <f t="shared" ref="R275:R283" si="148">SUM(F275:Q275)</f>
        <v>0</v>
      </c>
    </row>
    <row r="276" spans="1:19" s="30" customFormat="1" x14ac:dyDescent="0.2">
      <c r="A276"/>
      <c r="B276"/>
      <c r="C276" t="s">
        <v>242</v>
      </c>
      <c r="D276" s="21" t="s">
        <v>236</v>
      </c>
      <c r="E276"/>
      <c r="F276" s="23">
        <f t="shared" ref="F276:N276" si="149">F254*F266</f>
        <v>24493.101891600003</v>
      </c>
      <c r="G276" s="23">
        <f t="shared" si="149"/>
        <v>24317.9342124</v>
      </c>
      <c r="H276" s="23">
        <f t="shared" si="149"/>
        <v>25349.779512000005</v>
      </c>
      <c r="I276" s="23">
        <f t="shared" si="149"/>
        <v>31136.257774800004</v>
      </c>
      <c r="J276" s="23">
        <f t="shared" si="149"/>
        <v>33598.003476000005</v>
      </c>
      <c r="K276" s="23">
        <f t="shared" si="149"/>
        <v>35556.794590800004</v>
      </c>
      <c r="L276" s="23">
        <f t="shared" si="149"/>
        <v>35849.824023599998</v>
      </c>
      <c r="M276" s="23">
        <f t="shared" si="149"/>
        <v>36671.887093200006</v>
      </c>
      <c r="N276" s="23">
        <f t="shared" si="149"/>
        <v>36146.557881599998</v>
      </c>
      <c r="O276" s="23">
        <f t="shared" ref="O276:Q276" si="150">O254*O266</f>
        <v>34004.8451604</v>
      </c>
      <c r="P276" s="23">
        <f t="shared" si="150"/>
        <v>29987.405688000003</v>
      </c>
      <c r="Q276" s="23">
        <f t="shared" si="150"/>
        <v>28952.309198400002</v>
      </c>
      <c r="R276" s="23">
        <f t="shared" si="148"/>
        <v>376064.70050280006</v>
      </c>
    </row>
    <row r="277" spans="1:19" s="30" customFormat="1" x14ac:dyDescent="0.2">
      <c r="A277"/>
      <c r="B277"/>
      <c r="C277" t="s">
        <v>16</v>
      </c>
      <c r="D277" s="21" t="s">
        <v>236</v>
      </c>
      <c r="E277"/>
      <c r="F277" s="23">
        <f t="shared" ref="F277:N277" si="151">F255*F267</f>
        <v>61180.555447199993</v>
      </c>
      <c r="G277" s="23">
        <f t="shared" si="151"/>
        <v>69249.855988800016</v>
      </c>
      <c r="H277" s="23">
        <f t="shared" si="151"/>
        <v>63666.930867199997</v>
      </c>
      <c r="I277" s="23">
        <f t="shared" si="151"/>
        <v>75686.587121999997</v>
      </c>
      <c r="J277" s="23">
        <f t="shared" si="151"/>
        <v>85298.221765959999</v>
      </c>
      <c r="K277" s="23">
        <f t="shared" si="151"/>
        <v>92687.058445200018</v>
      </c>
      <c r="L277" s="23">
        <f t="shared" si="151"/>
        <v>99717.099559200011</v>
      </c>
      <c r="M277" s="23">
        <f t="shared" si="151"/>
        <v>86217.902501599994</v>
      </c>
      <c r="N277" s="23">
        <f t="shared" si="151"/>
        <v>93135.018507999994</v>
      </c>
      <c r="O277" s="23">
        <f t="shared" ref="O277:Q277" si="152">O255*O267</f>
        <v>82678.409949599984</v>
      </c>
      <c r="P277" s="23">
        <f t="shared" si="152"/>
        <v>74650.900165199986</v>
      </c>
      <c r="Q277" s="23">
        <f t="shared" si="152"/>
        <v>53615.312191200006</v>
      </c>
      <c r="R277" s="23">
        <f t="shared" si="148"/>
        <v>937783.85251115996</v>
      </c>
    </row>
    <row r="278" spans="1:19" x14ac:dyDescent="0.2">
      <c r="A278" t="s">
        <v>147</v>
      </c>
      <c r="C278" t="s">
        <v>26</v>
      </c>
      <c r="F278" s="24">
        <f t="shared" ref="F278:N278" si="153">SUM(F275:F277)</f>
        <v>85673.657338799996</v>
      </c>
      <c r="G278" s="24">
        <f t="shared" si="153"/>
        <v>93567.790201200012</v>
      </c>
      <c r="H278" s="24">
        <f t="shared" si="153"/>
        <v>89016.710379199998</v>
      </c>
      <c r="I278" s="24">
        <f t="shared" si="153"/>
        <v>106822.8448968</v>
      </c>
      <c r="J278" s="24">
        <f t="shared" si="153"/>
        <v>118896.22524196</v>
      </c>
      <c r="K278" s="24">
        <f t="shared" si="153"/>
        <v>128243.85303600001</v>
      </c>
      <c r="L278" s="24">
        <f t="shared" si="153"/>
        <v>135566.92358280002</v>
      </c>
      <c r="M278" s="24">
        <f t="shared" si="153"/>
        <v>122889.78959480001</v>
      </c>
      <c r="N278" s="24">
        <f t="shared" si="153"/>
        <v>129281.5763896</v>
      </c>
      <c r="O278" s="24">
        <f t="shared" ref="O278:Q278" si="154">SUM(O275:O277)</f>
        <v>116683.25510999998</v>
      </c>
      <c r="P278" s="24">
        <f t="shared" si="154"/>
        <v>104638.30585319998</v>
      </c>
      <c r="Q278" s="24">
        <f t="shared" si="154"/>
        <v>82567.621389600012</v>
      </c>
      <c r="R278" s="24">
        <f t="shared" si="148"/>
        <v>1313848.5530139601</v>
      </c>
    </row>
    <row r="279" spans="1:19" x14ac:dyDescent="0.2">
      <c r="A279" t="s">
        <v>130</v>
      </c>
      <c r="B279" s="30" t="s">
        <v>301</v>
      </c>
      <c r="D279" s="21" t="s">
        <v>236</v>
      </c>
      <c r="F279" s="34">
        <f t="shared" ref="F279:N279" si="155">F256*F268</f>
        <v>589.59494299999994</v>
      </c>
      <c r="G279" s="34">
        <f t="shared" si="155"/>
        <v>643.44322000000011</v>
      </c>
      <c r="H279" s="34">
        <f t="shared" si="155"/>
        <v>612.23285199999998</v>
      </c>
      <c r="I279" s="34">
        <f t="shared" si="155"/>
        <v>727.03797600000007</v>
      </c>
      <c r="J279" s="34">
        <f t="shared" si="155"/>
        <v>806.02146730000004</v>
      </c>
      <c r="K279" s="34">
        <f t="shared" si="155"/>
        <v>866.4597480000001</v>
      </c>
      <c r="L279" s="34">
        <f t="shared" si="155"/>
        <v>916.95267300000012</v>
      </c>
      <c r="M279" s="34">
        <f t="shared" si="155"/>
        <v>831.38020700000004</v>
      </c>
      <c r="N279" s="34">
        <f t="shared" si="155"/>
        <v>875.32750199999987</v>
      </c>
      <c r="O279" s="34">
        <f t="shared" ref="O279:Q279" si="156">O256*O268</f>
        <v>793.68865099999994</v>
      </c>
      <c r="P279" s="34">
        <f t="shared" si="156"/>
        <v>716.39835399999993</v>
      </c>
      <c r="Q279" s="34">
        <f t="shared" si="156"/>
        <v>569.20957099999998</v>
      </c>
      <c r="R279" s="34">
        <f t="shared" si="148"/>
        <v>8947.747164299999</v>
      </c>
    </row>
    <row r="280" spans="1:19" x14ac:dyDescent="0.2">
      <c r="A280" t="s">
        <v>147</v>
      </c>
      <c r="B280" t="s">
        <v>237</v>
      </c>
      <c r="F280" s="34">
        <f t="shared" ref="F280:N280" si="157">F257*F268</f>
        <v>0</v>
      </c>
      <c r="G280" s="34">
        <f t="shared" si="157"/>
        <v>0</v>
      </c>
      <c r="H280" s="34">
        <f t="shared" si="157"/>
        <v>0</v>
      </c>
      <c r="I280" s="34">
        <f t="shared" si="157"/>
        <v>0</v>
      </c>
      <c r="J280" s="34">
        <f t="shared" si="157"/>
        <v>0</v>
      </c>
      <c r="K280" s="34">
        <f t="shared" si="157"/>
        <v>0</v>
      </c>
      <c r="L280" s="34">
        <f t="shared" si="157"/>
        <v>0</v>
      </c>
      <c r="M280" s="34">
        <f t="shared" si="157"/>
        <v>0</v>
      </c>
      <c r="N280" s="34">
        <f t="shared" si="157"/>
        <v>0</v>
      </c>
      <c r="O280" s="34">
        <f t="shared" ref="O280:Q280" si="158">O257*O268</f>
        <v>0</v>
      </c>
      <c r="P280" s="34">
        <f t="shared" si="158"/>
        <v>0</v>
      </c>
      <c r="Q280" s="34">
        <f t="shared" si="158"/>
        <v>0</v>
      </c>
      <c r="R280" s="34">
        <f t="shared" si="148"/>
        <v>0</v>
      </c>
    </row>
    <row r="281" spans="1:19" x14ac:dyDescent="0.2">
      <c r="A281" t="s">
        <v>551</v>
      </c>
      <c r="B281" t="s">
        <v>552</v>
      </c>
      <c r="D281">
        <v>149</v>
      </c>
      <c r="F281" s="34">
        <f>F258*F268</f>
        <v>5238.9722077999995</v>
      </c>
      <c r="G281" s="34">
        <f t="shared" ref="G281:Q281" si="159">G258*G268</f>
        <v>5717.452612</v>
      </c>
      <c r="H281" s="34">
        <f t="shared" si="159"/>
        <v>5440.1261992</v>
      </c>
      <c r="I281" s="34">
        <f t="shared" si="159"/>
        <v>6460.2517296000005</v>
      </c>
      <c r="J281" s="34">
        <f t="shared" si="159"/>
        <v>7162.0764665799998</v>
      </c>
      <c r="K281" s="34">
        <f t="shared" si="159"/>
        <v>7699.1137608000008</v>
      </c>
      <c r="L281" s="34">
        <f t="shared" si="159"/>
        <v>8147.7794658000003</v>
      </c>
      <c r="M281" s="34">
        <f t="shared" si="159"/>
        <v>7387.4069822000001</v>
      </c>
      <c r="N281" s="34">
        <f t="shared" si="159"/>
        <v>7777.9100891999988</v>
      </c>
      <c r="O281" s="34">
        <f t="shared" si="159"/>
        <v>7052.4905845999992</v>
      </c>
      <c r="P281" s="34">
        <f t="shared" si="159"/>
        <v>6365.7110883999994</v>
      </c>
      <c r="Q281" s="34">
        <f t="shared" si="159"/>
        <v>5057.8336165999999</v>
      </c>
      <c r="R281" s="34">
        <f t="shared" si="148"/>
        <v>79507.124802779988</v>
      </c>
    </row>
    <row r="282" spans="1:19" s="30" customFormat="1" x14ac:dyDescent="0.2">
      <c r="A282" t="s">
        <v>147</v>
      </c>
      <c r="B282" t="s">
        <v>19</v>
      </c>
      <c r="C282"/>
      <c r="D282" s="21" t="s">
        <v>236</v>
      </c>
      <c r="E282"/>
      <c r="F282" s="23">
        <f t="shared" ref="F282:N282" si="160">F259*F269</f>
        <v>66761.37</v>
      </c>
      <c r="G282" s="23">
        <f t="shared" si="160"/>
        <v>68564.34</v>
      </c>
      <c r="H282" s="23">
        <f t="shared" si="160"/>
        <v>68564.34</v>
      </c>
      <c r="I282" s="23">
        <f t="shared" si="160"/>
        <v>69123.599999999991</v>
      </c>
      <c r="J282" s="23">
        <f t="shared" si="160"/>
        <v>88264.799999999988</v>
      </c>
      <c r="K282" s="23">
        <f t="shared" si="160"/>
        <v>76858.47</v>
      </c>
      <c r="L282" s="23">
        <f t="shared" si="160"/>
        <v>71967.403170000005</v>
      </c>
      <c r="M282" s="23">
        <f t="shared" si="160"/>
        <v>71075.159999999989</v>
      </c>
      <c r="N282" s="23">
        <f t="shared" si="160"/>
        <v>71133.659999999989</v>
      </c>
      <c r="O282" s="23">
        <f t="shared" ref="O282:Q282" si="161">O259*O269</f>
        <v>72692.099999999991</v>
      </c>
      <c r="P282" s="23">
        <f t="shared" si="161"/>
        <v>69864.209999999992</v>
      </c>
      <c r="Q282" s="23">
        <f t="shared" si="161"/>
        <v>65177.189999999995</v>
      </c>
      <c r="R282" s="23">
        <f t="shared" si="148"/>
        <v>860046.64316999982</v>
      </c>
    </row>
    <row r="283" spans="1:19" x14ac:dyDescent="0.2">
      <c r="A283" s="30" t="s">
        <v>147</v>
      </c>
      <c r="B283" s="30" t="s">
        <v>21</v>
      </c>
      <c r="C283" s="30"/>
      <c r="D283" s="21" t="s">
        <v>236</v>
      </c>
      <c r="E283" s="30"/>
      <c r="F283" s="34">
        <f t="shared" ref="F283:N283" si="162">F260*F270</f>
        <v>8343.36</v>
      </c>
      <c r="G283" s="34">
        <f t="shared" si="162"/>
        <v>8459.24</v>
      </c>
      <c r="H283" s="34">
        <f t="shared" si="162"/>
        <v>8459.24</v>
      </c>
      <c r="I283" s="34">
        <f t="shared" si="162"/>
        <v>8575.119999999999</v>
      </c>
      <c r="J283" s="34">
        <f t="shared" si="162"/>
        <v>8691</v>
      </c>
      <c r="K283" s="34">
        <f t="shared" si="162"/>
        <v>8690.9870810267948</v>
      </c>
      <c r="L283" s="34">
        <f t="shared" si="162"/>
        <v>8922.76</v>
      </c>
      <c r="M283" s="34">
        <f t="shared" si="162"/>
        <v>9154.5199999999986</v>
      </c>
      <c r="N283" s="34">
        <f t="shared" si="162"/>
        <v>9154.5199999999986</v>
      </c>
      <c r="O283" s="34">
        <f t="shared" ref="O283:Q283" si="163">O260*O270</f>
        <v>9386.2799999999988</v>
      </c>
      <c r="P283" s="34">
        <f t="shared" si="163"/>
        <v>9386.2799999999988</v>
      </c>
      <c r="Q283" s="34">
        <f t="shared" si="163"/>
        <v>9618.0399999999991</v>
      </c>
      <c r="R283" s="34">
        <f t="shared" si="148"/>
        <v>106841.34708102679</v>
      </c>
    </row>
    <row r="284" spans="1:19" x14ac:dyDescent="0.2">
      <c r="B284" t="s">
        <v>24</v>
      </c>
      <c r="F284" s="24">
        <f>F273+F278+F282+F283+F279+F280+F281</f>
        <v>196163.67448959997</v>
      </c>
      <c r="G284" s="24">
        <f t="shared" ref="G284:R284" si="164">G273+G278+G282+G283+G279+G280+G281</f>
        <v>206919.49603319998</v>
      </c>
      <c r="H284" s="24">
        <f t="shared" si="164"/>
        <v>202059.87943039997</v>
      </c>
      <c r="I284" s="24">
        <f t="shared" si="164"/>
        <v>222086.59460239997</v>
      </c>
      <c r="J284" s="24">
        <f t="shared" si="164"/>
        <v>254608.37317583998</v>
      </c>
      <c r="K284" s="24">
        <f t="shared" si="164"/>
        <v>253147.08785979566</v>
      </c>
      <c r="L284" s="24">
        <f t="shared" si="164"/>
        <v>257131.08889160003</v>
      </c>
      <c r="M284" s="24">
        <f t="shared" si="164"/>
        <v>243768.54678399998</v>
      </c>
      <c r="N284" s="24">
        <f t="shared" si="164"/>
        <v>250653.28398079996</v>
      </c>
      <c r="O284" s="24">
        <f t="shared" si="164"/>
        <v>239859.12434559994</v>
      </c>
      <c r="P284" s="24">
        <f t="shared" si="164"/>
        <v>224222.21529559995</v>
      </c>
      <c r="Q284" s="24">
        <f t="shared" si="164"/>
        <v>197062.22457720002</v>
      </c>
      <c r="R284" s="24">
        <f t="shared" si="164"/>
        <v>2747681.5894660358</v>
      </c>
    </row>
    <row r="285" spans="1:19" x14ac:dyDescent="0.2"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</row>
    <row r="286" spans="1:19" x14ac:dyDescent="0.2">
      <c r="A286" t="s">
        <v>305</v>
      </c>
      <c r="B286" t="s">
        <v>304</v>
      </c>
      <c r="F286" s="23">
        <f t="shared" ref="F286:N286" si="165">F279</f>
        <v>589.59494299999994</v>
      </c>
      <c r="G286" s="23">
        <f t="shared" si="165"/>
        <v>643.44322000000011</v>
      </c>
      <c r="H286" s="23">
        <f t="shared" si="165"/>
        <v>612.23285199999998</v>
      </c>
      <c r="I286" s="23">
        <f t="shared" si="165"/>
        <v>727.03797600000007</v>
      </c>
      <c r="J286" s="23">
        <f t="shared" si="165"/>
        <v>806.02146730000004</v>
      </c>
      <c r="K286" s="23">
        <f t="shared" si="165"/>
        <v>866.4597480000001</v>
      </c>
      <c r="L286" s="23">
        <f t="shared" si="165"/>
        <v>916.95267300000012</v>
      </c>
      <c r="M286" s="23">
        <f t="shared" si="165"/>
        <v>831.38020700000004</v>
      </c>
      <c r="N286" s="23">
        <f t="shared" si="165"/>
        <v>875.32750199999987</v>
      </c>
      <c r="O286" s="23">
        <f t="shared" ref="O286:Q286" si="166">O279</f>
        <v>793.68865099999994</v>
      </c>
      <c r="P286" s="23">
        <f t="shared" si="166"/>
        <v>716.39835399999993</v>
      </c>
      <c r="Q286" s="23">
        <f t="shared" si="166"/>
        <v>569.20957099999998</v>
      </c>
      <c r="R286" s="23">
        <f>SUM(F286:Q286)</f>
        <v>8947.747164299999</v>
      </c>
    </row>
    <row r="288" spans="1:19" x14ac:dyDescent="0.2">
      <c r="A288" s="30"/>
      <c r="B288" s="29" t="s">
        <v>235</v>
      </c>
      <c r="C288" s="29"/>
      <c r="D288" s="30"/>
      <c r="E288" s="30"/>
      <c r="F288" s="31"/>
      <c r="G288" s="31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</row>
    <row r="289" spans="1:19" x14ac:dyDescent="0.2">
      <c r="A289" s="30"/>
      <c r="B289" s="29" t="s">
        <v>7</v>
      </c>
      <c r="C289" s="29"/>
      <c r="D289" s="30"/>
      <c r="E289" s="30"/>
      <c r="F289" s="31"/>
      <c r="G289" s="31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/>
    </row>
    <row r="290" spans="1:19" s="30" customFormat="1" x14ac:dyDescent="0.2">
      <c r="B290" s="30" t="s">
        <v>282</v>
      </c>
      <c r="D290" s="21" t="s">
        <v>236</v>
      </c>
      <c r="E290" s="30" t="s">
        <v>5</v>
      </c>
      <c r="F290" s="118">
        <f t="shared" ref="F290:Q290" si="167">F252</f>
        <v>410.51</v>
      </c>
      <c r="G290" s="118">
        <f t="shared" si="167"/>
        <v>410.51</v>
      </c>
      <c r="H290" s="118">
        <f t="shared" si="167"/>
        <v>410.51</v>
      </c>
      <c r="I290" s="118">
        <f t="shared" si="167"/>
        <v>410.51</v>
      </c>
      <c r="J290" s="118">
        <f t="shared" si="167"/>
        <v>410.51</v>
      </c>
      <c r="K290" s="118">
        <f t="shared" si="167"/>
        <v>410.51</v>
      </c>
      <c r="L290" s="118">
        <f t="shared" si="167"/>
        <v>410.51</v>
      </c>
      <c r="M290" s="118">
        <f t="shared" si="167"/>
        <v>410.51</v>
      </c>
      <c r="N290" s="118">
        <f t="shared" si="167"/>
        <v>410.51</v>
      </c>
      <c r="O290" s="118">
        <f t="shared" si="167"/>
        <v>410.51</v>
      </c>
      <c r="P290" s="118">
        <f t="shared" si="167"/>
        <v>410.51</v>
      </c>
      <c r="Q290" s="118">
        <f t="shared" si="167"/>
        <v>410.51</v>
      </c>
    </row>
    <row r="291" spans="1:19" s="30" customFormat="1" x14ac:dyDescent="0.2">
      <c r="B291" s="30" t="s">
        <v>3</v>
      </c>
      <c r="F291" s="119"/>
      <c r="G291" s="119"/>
      <c r="H291" s="119"/>
      <c r="I291" s="119"/>
      <c r="J291" s="119"/>
      <c r="K291" s="119"/>
      <c r="L291" s="119"/>
      <c r="M291" s="119"/>
      <c r="N291" s="119"/>
      <c r="O291" s="119"/>
      <c r="P291" s="119"/>
      <c r="Q291" s="119"/>
    </row>
    <row r="292" spans="1:19" s="30" customFormat="1" x14ac:dyDescent="0.2">
      <c r="C292" s="30" t="s">
        <v>15</v>
      </c>
      <c r="D292" s="21" t="s">
        <v>236</v>
      </c>
      <c r="E292" s="30" t="s">
        <v>6</v>
      </c>
      <c r="F292" s="119">
        <f t="shared" ref="F292:Q292" si="168">F254</f>
        <v>0.12876000000000001</v>
      </c>
      <c r="G292" s="119">
        <f t="shared" si="168"/>
        <v>0.12876000000000001</v>
      </c>
      <c r="H292" s="119">
        <f t="shared" si="168"/>
        <v>0.12876000000000001</v>
      </c>
      <c r="I292" s="119">
        <f t="shared" si="168"/>
        <v>0.12876000000000001</v>
      </c>
      <c r="J292" s="119">
        <f t="shared" si="168"/>
        <v>0.12876000000000001</v>
      </c>
      <c r="K292" s="119">
        <f t="shared" si="168"/>
        <v>0.12876000000000001</v>
      </c>
      <c r="L292" s="119">
        <f t="shared" si="168"/>
        <v>0.12876000000000001</v>
      </c>
      <c r="M292" s="119">
        <f t="shared" si="168"/>
        <v>0.12876000000000001</v>
      </c>
      <c r="N292" s="119">
        <f t="shared" si="168"/>
        <v>0.12876000000000001</v>
      </c>
      <c r="O292" s="119">
        <f t="shared" si="168"/>
        <v>0.12876000000000001</v>
      </c>
      <c r="P292" s="119">
        <f t="shared" si="168"/>
        <v>0.12876000000000001</v>
      </c>
      <c r="Q292" s="119">
        <f t="shared" si="168"/>
        <v>0.12876000000000001</v>
      </c>
    </row>
    <row r="293" spans="1:19" s="30" customFormat="1" x14ac:dyDescent="0.2">
      <c r="C293" s="30" t="s">
        <v>16</v>
      </c>
      <c r="D293" s="21" t="s">
        <v>236</v>
      </c>
      <c r="E293" s="30" t="s">
        <v>6</v>
      </c>
      <c r="F293" s="119">
        <f t="shared" ref="F293:Q293" si="169">F255</f>
        <v>0.10364</v>
      </c>
      <c r="G293" s="119">
        <f t="shared" si="169"/>
        <v>0.10364</v>
      </c>
      <c r="H293" s="119">
        <f t="shared" si="169"/>
        <v>0.10364</v>
      </c>
      <c r="I293" s="119">
        <f t="shared" si="169"/>
        <v>0.10364</v>
      </c>
      <c r="J293" s="119">
        <f t="shared" si="169"/>
        <v>0.10364</v>
      </c>
      <c r="K293" s="119">
        <f t="shared" si="169"/>
        <v>0.10364</v>
      </c>
      <c r="L293" s="119">
        <f t="shared" si="169"/>
        <v>0.10364</v>
      </c>
      <c r="M293" s="119">
        <f t="shared" si="169"/>
        <v>0.10364</v>
      </c>
      <c r="N293" s="119">
        <f t="shared" si="169"/>
        <v>0.10364</v>
      </c>
      <c r="O293" s="119">
        <f t="shared" si="169"/>
        <v>0.10364</v>
      </c>
      <c r="P293" s="119">
        <f t="shared" si="169"/>
        <v>0.10364</v>
      </c>
      <c r="Q293" s="119">
        <f t="shared" si="169"/>
        <v>0.10364</v>
      </c>
    </row>
    <row r="294" spans="1:19" s="30" customFormat="1" x14ac:dyDescent="0.2">
      <c r="A294"/>
      <c r="B294" s="30" t="s">
        <v>301</v>
      </c>
      <c r="C294"/>
      <c r="D294" s="21" t="s">
        <v>236</v>
      </c>
      <c r="E294" t="s">
        <v>6</v>
      </c>
      <c r="F294" s="120">
        <f t="shared" ref="F294:Q294" si="170">F256</f>
        <v>6.9999999999999999E-4</v>
      </c>
      <c r="G294" s="120">
        <f t="shared" si="170"/>
        <v>6.9999999999999999E-4</v>
      </c>
      <c r="H294" s="120">
        <f t="shared" si="170"/>
        <v>6.9999999999999999E-4</v>
      </c>
      <c r="I294" s="120">
        <f t="shared" si="170"/>
        <v>6.9999999999999999E-4</v>
      </c>
      <c r="J294" s="120">
        <f t="shared" si="170"/>
        <v>6.9999999999999999E-4</v>
      </c>
      <c r="K294" s="120">
        <f t="shared" si="170"/>
        <v>6.9999999999999999E-4</v>
      </c>
      <c r="L294" s="120">
        <f t="shared" si="170"/>
        <v>6.9999999999999999E-4</v>
      </c>
      <c r="M294" s="120">
        <f t="shared" si="170"/>
        <v>6.9999999999999999E-4</v>
      </c>
      <c r="N294" s="120">
        <f t="shared" si="170"/>
        <v>6.9999999999999999E-4</v>
      </c>
      <c r="O294" s="120">
        <f t="shared" si="170"/>
        <v>6.9999999999999999E-4</v>
      </c>
      <c r="P294" s="120">
        <f t="shared" si="170"/>
        <v>6.9999999999999999E-4</v>
      </c>
      <c r="Q294" s="120">
        <f t="shared" si="170"/>
        <v>6.9999999999999999E-4</v>
      </c>
      <c r="R294"/>
    </row>
    <row r="295" spans="1:19" s="30" customFormat="1" x14ac:dyDescent="0.2">
      <c r="A295"/>
      <c r="B295" t="s">
        <v>237</v>
      </c>
      <c r="C295"/>
      <c r="D295"/>
      <c r="E295"/>
      <c r="F295" s="120">
        <f t="shared" ref="F295:Q295" si="171">F257</f>
        <v>0</v>
      </c>
      <c r="G295" s="120">
        <f t="shared" si="171"/>
        <v>0</v>
      </c>
      <c r="H295" s="120">
        <f t="shared" si="171"/>
        <v>0</v>
      </c>
      <c r="I295" s="120">
        <f t="shared" si="171"/>
        <v>0</v>
      </c>
      <c r="J295" s="120">
        <f t="shared" si="171"/>
        <v>0</v>
      </c>
      <c r="K295" s="120">
        <f t="shared" si="171"/>
        <v>0</v>
      </c>
      <c r="L295" s="120">
        <f t="shared" si="171"/>
        <v>0</v>
      </c>
      <c r="M295" s="120">
        <f t="shared" si="171"/>
        <v>0</v>
      </c>
      <c r="N295" s="120">
        <f t="shared" si="171"/>
        <v>0</v>
      </c>
      <c r="O295" s="120">
        <f t="shared" si="171"/>
        <v>0</v>
      </c>
      <c r="P295" s="120">
        <f t="shared" si="171"/>
        <v>0</v>
      </c>
      <c r="Q295" s="120">
        <f t="shared" si="171"/>
        <v>0</v>
      </c>
      <c r="R295"/>
    </row>
    <row r="296" spans="1:19" s="30" customFormat="1" x14ac:dyDescent="0.2">
      <c r="A296"/>
      <c r="B296" t="s">
        <v>550</v>
      </c>
      <c r="C296"/>
      <c r="D296">
        <v>149</v>
      </c>
      <c r="E296" s="30" t="s">
        <v>6</v>
      </c>
      <c r="F296" s="120">
        <f>F166</f>
        <v>6.2199999999999998E-3</v>
      </c>
      <c r="G296" s="120">
        <f t="shared" ref="G296:Q296" si="172">G166</f>
        <v>6.2199999999999998E-3</v>
      </c>
      <c r="H296" s="120">
        <f t="shared" si="172"/>
        <v>6.2199999999999998E-3</v>
      </c>
      <c r="I296" s="120">
        <f t="shared" si="172"/>
        <v>6.2199999999999998E-3</v>
      </c>
      <c r="J296" s="120">
        <f t="shared" si="172"/>
        <v>6.2199999999999998E-3</v>
      </c>
      <c r="K296" s="120">
        <f t="shared" si="172"/>
        <v>6.2199999999999998E-3</v>
      </c>
      <c r="L296" s="120">
        <f t="shared" si="172"/>
        <v>6.2199999999999998E-3</v>
      </c>
      <c r="M296" s="120">
        <f t="shared" si="172"/>
        <v>6.2199999999999998E-3</v>
      </c>
      <c r="N296" s="120">
        <f t="shared" si="172"/>
        <v>6.2199999999999998E-3</v>
      </c>
      <c r="O296" s="120">
        <f t="shared" si="172"/>
        <v>6.2199999999999998E-3</v>
      </c>
      <c r="P296" s="120">
        <f t="shared" si="172"/>
        <v>6.2199999999999998E-3</v>
      </c>
      <c r="Q296" s="120">
        <f t="shared" si="172"/>
        <v>6.2199999999999998E-3</v>
      </c>
      <c r="R296"/>
    </row>
    <row r="297" spans="1:19" s="30" customFormat="1" x14ac:dyDescent="0.2">
      <c r="B297" s="30" t="s">
        <v>19</v>
      </c>
      <c r="D297" s="30">
        <v>101</v>
      </c>
      <c r="E297" s="30" t="s">
        <v>6</v>
      </c>
      <c r="F297" s="122">
        <f t="shared" ref="F297:Q297" si="173">F259</f>
        <v>1.17</v>
      </c>
      <c r="G297" s="122">
        <f t="shared" si="173"/>
        <v>1.17</v>
      </c>
      <c r="H297" s="122">
        <f t="shared" si="173"/>
        <v>1.17</v>
      </c>
      <c r="I297" s="122">
        <f t="shared" si="173"/>
        <v>1.17</v>
      </c>
      <c r="J297" s="122">
        <f t="shared" si="173"/>
        <v>1.17</v>
      </c>
      <c r="K297" s="122">
        <f t="shared" si="173"/>
        <v>1.17</v>
      </c>
      <c r="L297" s="122">
        <f t="shared" si="173"/>
        <v>1.17</v>
      </c>
      <c r="M297" s="122">
        <f t="shared" si="173"/>
        <v>1.17</v>
      </c>
      <c r="N297" s="122">
        <f t="shared" si="173"/>
        <v>1.17</v>
      </c>
      <c r="O297" s="122">
        <f t="shared" si="173"/>
        <v>1.17</v>
      </c>
      <c r="P297" s="122">
        <f t="shared" si="173"/>
        <v>1.17</v>
      </c>
      <c r="Q297" s="122">
        <f t="shared" si="173"/>
        <v>1.17</v>
      </c>
    </row>
    <row r="298" spans="1:19" s="30" customFormat="1" x14ac:dyDescent="0.2">
      <c r="B298" s="30" t="s">
        <v>21</v>
      </c>
      <c r="D298" s="21" t="s">
        <v>236</v>
      </c>
      <c r="E298" s="30" t="s">
        <v>22</v>
      </c>
      <c r="F298" s="122">
        <f t="shared" ref="F298:Q298" si="174">F260</f>
        <v>115.88</v>
      </c>
      <c r="G298" s="122">
        <f t="shared" si="174"/>
        <v>115.88</v>
      </c>
      <c r="H298" s="122">
        <f t="shared" si="174"/>
        <v>115.88</v>
      </c>
      <c r="I298" s="122">
        <f t="shared" si="174"/>
        <v>115.88</v>
      </c>
      <c r="J298" s="122">
        <f t="shared" si="174"/>
        <v>115.88</v>
      </c>
      <c r="K298" s="122">
        <f t="shared" si="174"/>
        <v>115.88</v>
      </c>
      <c r="L298" s="122">
        <f t="shared" si="174"/>
        <v>115.88</v>
      </c>
      <c r="M298" s="122">
        <f t="shared" si="174"/>
        <v>115.88</v>
      </c>
      <c r="N298" s="122">
        <f t="shared" si="174"/>
        <v>115.88</v>
      </c>
      <c r="O298" s="122">
        <f t="shared" si="174"/>
        <v>115.88</v>
      </c>
      <c r="P298" s="122">
        <f t="shared" si="174"/>
        <v>115.88</v>
      </c>
      <c r="Q298" s="122">
        <f t="shared" si="174"/>
        <v>115.88</v>
      </c>
    </row>
    <row r="299" spans="1:19" s="30" customFormat="1" x14ac:dyDescent="0.2">
      <c r="J299"/>
      <c r="K299"/>
      <c r="L299"/>
      <c r="M299"/>
      <c r="N299"/>
      <c r="O299"/>
      <c r="P299"/>
      <c r="Q299"/>
    </row>
    <row r="300" spans="1:19" s="30" customFormat="1" x14ac:dyDescent="0.2">
      <c r="B300" s="29" t="s">
        <v>8</v>
      </c>
      <c r="J300"/>
      <c r="K300"/>
      <c r="L300"/>
      <c r="M300"/>
      <c r="N300"/>
      <c r="O300"/>
      <c r="P300"/>
      <c r="Q300"/>
    </row>
    <row r="301" spans="1:19" s="30" customFormat="1" x14ac:dyDescent="0.2">
      <c r="B301" s="30" t="s">
        <v>22</v>
      </c>
      <c r="D301" s="21" t="s">
        <v>236</v>
      </c>
      <c r="E301" s="30" t="s">
        <v>22</v>
      </c>
      <c r="F301" s="64">
        <f>'(R) Data'!C21</f>
        <v>27</v>
      </c>
      <c r="G301" s="64">
        <f>'(R) Data'!D21</f>
        <v>25.033340924618535</v>
      </c>
      <c r="H301" s="64">
        <f>'(R) Data'!E21</f>
        <v>25</v>
      </c>
      <c r="I301" s="64">
        <f>'(R) Data'!F21</f>
        <v>25</v>
      </c>
      <c r="J301" s="64">
        <f>'(R) Data'!G21</f>
        <v>25</v>
      </c>
      <c r="K301" s="64">
        <f>'(R) Data'!H21</f>
        <v>24.999962838070402</v>
      </c>
      <c r="L301" s="64">
        <f>'(R) Data'!I21</f>
        <v>25</v>
      </c>
      <c r="M301" s="64">
        <f>'(R) Data'!J21</f>
        <v>25.035719108710332</v>
      </c>
      <c r="N301" s="64">
        <f>'(R) Data'!K21</f>
        <v>25</v>
      </c>
      <c r="O301" s="64">
        <f>'(R) Data'!L21</f>
        <v>24</v>
      </c>
      <c r="P301" s="64">
        <f>'(R) Data'!M21</f>
        <v>22</v>
      </c>
      <c r="Q301" s="64">
        <f>'(R) Data'!N21</f>
        <v>22</v>
      </c>
      <c r="R301" s="46">
        <f>SUM(F301:Q301)</f>
        <v>295.06902287139928</v>
      </c>
    </row>
    <row r="302" spans="1:19" s="30" customFormat="1" x14ac:dyDescent="0.2">
      <c r="B302" s="30" t="s">
        <v>30</v>
      </c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</row>
    <row r="303" spans="1:19" s="30" customFormat="1" x14ac:dyDescent="0.2">
      <c r="C303" s="30" t="s">
        <v>241</v>
      </c>
      <c r="D303" s="21" t="s">
        <v>236</v>
      </c>
      <c r="E303" s="30" t="s">
        <v>10</v>
      </c>
      <c r="F303" s="161">
        <f>'(R) Therms By Block'!B30</f>
        <v>24300</v>
      </c>
      <c r="G303" s="170">
        <f>'(R) Therms By Block'!C30</f>
        <v>23400</v>
      </c>
      <c r="H303" s="170">
        <f>'(R) Therms By Block'!D30</f>
        <v>23400</v>
      </c>
      <c r="I303" s="170">
        <f>'(R) Therms By Block'!E30</f>
        <v>23156.81</v>
      </c>
      <c r="J303" s="170">
        <f>'(R) Therms By Block'!F30</f>
        <v>23400</v>
      </c>
      <c r="K303" s="170">
        <f>'(R) Therms By Block'!G30</f>
        <v>23430</v>
      </c>
      <c r="L303" s="170">
        <f>'(R) Therms By Block'!H30</f>
        <v>23430</v>
      </c>
      <c r="M303" s="170">
        <f>'(R) Therms By Block'!I30</f>
        <v>23400</v>
      </c>
      <c r="N303" s="170">
        <f>'(R) Therms By Block'!J30</f>
        <v>23400</v>
      </c>
      <c r="O303" s="170">
        <f>'(R) Therms By Block'!K30</f>
        <v>22500</v>
      </c>
      <c r="P303" s="170">
        <f>'(R) Therms By Block'!L30</f>
        <v>19800</v>
      </c>
      <c r="Q303" s="170">
        <f>'(R) Therms By Block'!M30</f>
        <v>19800</v>
      </c>
      <c r="R303" s="46">
        <f t="shared" ref="R303:R308" si="175">SUM(F303:Q303)</f>
        <v>273416.81</v>
      </c>
    </row>
    <row r="304" spans="1:19" s="30" customFormat="1" x14ac:dyDescent="0.2">
      <c r="C304" s="30" t="s">
        <v>242</v>
      </c>
      <c r="D304" s="21" t="s">
        <v>236</v>
      </c>
      <c r="E304" s="30" t="s">
        <v>10</v>
      </c>
      <c r="F304" s="170">
        <f>'(R) Therms By Block'!B31</f>
        <v>107260.05</v>
      </c>
      <c r="G304" s="170">
        <f>'(R) Therms By Block'!C31</f>
        <v>104230.96</v>
      </c>
      <c r="H304" s="170">
        <f>'(R) Therms By Block'!D31</f>
        <v>103865.95</v>
      </c>
      <c r="I304" s="170">
        <f>'(R) Therms By Block'!E31</f>
        <v>101005.09</v>
      </c>
      <c r="J304" s="170">
        <f>'(R) Therms By Block'!F31</f>
        <v>104060.37</v>
      </c>
      <c r="K304" s="170">
        <f>'(R) Therms By Block'!G31</f>
        <v>104997</v>
      </c>
      <c r="L304" s="170">
        <f>'(R) Therms By Block'!H31</f>
        <v>105881.71</v>
      </c>
      <c r="M304" s="170">
        <f>'(R) Therms By Block'!I31</f>
        <v>104439.87</v>
      </c>
      <c r="N304" s="170">
        <f>'(R) Therms By Block'!J31</f>
        <v>104239.07</v>
      </c>
      <c r="O304" s="170">
        <f>'(R) Therms By Block'!K31</f>
        <v>100178.73</v>
      </c>
      <c r="P304" s="170">
        <f>'(R) Therms By Block'!L31</f>
        <v>87607.43</v>
      </c>
      <c r="Q304" s="170">
        <f>'(R) Therms By Block'!M31</f>
        <v>85479.8</v>
      </c>
      <c r="R304" s="46">
        <f t="shared" si="175"/>
        <v>1213246.03</v>
      </c>
    </row>
    <row r="305" spans="1:19" s="30" customFormat="1" x14ac:dyDescent="0.2">
      <c r="C305" s="30" t="s">
        <v>16</v>
      </c>
      <c r="D305" s="21" t="s">
        <v>236</v>
      </c>
      <c r="E305" s="30" t="s">
        <v>10</v>
      </c>
      <c r="F305" s="107">
        <f t="shared" ref="F305:N305" si="176">F306-SUM(F303:F304)</f>
        <v>435357.59</v>
      </c>
      <c r="G305" s="107">
        <f t="shared" si="176"/>
        <v>409147.21999999991</v>
      </c>
      <c r="H305" s="107">
        <f t="shared" si="176"/>
        <v>374255.25</v>
      </c>
      <c r="I305" s="107">
        <f t="shared" si="176"/>
        <v>424612.53999999992</v>
      </c>
      <c r="J305" s="107">
        <f t="shared" si="176"/>
        <v>403405.1</v>
      </c>
      <c r="K305" s="107">
        <f t="shared" si="176"/>
        <v>373929.32999999996</v>
      </c>
      <c r="L305" s="107">
        <f t="shared" si="176"/>
        <v>457729.99999999994</v>
      </c>
      <c r="M305" s="107">
        <f t="shared" si="176"/>
        <v>432223.28999999992</v>
      </c>
      <c r="N305" s="107">
        <f t="shared" si="176"/>
        <v>525652.60999999987</v>
      </c>
      <c r="O305" s="107">
        <f t="shared" ref="O305:Q305" si="177">O306-SUM(O303:O304)</f>
        <v>439380.58000000007</v>
      </c>
      <c r="P305" s="107">
        <f t="shared" si="177"/>
        <v>357704.08</v>
      </c>
      <c r="Q305" s="107">
        <f t="shared" si="177"/>
        <v>351693.14</v>
      </c>
      <c r="R305" s="46">
        <f t="shared" si="175"/>
        <v>4985090.7299999995</v>
      </c>
    </row>
    <row r="306" spans="1:19" s="30" customFormat="1" x14ac:dyDescent="0.2">
      <c r="C306" s="30" t="s">
        <v>17</v>
      </c>
      <c r="D306" s="21" t="s">
        <v>236</v>
      </c>
      <c r="E306" s="30" t="s">
        <v>10</v>
      </c>
      <c r="F306" s="110">
        <f>'Weather Adj'!D191</f>
        <v>566917.64</v>
      </c>
      <c r="G306" s="110">
        <f>'Weather Adj'!E191</f>
        <v>536778.17999999993</v>
      </c>
      <c r="H306" s="110">
        <f>'Weather Adj'!F191</f>
        <v>501521.2</v>
      </c>
      <c r="I306" s="110">
        <f>'Weather Adj'!G191</f>
        <v>548774.43999999994</v>
      </c>
      <c r="J306" s="110">
        <f>'Weather Adj'!H191</f>
        <v>530865.47</v>
      </c>
      <c r="K306" s="110">
        <f>'Weather Adj'!I191</f>
        <v>502356.32999999996</v>
      </c>
      <c r="L306" s="110">
        <f>'Weather Adj'!J191</f>
        <v>587041.71</v>
      </c>
      <c r="M306" s="110">
        <f>'Weather Adj'!K191</f>
        <v>560063.15999999992</v>
      </c>
      <c r="N306" s="110">
        <f>'Weather Adj'!L191</f>
        <v>653291.67999999993</v>
      </c>
      <c r="O306" s="110">
        <f>'Weather Adj'!M191</f>
        <v>562059.31000000006</v>
      </c>
      <c r="P306" s="110">
        <f>'Weather Adj'!N191</f>
        <v>465111.51</v>
      </c>
      <c r="Q306" s="110">
        <f>'Weather Adj'!O191</f>
        <v>456972.94</v>
      </c>
      <c r="R306" s="108">
        <f t="shared" si="175"/>
        <v>6471753.5699999994</v>
      </c>
    </row>
    <row r="307" spans="1:19" s="30" customFormat="1" x14ac:dyDescent="0.2">
      <c r="B307" s="30" t="s">
        <v>29</v>
      </c>
      <c r="D307" s="21" t="s">
        <v>236</v>
      </c>
      <c r="E307" s="30" t="s">
        <v>100</v>
      </c>
      <c r="F307" s="72">
        <f>'(R) Data'!C42</f>
        <v>42638</v>
      </c>
      <c r="G307" s="72">
        <f>'(R) Data'!D42</f>
        <v>37406</v>
      </c>
      <c r="H307" s="72">
        <f>'(R) Data'!E42</f>
        <v>37406</v>
      </c>
      <c r="I307" s="72">
        <f>'(R) Data'!F42</f>
        <v>37406</v>
      </c>
      <c r="J307" s="72">
        <f>'(R) Data'!G42</f>
        <v>37406</v>
      </c>
      <c r="K307" s="72">
        <f>'(R) Data'!H42</f>
        <v>40095.934000000001</v>
      </c>
      <c r="L307" s="72">
        <f>'(R) Data'!I42</f>
        <v>37443.966999999997</v>
      </c>
      <c r="M307" s="72">
        <f>'(R) Data'!J42</f>
        <v>37406</v>
      </c>
      <c r="N307" s="72">
        <f>'(R) Data'!K42</f>
        <v>37406</v>
      </c>
      <c r="O307" s="72">
        <f>'(R) Data'!L42</f>
        <v>36530</v>
      </c>
      <c r="P307" s="72">
        <f>'(R) Data'!M42</f>
        <v>26585</v>
      </c>
      <c r="Q307" s="72">
        <f>'(R) Data'!N42</f>
        <v>26585</v>
      </c>
      <c r="R307" s="46">
        <f t="shared" si="175"/>
        <v>434313.90100000001</v>
      </c>
    </row>
    <row r="308" spans="1:19" s="30" customFormat="1" x14ac:dyDescent="0.2">
      <c r="B308" s="30" t="s">
        <v>21</v>
      </c>
      <c r="D308" s="21" t="s">
        <v>236</v>
      </c>
      <c r="E308" s="30" t="s">
        <v>22</v>
      </c>
      <c r="F308" s="91">
        <f t="shared" ref="F308:N308" si="178">F301</f>
        <v>27</v>
      </c>
      <c r="G308" s="91">
        <f t="shared" si="178"/>
        <v>25.033340924618535</v>
      </c>
      <c r="H308" s="91">
        <f t="shared" si="178"/>
        <v>25</v>
      </c>
      <c r="I308" s="91">
        <f t="shared" si="178"/>
        <v>25</v>
      </c>
      <c r="J308" s="91">
        <f t="shared" si="178"/>
        <v>25</v>
      </c>
      <c r="K308" s="91">
        <f t="shared" si="178"/>
        <v>24.999962838070402</v>
      </c>
      <c r="L308" s="91">
        <f t="shared" si="178"/>
        <v>25</v>
      </c>
      <c r="M308" s="91">
        <f t="shared" si="178"/>
        <v>25.035719108710332</v>
      </c>
      <c r="N308" s="91">
        <f t="shared" si="178"/>
        <v>25</v>
      </c>
      <c r="O308" s="91">
        <f t="shared" ref="O308:Q308" si="179">O301</f>
        <v>24</v>
      </c>
      <c r="P308" s="91">
        <f t="shared" si="179"/>
        <v>22</v>
      </c>
      <c r="Q308" s="91">
        <f t="shared" si="179"/>
        <v>22</v>
      </c>
      <c r="R308" s="46">
        <f t="shared" si="175"/>
        <v>295.06902287139928</v>
      </c>
    </row>
    <row r="309" spans="1:19" s="30" customFormat="1" x14ac:dyDescent="0.2">
      <c r="F309" s="46"/>
      <c r="G309" s="46"/>
      <c r="H309" s="46"/>
      <c r="I309" s="46"/>
      <c r="J309" s="22"/>
      <c r="K309" s="22"/>
      <c r="L309" s="22"/>
      <c r="M309" s="22"/>
      <c r="N309" s="22"/>
      <c r="O309" s="22"/>
      <c r="P309" s="22"/>
      <c r="Q309" s="22"/>
    </row>
    <row r="310" spans="1:19" s="30" customFormat="1" x14ac:dyDescent="0.2">
      <c r="B310" s="29" t="s">
        <v>9</v>
      </c>
      <c r="J310"/>
      <c r="K310"/>
      <c r="L310"/>
      <c r="M310"/>
      <c r="N310"/>
      <c r="O310"/>
      <c r="P310"/>
      <c r="Q310"/>
    </row>
    <row r="311" spans="1:19" s="30" customFormat="1" x14ac:dyDescent="0.2">
      <c r="A311" s="30" t="s">
        <v>147</v>
      </c>
      <c r="B311" s="30" t="s">
        <v>282</v>
      </c>
      <c r="D311" s="21" t="s">
        <v>236</v>
      </c>
      <c r="F311" s="23">
        <f t="shared" ref="F311:N311" si="180">F290*F301</f>
        <v>11083.77</v>
      </c>
      <c r="G311" s="23">
        <f t="shared" si="180"/>
        <v>10276.436782965155</v>
      </c>
      <c r="H311" s="23">
        <f t="shared" si="180"/>
        <v>10262.75</v>
      </c>
      <c r="I311" s="23">
        <f t="shared" si="180"/>
        <v>10262.75</v>
      </c>
      <c r="J311" s="23">
        <f t="shared" si="180"/>
        <v>10262.75</v>
      </c>
      <c r="K311" s="23">
        <f t="shared" si="180"/>
        <v>10262.73474465628</v>
      </c>
      <c r="L311" s="23">
        <f t="shared" si="180"/>
        <v>10262.75</v>
      </c>
      <c r="M311" s="23">
        <f t="shared" si="180"/>
        <v>10277.413051316678</v>
      </c>
      <c r="N311" s="23">
        <f t="shared" si="180"/>
        <v>10262.75</v>
      </c>
      <c r="O311" s="23">
        <f t="shared" ref="O311:Q311" si="181">O290*O301</f>
        <v>9852.24</v>
      </c>
      <c r="P311" s="23">
        <f t="shared" si="181"/>
        <v>9031.2199999999993</v>
      </c>
      <c r="Q311" s="23">
        <f t="shared" si="181"/>
        <v>9031.2199999999993</v>
      </c>
      <c r="R311" s="23">
        <f>SUM(F311:Q311)</f>
        <v>121128.78457893812</v>
      </c>
    </row>
    <row r="312" spans="1:19" s="30" customFormat="1" x14ac:dyDescent="0.2">
      <c r="B312" s="30" t="s">
        <v>3</v>
      </c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</row>
    <row r="313" spans="1:19" s="30" customFormat="1" x14ac:dyDescent="0.2">
      <c r="C313" s="30" t="s">
        <v>241</v>
      </c>
      <c r="F313" s="42">
        <v>0</v>
      </c>
      <c r="G313" s="42">
        <v>0</v>
      </c>
      <c r="H313" s="42">
        <v>0</v>
      </c>
      <c r="I313" s="42">
        <v>0</v>
      </c>
      <c r="J313" s="42">
        <v>0</v>
      </c>
      <c r="K313" s="42">
        <v>0</v>
      </c>
      <c r="L313" s="42">
        <v>0</v>
      </c>
      <c r="M313" s="42">
        <v>0</v>
      </c>
      <c r="N313" s="42">
        <v>0</v>
      </c>
      <c r="O313" s="42">
        <v>0</v>
      </c>
      <c r="P313" s="42">
        <v>0</v>
      </c>
      <c r="Q313" s="42">
        <v>0</v>
      </c>
      <c r="R313" s="42">
        <f t="shared" ref="R313:R321" si="182">SUM(F313:Q313)</f>
        <v>0</v>
      </c>
    </row>
    <row r="314" spans="1:19" x14ac:dyDescent="0.2">
      <c r="A314" s="30"/>
      <c r="B314" s="30"/>
      <c r="C314" s="30" t="s">
        <v>242</v>
      </c>
      <c r="D314" s="21" t="s">
        <v>236</v>
      </c>
      <c r="E314" s="30"/>
      <c r="F314" s="23">
        <f t="shared" ref="F314:N314" si="183">F292*F304</f>
        <v>13810.804038000002</v>
      </c>
      <c r="G314" s="23">
        <f t="shared" si="183"/>
        <v>13420.778409600001</v>
      </c>
      <c r="H314" s="23">
        <f t="shared" si="183"/>
        <v>13373.779722000001</v>
      </c>
      <c r="I314" s="23">
        <f t="shared" si="183"/>
        <v>13005.415388400001</v>
      </c>
      <c r="J314" s="23">
        <f t="shared" si="183"/>
        <v>13398.813241200001</v>
      </c>
      <c r="K314" s="23">
        <f t="shared" si="183"/>
        <v>13519.413720000002</v>
      </c>
      <c r="L314" s="23">
        <f t="shared" si="183"/>
        <v>13633.328979600003</v>
      </c>
      <c r="M314" s="23">
        <f t="shared" si="183"/>
        <v>13447.677661200001</v>
      </c>
      <c r="N314" s="23">
        <f t="shared" si="183"/>
        <v>13421.822653200003</v>
      </c>
      <c r="O314" s="23">
        <f t="shared" ref="O314:Q314" si="184">O292*O304</f>
        <v>12899.013274800001</v>
      </c>
      <c r="P314" s="23">
        <f t="shared" si="184"/>
        <v>11280.3326868</v>
      </c>
      <c r="Q314" s="23">
        <f t="shared" si="184"/>
        <v>11006.379048000001</v>
      </c>
      <c r="R314" s="23">
        <f t="shared" si="182"/>
        <v>156217.55882279997</v>
      </c>
      <c r="S314"/>
    </row>
    <row r="315" spans="1:19" x14ac:dyDescent="0.2">
      <c r="A315" s="30"/>
      <c r="B315" s="30"/>
      <c r="C315" s="30" t="s">
        <v>16</v>
      </c>
      <c r="D315" s="21" t="s">
        <v>236</v>
      </c>
      <c r="E315" s="30"/>
      <c r="F315" s="23">
        <f t="shared" ref="F315:N315" si="185">F293*F305</f>
        <v>45120.460627599998</v>
      </c>
      <c r="G315" s="23">
        <f t="shared" si="185"/>
        <v>42404.017880799991</v>
      </c>
      <c r="H315" s="23">
        <f t="shared" si="185"/>
        <v>38787.814109999999</v>
      </c>
      <c r="I315" s="23">
        <f t="shared" si="185"/>
        <v>44006.843645599991</v>
      </c>
      <c r="J315" s="23">
        <f t="shared" si="185"/>
        <v>41808.904563999997</v>
      </c>
      <c r="K315" s="23">
        <f t="shared" si="185"/>
        <v>38754.035761199993</v>
      </c>
      <c r="L315" s="23">
        <f t="shared" si="185"/>
        <v>47439.13719999999</v>
      </c>
      <c r="M315" s="23">
        <f t="shared" si="185"/>
        <v>44795.62177559999</v>
      </c>
      <c r="N315" s="23">
        <f t="shared" si="185"/>
        <v>54478.636500399982</v>
      </c>
      <c r="O315" s="23">
        <f t="shared" ref="O315:Q315" si="186">O293*O305</f>
        <v>45537.403311200003</v>
      </c>
      <c r="P315" s="23">
        <f t="shared" si="186"/>
        <v>37072.450851200003</v>
      </c>
      <c r="Q315" s="23">
        <f t="shared" si="186"/>
        <v>36449.477029599999</v>
      </c>
      <c r="R315" s="23">
        <f t="shared" si="182"/>
        <v>516654.80325719999</v>
      </c>
      <c r="S315"/>
    </row>
    <row r="316" spans="1:19" x14ac:dyDescent="0.2">
      <c r="A316" s="30" t="s">
        <v>147</v>
      </c>
      <c r="B316" s="30"/>
      <c r="C316" s="30" t="s">
        <v>26</v>
      </c>
      <c r="D316" s="30"/>
      <c r="E316" s="30"/>
      <c r="F316" s="24">
        <f t="shared" ref="F316:N316" si="187">SUM(F313:F315)</f>
        <v>58931.2646656</v>
      </c>
      <c r="G316" s="24">
        <f t="shared" si="187"/>
        <v>55824.796290399994</v>
      </c>
      <c r="H316" s="24">
        <f t="shared" si="187"/>
        <v>52161.593831999999</v>
      </c>
      <c r="I316" s="24">
        <f t="shared" si="187"/>
        <v>57012.259033999988</v>
      </c>
      <c r="J316" s="24">
        <f t="shared" si="187"/>
        <v>55207.717805199994</v>
      </c>
      <c r="K316" s="24">
        <f t="shared" si="187"/>
        <v>52273.449481199998</v>
      </c>
      <c r="L316" s="24">
        <f t="shared" si="187"/>
        <v>61072.466179599993</v>
      </c>
      <c r="M316" s="24">
        <f t="shared" si="187"/>
        <v>58243.299436799993</v>
      </c>
      <c r="N316" s="24">
        <f t="shared" si="187"/>
        <v>67900.459153599979</v>
      </c>
      <c r="O316" s="24">
        <f t="shared" ref="O316:Q316" si="188">SUM(O313:O315)</f>
        <v>58436.416586000007</v>
      </c>
      <c r="P316" s="24">
        <f t="shared" si="188"/>
        <v>48352.783538000003</v>
      </c>
      <c r="Q316" s="24">
        <f t="shared" si="188"/>
        <v>47455.856077600001</v>
      </c>
      <c r="R316" s="24">
        <f t="shared" si="182"/>
        <v>672872.36207999988</v>
      </c>
      <c r="S316"/>
    </row>
    <row r="317" spans="1:19" x14ac:dyDescent="0.2">
      <c r="A317" t="s">
        <v>130</v>
      </c>
      <c r="B317" s="30" t="s">
        <v>301</v>
      </c>
      <c r="D317" s="21" t="s">
        <v>236</v>
      </c>
      <c r="F317" s="34">
        <f t="shared" ref="F317:N317" si="189">F294*F306</f>
        <v>396.84234800000002</v>
      </c>
      <c r="G317" s="34">
        <f t="shared" si="189"/>
        <v>375.74472599999996</v>
      </c>
      <c r="H317" s="34">
        <f t="shared" si="189"/>
        <v>351.06484</v>
      </c>
      <c r="I317" s="34">
        <f t="shared" si="189"/>
        <v>384.14210799999995</v>
      </c>
      <c r="J317" s="34">
        <f t="shared" si="189"/>
        <v>371.60582899999997</v>
      </c>
      <c r="K317" s="34">
        <f t="shared" si="189"/>
        <v>351.64943099999999</v>
      </c>
      <c r="L317" s="34">
        <f t="shared" si="189"/>
        <v>410.92919699999999</v>
      </c>
      <c r="M317" s="34">
        <f t="shared" si="189"/>
        <v>392.04421199999996</v>
      </c>
      <c r="N317" s="34">
        <f t="shared" si="189"/>
        <v>457.30417599999993</v>
      </c>
      <c r="O317" s="34">
        <f t="shared" ref="O317:Q317" si="190">O294*O306</f>
        <v>393.44151700000003</v>
      </c>
      <c r="P317" s="34">
        <f t="shared" si="190"/>
        <v>325.578057</v>
      </c>
      <c r="Q317" s="34">
        <f t="shared" si="190"/>
        <v>319.881058</v>
      </c>
      <c r="R317" s="34">
        <f t="shared" si="182"/>
        <v>4530.2274989999996</v>
      </c>
      <c r="S317"/>
    </row>
    <row r="318" spans="1:19" x14ac:dyDescent="0.2">
      <c r="A318" t="s">
        <v>147</v>
      </c>
      <c r="B318" t="s">
        <v>237</v>
      </c>
      <c r="F318" s="34">
        <f t="shared" ref="F318:N318" si="191">F295*F306</f>
        <v>0</v>
      </c>
      <c r="G318" s="34">
        <f t="shared" si="191"/>
        <v>0</v>
      </c>
      <c r="H318" s="34">
        <f t="shared" si="191"/>
        <v>0</v>
      </c>
      <c r="I318" s="34">
        <f t="shared" si="191"/>
        <v>0</v>
      </c>
      <c r="J318" s="34">
        <f t="shared" si="191"/>
        <v>0</v>
      </c>
      <c r="K318" s="34">
        <f t="shared" si="191"/>
        <v>0</v>
      </c>
      <c r="L318" s="34">
        <f t="shared" si="191"/>
        <v>0</v>
      </c>
      <c r="M318" s="34">
        <f t="shared" si="191"/>
        <v>0</v>
      </c>
      <c r="N318" s="34">
        <f t="shared" si="191"/>
        <v>0</v>
      </c>
      <c r="O318" s="34">
        <f t="shared" ref="O318:Q318" si="192">O295*O306</f>
        <v>0</v>
      </c>
      <c r="P318" s="34">
        <f t="shared" si="192"/>
        <v>0</v>
      </c>
      <c r="Q318" s="34">
        <f t="shared" si="192"/>
        <v>0</v>
      </c>
      <c r="R318" s="34">
        <f t="shared" si="182"/>
        <v>0</v>
      </c>
      <c r="S318"/>
    </row>
    <row r="319" spans="1:19" x14ac:dyDescent="0.2">
      <c r="A319" t="s">
        <v>551</v>
      </c>
      <c r="B319" t="s">
        <v>552</v>
      </c>
      <c r="D319">
        <v>149</v>
      </c>
      <c r="F319" s="34">
        <f>F296*F306</f>
        <v>3526.2277208</v>
      </c>
      <c r="G319" s="34">
        <f t="shared" ref="G319:Q319" si="193">G296*G306</f>
        <v>3338.7602795999996</v>
      </c>
      <c r="H319" s="34">
        <f t="shared" si="193"/>
        <v>3119.4618639999999</v>
      </c>
      <c r="I319" s="34">
        <f t="shared" si="193"/>
        <v>3413.3770167999996</v>
      </c>
      <c r="J319" s="34">
        <f t="shared" si="193"/>
        <v>3301.9832233999996</v>
      </c>
      <c r="K319" s="34">
        <f t="shared" si="193"/>
        <v>3124.6563725999995</v>
      </c>
      <c r="L319" s="34">
        <f t="shared" si="193"/>
        <v>3651.3994361999999</v>
      </c>
      <c r="M319" s="34">
        <f t="shared" si="193"/>
        <v>3483.5928551999996</v>
      </c>
      <c r="N319" s="34">
        <f t="shared" si="193"/>
        <v>4063.4742495999994</v>
      </c>
      <c r="O319" s="34">
        <f t="shared" si="193"/>
        <v>3496.0089082000004</v>
      </c>
      <c r="P319" s="34">
        <f t="shared" si="193"/>
        <v>2892.9935922</v>
      </c>
      <c r="Q319" s="34">
        <f t="shared" si="193"/>
        <v>2842.3716868000001</v>
      </c>
      <c r="R319" s="34">
        <f t="shared" si="182"/>
        <v>40254.307205399993</v>
      </c>
      <c r="S319"/>
    </row>
    <row r="320" spans="1:19" x14ac:dyDescent="0.2">
      <c r="A320" s="30" t="s">
        <v>147</v>
      </c>
      <c r="B320" s="30" t="s">
        <v>19</v>
      </c>
      <c r="C320" s="30"/>
      <c r="D320" s="21" t="s">
        <v>236</v>
      </c>
      <c r="E320" s="30"/>
      <c r="F320" s="23">
        <f t="shared" ref="F320:N320" si="194">F297*F307</f>
        <v>49886.46</v>
      </c>
      <c r="G320" s="23">
        <f t="shared" si="194"/>
        <v>43765.02</v>
      </c>
      <c r="H320" s="23">
        <f t="shared" si="194"/>
        <v>43765.02</v>
      </c>
      <c r="I320" s="23">
        <f t="shared" si="194"/>
        <v>43765.02</v>
      </c>
      <c r="J320" s="23">
        <f t="shared" si="194"/>
        <v>43765.02</v>
      </c>
      <c r="K320" s="23">
        <f t="shared" si="194"/>
        <v>46912.24278</v>
      </c>
      <c r="L320" s="23">
        <f t="shared" si="194"/>
        <v>43809.441389999993</v>
      </c>
      <c r="M320" s="23">
        <f t="shared" si="194"/>
        <v>43765.02</v>
      </c>
      <c r="N320" s="23">
        <f t="shared" si="194"/>
        <v>43765.02</v>
      </c>
      <c r="O320" s="23">
        <f t="shared" ref="O320:Q320" si="195">O297*O307</f>
        <v>42740.1</v>
      </c>
      <c r="P320" s="23">
        <f t="shared" si="195"/>
        <v>31104.449999999997</v>
      </c>
      <c r="Q320" s="23">
        <f t="shared" si="195"/>
        <v>31104.449999999997</v>
      </c>
      <c r="R320" s="23">
        <f t="shared" si="182"/>
        <v>508147.26417000004</v>
      </c>
      <c r="S320"/>
    </row>
    <row r="321" spans="1:37" x14ac:dyDescent="0.2">
      <c r="A321" s="30" t="s">
        <v>147</v>
      </c>
      <c r="B321" s="30" t="s">
        <v>21</v>
      </c>
      <c r="C321" s="30"/>
      <c r="D321" s="21" t="s">
        <v>236</v>
      </c>
      <c r="E321" s="30"/>
      <c r="F321" s="34">
        <f t="shared" ref="F321:N321" si="196">F298*F308</f>
        <v>3128.7599999999998</v>
      </c>
      <c r="G321" s="34">
        <f t="shared" si="196"/>
        <v>2900.8635463447959</v>
      </c>
      <c r="H321" s="34">
        <f t="shared" si="196"/>
        <v>2897</v>
      </c>
      <c r="I321" s="34">
        <f t="shared" si="196"/>
        <v>2897</v>
      </c>
      <c r="J321" s="34">
        <f t="shared" si="196"/>
        <v>2897</v>
      </c>
      <c r="K321" s="34">
        <f t="shared" si="196"/>
        <v>2896.995693675598</v>
      </c>
      <c r="L321" s="34">
        <f t="shared" si="196"/>
        <v>2897</v>
      </c>
      <c r="M321" s="34">
        <f t="shared" si="196"/>
        <v>2901.1391303173532</v>
      </c>
      <c r="N321" s="34">
        <f t="shared" si="196"/>
        <v>2897</v>
      </c>
      <c r="O321" s="34">
        <f t="shared" ref="O321:Q321" si="197">O298*O308</f>
        <v>2781.12</v>
      </c>
      <c r="P321" s="34">
        <f t="shared" si="197"/>
        <v>2549.3599999999997</v>
      </c>
      <c r="Q321" s="34">
        <f t="shared" si="197"/>
        <v>2549.3599999999997</v>
      </c>
      <c r="R321" s="34">
        <f t="shared" si="182"/>
        <v>34192.598370337742</v>
      </c>
      <c r="S321"/>
    </row>
    <row r="322" spans="1:37" x14ac:dyDescent="0.2">
      <c r="A322" s="30"/>
      <c r="B322" s="30" t="s">
        <v>24</v>
      </c>
      <c r="C322" s="30"/>
      <c r="D322" s="30"/>
      <c r="E322" s="30"/>
      <c r="F322" s="35">
        <f>F311+F316+F320+F321+F317+F318+F319</f>
        <v>126953.32473440001</v>
      </c>
      <c r="G322" s="35">
        <f t="shared" ref="G322:R322" si="198">G311+G316+G320+G321+G317+G318+G319</f>
        <v>116481.62162530994</v>
      </c>
      <c r="H322" s="35">
        <f t="shared" si="198"/>
        <v>112556.89053600001</v>
      </c>
      <c r="I322" s="35">
        <f t="shared" si="198"/>
        <v>117734.54815879998</v>
      </c>
      <c r="J322" s="35">
        <f t="shared" si="198"/>
        <v>115806.07685759998</v>
      </c>
      <c r="K322" s="35">
        <f t="shared" si="198"/>
        <v>115821.72850313186</v>
      </c>
      <c r="L322" s="35">
        <f t="shared" si="198"/>
        <v>122103.98620279998</v>
      </c>
      <c r="M322" s="35">
        <f t="shared" si="198"/>
        <v>119062.50868563401</v>
      </c>
      <c r="N322" s="35">
        <f t="shared" si="198"/>
        <v>129346.00757919997</v>
      </c>
      <c r="O322" s="35">
        <f t="shared" si="198"/>
        <v>117699.3270112</v>
      </c>
      <c r="P322" s="35">
        <f t="shared" si="198"/>
        <v>94256.385187200009</v>
      </c>
      <c r="Q322" s="35">
        <f t="shared" si="198"/>
        <v>93303.138822399997</v>
      </c>
      <c r="R322" s="35">
        <f t="shared" si="198"/>
        <v>1381125.5439036756</v>
      </c>
      <c r="S322"/>
    </row>
    <row r="323" spans="1:37" s="30" customFormat="1" x14ac:dyDescent="0.2">
      <c r="F323" s="31"/>
      <c r="G323" s="31"/>
    </row>
    <row r="324" spans="1:37" x14ac:dyDescent="0.2">
      <c r="A324" s="30" t="s">
        <v>305</v>
      </c>
      <c r="B324" s="30" t="s">
        <v>304</v>
      </c>
      <c r="C324" s="30"/>
      <c r="D324" s="30"/>
      <c r="E324" s="30"/>
      <c r="F324" s="36">
        <f t="shared" ref="F324:N324" si="199">F317</f>
        <v>396.84234800000002</v>
      </c>
      <c r="G324" s="36">
        <f t="shared" si="199"/>
        <v>375.74472599999996</v>
      </c>
      <c r="H324" s="36">
        <f t="shared" si="199"/>
        <v>351.06484</v>
      </c>
      <c r="I324" s="36">
        <f t="shared" si="199"/>
        <v>384.14210799999995</v>
      </c>
      <c r="J324" s="36">
        <f t="shared" si="199"/>
        <v>371.60582899999997</v>
      </c>
      <c r="K324" s="36">
        <f t="shared" si="199"/>
        <v>351.64943099999999</v>
      </c>
      <c r="L324" s="36">
        <f t="shared" si="199"/>
        <v>410.92919699999999</v>
      </c>
      <c r="M324" s="36">
        <f t="shared" si="199"/>
        <v>392.04421199999996</v>
      </c>
      <c r="N324" s="36">
        <f t="shared" si="199"/>
        <v>457.30417599999993</v>
      </c>
      <c r="O324" s="36">
        <f t="shared" ref="O324:Q324" si="200">O317</f>
        <v>393.44151700000003</v>
      </c>
      <c r="P324" s="36">
        <f t="shared" si="200"/>
        <v>325.578057</v>
      </c>
      <c r="Q324" s="36">
        <f t="shared" si="200"/>
        <v>319.881058</v>
      </c>
      <c r="R324" s="34">
        <f>SUM(F324:Q324)</f>
        <v>4530.2274989999996</v>
      </c>
    </row>
    <row r="326" spans="1:37" x14ac:dyDescent="0.2">
      <c r="A326" s="30"/>
      <c r="B326" s="29" t="s">
        <v>88</v>
      </c>
      <c r="C326" s="29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</row>
    <row r="327" spans="1:37" x14ac:dyDescent="0.2">
      <c r="B327" s="15" t="s">
        <v>7</v>
      </c>
      <c r="C327" s="15"/>
    </row>
    <row r="328" spans="1:37" x14ac:dyDescent="0.2">
      <c r="B328" t="s">
        <v>282</v>
      </c>
      <c r="D328">
        <v>85</v>
      </c>
      <c r="E328" t="s">
        <v>5</v>
      </c>
      <c r="F328" s="159">
        <f>'Rate Design Int &amp; Trans'!$H$12</f>
        <v>548.57000000000005</v>
      </c>
      <c r="G328" s="159">
        <f>'Rate Design Int &amp; Trans'!$H$12</f>
        <v>548.57000000000005</v>
      </c>
      <c r="H328" s="159">
        <f>'Rate Design Int &amp; Trans'!$H$12</f>
        <v>548.57000000000005</v>
      </c>
      <c r="I328" s="159">
        <f>'Rate Design Int &amp; Trans'!$H$12</f>
        <v>548.57000000000005</v>
      </c>
      <c r="J328" s="159">
        <f>'Rate Design Int &amp; Trans'!$H$12</f>
        <v>548.57000000000005</v>
      </c>
      <c r="K328" s="159">
        <f>'Rate Design Int &amp; Trans'!$H$12</f>
        <v>548.57000000000005</v>
      </c>
      <c r="L328" s="159">
        <f>'Rate Design Int &amp; Trans'!$H$12</f>
        <v>548.57000000000005</v>
      </c>
      <c r="M328" s="159">
        <f>'Rate Design Int &amp; Trans'!$H$12</f>
        <v>548.57000000000005</v>
      </c>
      <c r="N328" s="159">
        <f>'Rate Design Int &amp; Trans'!$H$12</f>
        <v>548.57000000000005</v>
      </c>
      <c r="O328" s="159">
        <f>'Rate Design Int &amp; Trans'!$H$12</f>
        <v>548.57000000000005</v>
      </c>
      <c r="P328" s="159">
        <f>'Rate Design Int &amp; Trans'!$H$12</f>
        <v>548.57000000000005</v>
      </c>
      <c r="Q328" s="159">
        <f>'Rate Design Int &amp; Trans'!$H$12</f>
        <v>548.57000000000005</v>
      </c>
      <c r="R328" s="26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  <c r="AJ328" s="23"/>
      <c r="AK328" s="100"/>
    </row>
    <row r="329" spans="1:37" s="30" customFormat="1" x14ac:dyDescent="0.2">
      <c r="A329"/>
      <c r="B329" t="s">
        <v>3</v>
      </c>
      <c r="C329"/>
      <c r="D329"/>
      <c r="E329"/>
      <c r="F329" s="160"/>
      <c r="G329" s="160"/>
      <c r="H329" s="160"/>
      <c r="I329" s="160"/>
      <c r="J329" s="160"/>
      <c r="K329" s="160"/>
      <c r="L329" s="160"/>
      <c r="M329" s="160"/>
      <c r="N329" s="160"/>
      <c r="O329" s="160"/>
      <c r="P329" s="160"/>
      <c r="Q329" s="160"/>
      <c r="R329" s="20"/>
    </row>
    <row r="330" spans="1:37" x14ac:dyDescent="0.2">
      <c r="C330" t="s">
        <v>56</v>
      </c>
      <c r="D330">
        <v>85</v>
      </c>
      <c r="E330" t="s">
        <v>6</v>
      </c>
      <c r="F330" s="160">
        <f>'Rate Design Int &amp; Trans'!$H$18</f>
        <v>9.9360000000000004E-2</v>
      </c>
      <c r="G330" s="160">
        <f>'Rate Design Int &amp; Trans'!$H$18</f>
        <v>9.9360000000000004E-2</v>
      </c>
      <c r="H330" s="160">
        <f>'Rate Design Int &amp; Trans'!$H$18</f>
        <v>9.9360000000000004E-2</v>
      </c>
      <c r="I330" s="160">
        <f>'Rate Design Int &amp; Trans'!$H$18</f>
        <v>9.9360000000000004E-2</v>
      </c>
      <c r="J330" s="160">
        <f>'Rate Design Int &amp; Trans'!$H$18</f>
        <v>9.9360000000000004E-2</v>
      </c>
      <c r="K330" s="160">
        <f>'Rate Design Int &amp; Trans'!$H$18</f>
        <v>9.9360000000000004E-2</v>
      </c>
      <c r="L330" s="160">
        <f>'Rate Design Int &amp; Trans'!$H$18</f>
        <v>9.9360000000000004E-2</v>
      </c>
      <c r="M330" s="160">
        <f>'Rate Design Int &amp; Trans'!$H$18</f>
        <v>9.9360000000000004E-2</v>
      </c>
      <c r="N330" s="160">
        <f>'Rate Design Int &amp; Trans'!$H$18</f>
        <v>9.9360000000000004E-2</v>
      </c>
      <c r="O330" s="160">
        <f>'Rate Design Int &amp; Trans'!$H$18</f>
        <v>9.9360000000000004E-2</v>
      </c>
      <c r="P330" s="160">
        <f>'Rate Design Int &amp; Trans'!$H$18</f>
        <v>9.9360000000000004E-2</v>
      </c>
      <c r="Q330" s="160">
        <f>'Rate Design Int &amp; Trans'!$H$18</f>
        <v>9.9360000000000004E-2</v>
      </c>
      <c r="R330" s="20"/>
    </row>
    <row r="331" spans="1:37" x14ac:dyDescent="0.2">
      <c r="C331" t="s">
        <v>57</v>
      </c>
      <c r="D331">
        <v>85</v>
      </c>
      <c r="E331" t="s">
        <v>6</v>
      </c>
      <c r="F331" s="160">
        <f>'Rate Design Int &amp; Trans'!$H$19</f>
        <v>4.9169999999999998E-2</v>
      </c>
      <c r="G331" s="160">
        <f>'Rate Design Int &amp; Trans'!$H$19</f>
        <v>4.9169999999999998E-2</v>
      </c>
      <c r="H331" s="160">
        <f>'Rate Design Int &amp; Trans'!$H$19</f>
        <v>4.9169999999999998E-2</v>
      </c>
      <c r="I331" s="160">
        <f>'Rate Design Int &amp; Trans'!$H$19</f>
        <v>4.9169999999999998E-2</v>
      </c>
      <c r="J331" s="160">
        <f>'Rate Design Int &amp; Trans'!$H$19</f>
        <v>4.9169999999999998E-2</v>
      </c>
      <c r="K331" s="160">
        <f>'Rate Design Int &amp; Trans'!$H$19</f>
        <v>4.9169999999999998E-2</v>
      </c>
      <c r="L331" s="160">
        <f>'Rate Design Int &amp; Trans'!$H$19</f>
        <v>4.9169999999999998E-2</v>
      </c>
      <c r="M331" s="160">
        <f>'Rate Design Int &amp; Trans'!$H$19</f>
        <v>4.9169999999999998E-2</v>
      </c>
      <c r="N331" s="160">
        <f>'Rate Design Int &amp; Trans'!$H$19</f>
        <v>4.9169999999999998E-2</v>
      </c>
      <c r="O331" s="160">
        <f>'Rate Design Int &amp; Trans'!$H$19</f>
        <v>4.9169999999999998E-2</v>
      </c>
      <c r="P331" s="160">
        <f>'Rate Design Int &amp; Trans'!$H$19</f>
        <v>4.9169999999999998E-2</v>
      </c>
      <c r="Q331" s="160">
        <f>'Rate Design Int &amp; Trans'!$H$19</f>
        <v>4.9169999999999998E-2</v>
      </c>
      <c r="R331" s="20"/>
    </row>
    <row r="332" spans="1:37" x14ac:dyDescent="0.2">
      <c r="C332" t="s">
        <v>58</v>
      </c>
      <c r="D332">
        <v>85</v>
      </c>
      <c r="E332" t="s">
        <v>6</v>
      </c>
      <c r="F332" s="160">
        <f>'Rate Design Int &amp; Trans'!$H$20</f>
        <v>4.7039999999999998E-2</v>
      </c>
      <c r="G332" s="160">
        <f>'Rate Design Int &amp; Trans'!$H$20</f>
        <v>4.7039999999999998E-2</v>
      </c>
      <c r="H332" s="160">
        <f>'Rate Design Int &amp; Trans'!$H$20</f>
        <v>4.7039999999999998E-2</v>
      </c>
      <c r="I332" s="160">
        <f>'Rate Design Int &amp; Trans'!$H$20</f>
        <v>4.7039999999999998E-2</v>
      </c>
      <c r="J332" s="160">
        <f>'Rate Design Int &amp; Trans'!$H$20</f>
        <v>4.7039999999999998E-2</v>
      </c>
      <c r="K332" s="160">
        <f>'Rate Design Int &amp; Trans'!$H$20</f>
        <v>4.7039999999999998E-2</v>
      </c>
      <c r="L332" s="160">
        <f>'Rate Design Int &amp; Trans'!$H$20</f>
        <v>4.7039999999999998E-2</v>
      </c>
      <c r="M332" s="160">
        <f>'Rate Design Int &amp; Trans'!$H$20</f>
        <v>4.7039999999999998E-2</v>
      </c>
      <c r="N332" s="160">
        <f>'Rate Design Int &amp; Trans'!$H$20</f>
        <v>4.7039999999999998E-2</v>
      </c>
      <c r="O332" s="160">
        <f>'Rate Design Int &amp; Trans'!$H$20</f>
        <v>4.7039999999999998E-2</v>
      </c>
      <c r="P332" s="160">
        <f>'Rate Design Int &amp; Trans'!$H$20</f>
        <v>4.7039999999999998E-2</v>
      </c>
      <c r="Q332" s="160">
        <f>'Rate Design Int &amp; Trans'!$H$20</f>
        <v>4.7039999999999998E-2</v>
      </c>
      <c r="R332" s="20"/>
    </row>
    <row r="333" spans="1:37" x14ac:dyDescent="0.2">
      <c r="B333" t="s">
        <v>303</v>
      </c>
      <c r="D333">
        <v>101</v>
      </c>
      <c r="E333" t="s">
        <v>6</v>
      </c>
      <c r="F333" s="182">
        <v>0.2702</v>
      </c>
      <c r="G333" s="182">
        <v>0.2702</v>
      </c>
      <c r="H333" s="182">
        <v>0.2702</v>
      </c>
      <c r="I333" s="182">
        <v>0.2702</v>
      </c>
      <c r="J333" s="182">
        <v>0.2702</v>
      </c>
      <c r="K333" s="182">
        <v>0.2702</v>
      </c>
      <c r="L333" s="182">
        <v>0.2702</v>
      </c>
      <c r="M333" s="182">
        <v>0.2702</v>
      </c>
      <c r="N333" s="182">
        <v>0.2702</v>
      </c>
      <c r="O333" s="182">
        <v>0.2702</v>
      </c>
      <c r="P333" s="182">
        <v>0.2702</v>
      </c>
      <c r="Q333" s="182">
        <v>0.2702</v>
      </c>
      <c r="R333" s="182"/>
    </row>
    <row r="334" spans="1:37" x14ac:dyDescent="0.2">
      <c r="A334" s="30"/>
      <c r="B334" s="30" t="s">
        <v>61</v>
      </c>
      <c r="C334" s="30"/>
      <c r="D334" s="47">
        <v>85</v>
      </c>
      <c r="E334" s="30" t="s">
        <v>6</v>
      </c>
      <c r="F334" s="160">
        <f>'Rate Design Int &amp; Trans'!$H$14</f>
        <v>7.4700000000000001E-3</v>
      </c>
      <c r="G334" s="160">
        <f>'Rate Design Int &amp; Trans'!$H$14</f>
        <v>7.4700000000000001E-3</v>
      </c>
      <c r="H334" s="160">
        <f>'Rate Design Int &amp; Trans'!$H$14</f>
        <v>7.4700000000000001E-3</v>
      </c>
      <c r="I334" s="160">
        <f>'Rate Design Int &amp; Trans'!$H$14</f>
        <v>7.4700000000000001E-3</v>
      </c>
      <c r="J334" s="160">
        <f>'Rate Design Int &amp; Trans'!$H$14</f>
        <v>7.4700000000000001E-3</v>
      </c>
      <c r="K334" s="160">
        <f>'Rate Design Int &amp; Trans'!$H$14</f>
        <v>7.4700000000000001E-3</v>
      </c>
      <c r="L334" s="160">
        <f>'Rate Design Int &amp; Trans'!$H$14</f>
        <v>7.4700000000000001E-3</v>
      </c>
      <c r="M334" s="160">
        <f>'Rate Design Int &amp; Trans'!$H$14</f>
        <v>7.4700000000000001E-3</v>
      </c>
      <c r="N334" s="160">
        <f>'Rate Design Int &amp; Trans'!$H$14</f>
        <v>7.4700000000000001E-3</v>
      </c>
      <c r="O334" s="160">
        <f>'Rate Design Int &amp; Trans'!$H$14</f>
        <v>7.4700000000000001E-3</v>
      </c>
      <c r="P334" s="160">
        <f>'Rate Design Int &amp; Trans'!$H$14</f>
        <v>7.4700000000000001E-3</v>
      </c>
      <c r="Q334" s="160">
        <f>'Rate Design Int &amp; Trans'!$H$14</f>
        <v>7.4700000000000001E-3</v>
      </c>
      <c r="R334" s="65"/>
    </row>
    <row r="335" spans="1:37" x14ac:dyDescent="0.2">
      <c r="A335" s="30"/>
      <c r="B335" s="30" t="s">
        <v>550</v>
      </c>
      <c r="C335" s="30"/>
      <c r="D335" s="47">
        <v>149</v>
      </c>
      <c r="E335" s="30" t="s">
        <v>6</v>
      </c>
      <c r="F335" s="182">
        <v>3.31E-3</v>
      </c>
      <c r="G335" s="182">
        <v>3.31E-3</v>
      </c>
      <c r="H335" s="182">
        <v>3.31E-3</v>
      </c>
      <c r="I335" s="182">
        <v>3.31E-3</v>
      </c>
      <c r="J335" s="182">
        <v>3.31E-3</v>
      </c>
      <c r="K335" s="182">
        <v>3.31E-3</v>
      </c>
      <c r="L335" s="182">
        <v>3.31E-3</v>
      </c>
      <c r="M335" s="182">
        <v>3.31E-3</v>
      </c>
      <c r="N335" s="182">
        <v>3.31E-3</v>
      </c>
      <c r="O335" s="182">
        <v>3.31E-3</v>
      </c>
      <c r="P335" s="182">
        <v>3.31E-3</v>
      </c>
      <c r="Q335" s="182">
        <v>3.31E-3</v>
      </c>
      <c r="R335" s="65"/>
    </row>
    <row r="336" spans="1:37" x14ac:dyDescent="0.2">
      <c r="A336" s="30"/>
      <c r="B336" s="30" t="s">
        <v>18</v>
      </c>
      <c r="C336" s="30"/>
      <c r="D336" s="30"/>
      <c r="E336" s="30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65"/>
    </row>
    <row r="337" spans="2:18" s="30" customFormat="1" x14ac:dyDescent="0.2">
      <c r="C337" s="30" t="s">
        <v>19</v>
      </c>
      <c r="D337" s="30">
        <v>101</v>
      </c>
      <c r="E337" s="30" t="s">
        <v>6</v>
      </c>
      <c r="F337" s="159">
        <f>'Rate Design Int &amp; Trans'!$H$13</f>
        <v>1.21</v>
      </c>
      <c r="G337" s="159">
        <f>'Rate Design Int &amp; Trans'!$H$13</f>
        <v>1.21</v>
      </c>
      <c r="H337" s="159">
        <f>'Rate Design Int &amp; Trans'!$H$13</f>
        <v>1.21</v>
      </c>
      <c r="I337" s="159">
        <f>'Rate Design Int &amp; Trans'!$H$13</f>
        <v>1.21</v>
      </c>
      <c r="J337" s="159">
        <f>'Rate Design Int &amp; Trans'!$H$13</f>
        <v>1.21</v>
      </c>
      <c r="K337" s="159">
        <f>'Rate Design Int &amp; Trans'!$H$13</f>
        <v>1.21</v>
      </c>
      <c r="L337" s="159">
        <f>'Rate Design Int &amp; Trans'!$H$13</f>
        <v>1.21</v>
      </c>
      <c r="M337" s="159">
        <f>'Rate Design Int &amp; Trans'!$H$13</f>
        <v>1.21</v>
      </c>
      <c r="N337" s="159">
        <f>'Rate Design Int &amp; Trans'!$H$13</f>
        <v>1.21</v>
      </c>
      <c r="O337" s="159">
        <f>'Rate Design Int &amp; Trans'!$H$13</f>
        <v>1.21</v>
      </c>
      <c r="P337" s="159">
        <f>'Rate Design Int &amp; Trans'!$H$13</f>
        <v>1.21</v>
      </c>
      <c r="Q337" s="159">
        <f>'Rate Design Int &amp; Trans'!$H$13</f>
        <v>1.21</v>
      </c>
      <c r="R337" s="65"/>
    </row>
    <row r="338" spans="2:18" s="30" customFormat="1" x14ac:dyDescent="0.2">
      <c r="C338" s="30" t="s">
        <v>20</v>
      </c>
      <c r="D338" s="30">
        <v>101</v>
      </c>
      <c r="E338" s="30" t="s">
        <v>6</v>
      </c>
      <c r="F338" s="183">
        <v>1.05</v>
      </c>
      <c r="G338" s="183">
        <v>1.05</v>
      </c>
      <c r="H338" s="183">
        <v>1.05</v>
      </c>
      <c r="I338" s="183">
        <v>1.05</v>
      </c>
      <c r="J338" s="183">
        <v>1.05</v>
      </c>
      <c r="K338" s="183">
        <v>1.05</v>
      </c>
      <c r="L338" s="183">
        <v>1.05</v>
      </c>
      <c r="M338" s="183">
        <v>1.05</v>
      </c>
      <c r="N338" s="183">
        <v>1.05</v>
      </c>
      <c r="O338" s="183">
        <v>1.05</v>
      </c>
      <c r="P338" s="183">
        <v>1.05</v>
      </c>
      <c r="Q338" s="183">
        <v>1.05</v>
      </c>
      <c r="R338" s="65"/>
    </row>
    <row r="339" spans="2:18" s="30" customFormat="1" x14ac:dyDescent="0.2">
      <c r="B339" s="30" t="s">
        <v>21</v>
      </c>
      <c r="D339" s="30">
        <v>85</v>
      </c>
      <c r="E339" s="30" t="s">
        <v>22</v>
      </c>
      <c r="F339" s="49"/>
      <c r="G339" s="49"/>
      <c r="H339" s="49"/>
      <c r="I339" s="49"/>
      <c r="J339" s="49"/>
      <c r="K339" s="49"/>
      <c r="L339" s="49"/>
      <c r="M339" s="49"/>
      <c r="N339" s="49"/>
      <c r="O339" s="49"/>
      <c r="P339" s="49"/>
      <c r="Q339" s="49"/>
      <c r="R339" s="65"/>
    </row>
    <row r="340" spans="2:18" s="30" customFormat="1" x14ac:dyDescent="0.2">
      <c r="B340" s="30" t="s">
        <v>304</v>
      </c>
      <c r="F340" s="182">
        <v>0.25791999999999998</v>
      </c>
      <c r="G340" s="182">
        <v>0.25791999999999998</v>
      </c>
      <c r="H340" s="182">
        <v>0.25791999999999998</v>
      </c>
      <c r="I340" s="182">
        <v>0.25791999999999998</v>
      </c>
      <c r="J340" s="182">
        <v>0.25791999999999998</v>
      </c>
      <c r="K340" s="182">
        <v>0.25791999999999998</v>
      </c>
      <c r="L340" s="182">
        <v>0.25791999999999998</v>
      </c>
      <c r="M340" s="182">
        <v>0.25791999999999998</v>
      </c>
      <c r="N340" s="182">
        <v>0.25791999999999998</v>
      </c>
      <c r="O340" s="182">
        <v>0.25791999999999998</v>
      </c>
      <c r="P340" s="182">
        <v>0.25791999999999998</v>
      </c>
      <c r="Q340" s="182">
        <v>0.25791999999999998</v>
      </c>
      <c r="R340" s="65"/>
    </row>
    <row r="341" spans="2:18" s="30" customFormat="1" x14ac:dyDescent="0.2">
      <c r="B341" s="30" t="s">
        <v>310</v>
      </c>
      <c r="F341" s="183">
        <v>1</v>
      </c>
      <c r="G341" s="183">
        <v>1</v>
      </c>
      <c r="H341" s="183">
        <v>1</v>
      </c>
      <c r="I341" s="183">
        <v>1</v>
      </c>
      <c r="J341" s="183">
        <v>1</v>
      </c>
      <c r="K341" s="183">
        <v>1</v>
      </c>
      <c r="L341" s="183">
        <v>1</v>
      </c>
      <c r="M341" s="183">
        <v>1</v>
      </c>
      <c r="N341" s="183">
        <v>1</v>
      </c>
      <c r="O341" s="183">
        <v>1</v>
      </c>
      <c r="P341" s="183">
        <v>1</v>
      </c>
      <c r="Q341" s="183">
        <v>1</v>
      </c>
      <c r="R341" s="65"/>
    </row>
    <row r="342" spans="2:18" s="30" customFormat="1" x14ac:dyDescent="0.2"/>
    <row r="343" spans="2:18" s="30" customFormat="1" x14ac:dyDescent="0.2">
      <c r="B343" s="29" t="s">
        <v>8</v>
      </c>
    </row>
    <row r="344" spans="2:18" s="30" customFormat="1" x14ac:dyDescent="0.2">
      <c r="B344" s="30" t="s">
        <v>22</v>
      </c>
      <c r="E344" s="30" t="s">
        <v>22</v>
      </c>
      <c r="F344" s="76">
        <f>'(R) Data'!C23</f>
        <v>22.642907679399361</v>
      </c>
      <c r="G344" s="156">
        <f>'(R) Data'!D23</f>
        <v>23.143396991165101</v>
      </c>
      <c r="H344" s="156">
        <f>'(R) Data'!E23</f>
        <v>22.896424270523134</v>
      </c>
      <c r="I344" s="156">
        <f>'(R) Data'!F23</f>
        <v>24.089516671707617</v>
      </c>
      <c r="J344" s="156">
        <f>'(R) Data'!G23</f>
        <v>23.905858893995589</v>
      </c>
      <c r="K344" s="156">
        <f>'(R) Data'!H23</f>
        <v>25.340302967426002</v>
      </c>
      <c r="L344" s="156">
        <f>'(R) Data'!I23</f>
        <v>24.117983299847172</v>
      </c>
      <c r="M344" s="156">
        <f>'(R) Data'!J23</f>
        <v>23.37605519083894</v>
      </c>
      <c r="N344" s="156">
        <f>'(R) Data'!K23</f>
        <v>24.507833165654986</v>
      </c>
      <c r="O344" s="156">
        <f>'(R) Data'!L23</f>
        <v>24.002119284044948</v>
      </c>
      <c r="P344" s="156">
        <f>'(R) Data'!M23</f>
        <v>24.086570537944109</v>
      </c>
      <c r="Q344" s="156">
        <f>'(R) Data'!N23</f>
        <v>21.373717119054994</v>
      </c>
      <c r="R344" s="107">
        <f>SUM(F344:Q344)</f>
        <v>283.4826860716019</v>
      </c>
    </row>
    <row r="345" spans="2:18" s="30" customFormat="1" x14ac:dyDescent="0.2">
      <c r="B345" s="30" t="s">
        <v>30</v>
      </c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107"/>
    </row>
    <row r="346" spans="2:18" s="30" customFormat="1" x14ac:dyDescent="0.2">
      <c r="C346" s="30" t="s">
        <v>56</v>
      </c>
      <c r="E346" s="30" t="s">
        <v>10</v>
      </c>
      <c r="F346" s="161">
        <f>'(R) Therms By Block'!B37</f>
        <v>477465.83299999998</v>
      </c>
      <c r="G346" s="170">
        <f>'(R) Therms By Block'!C37</f>
        <v>455876.00099999999</v>
      </c>
      <c r="H346" s="170">
        <f>'(R) Therms By Block'!D37</f>
        <v>475597.31800000003</v>
      </c>
      <c r="I346" s="170">
        <f>'(R) Therms By Block'!E37</f>
        <v>585808.54399999999</v>
      </c>
      <c r="J346" s="170">
        <f>'(R) Therms By Block'!F37</f>
        <v>609730.79299999995</v>
      </c>
      <c r="K346" s="170">
        <f>'(R) Therms By Block'!G37</f>
        <v>627459.95499999996</v>
      </c>
      <c r="L346" s="170">
        <f>'(R) Therms By Block'!H37</f>
        <v>619196.05900000001</v>
      </c>
      <c r="M346" s="170">
        <f>'(R) Therms By Block'!I37</f>
        <v>596871.32700000005</v>
      </c>
      <c r="N346" s="170">
        <f>'(R) Therms By Block'!J37</f>
        <v>628194.80700000003</v>
      </c>
      <c r="O346" s="170">
        <f>'(R) Therms By Block'!K37</f>
        <v>590443.04700000002</v>
      </c>
      <c r="P346" s="170">
        <f>'(R) Therms By Block'!L37</f>
        <v>535177.755</v>
      </c>
      <c r="Q346" s="170">
        <f>'(R) Therms By Block'!M37</f>
        <v>453570.95</v>
      </c>
      <c r="R346" s="107">
        <f>SUM(F346:Q346)</f>
        <v>6655392.3890000004</v>
      </c>
    </row>
    <row r="347" spans="2:18" s="30" customFormat="1" x14ac:dyDescent="0.2">
      <c r="C347" s="30" t="s">
        <v>57</v>
      </c>
      <c r="E347" s="30" t="s">
        <v>10</v>
      </c>
      <c r="F347" s="170">
        <f>'(R) Therms By Block'!B38</f>
        <v>207016.51500000001</v>
      </c>
      <c r="G347" s="170">
        <f>'(R) Therms By Block'!C38</f>
        <v>190848.08100000001</v>
      </c>
      <c r="H347" s="170">
        <f>'(R) Therms By Block'!D38</f>
        <v>227262.685</v>
      </c>
      <c r="I347" s="170">
        <f>'(R) Therms By Block'!E38</f>
        <v>328943.587</v>
      </c>
      <c r="J347" s="170">
        <f>'(R) Therms By Block'!F38</f>
        <v>390519.83799999999</v>
      </c>
      <c r="K347" s="170">
        <f>'(R) Therms By Block'!G38</f>
        <v>478153.67599999998</v>
      </c>
      <c r="L347" s="170">
        <f>'(R) Therms By Block'!H38</f>
        <v>453670.63400000002</v>
      </c>
      <c r="M347" s="170">
        <f>'(R) Therms By Block'!I38</f>
        <v>395277.45</v>
      </c>
      <c r="N347" s="170">
        <f>'(R) Therms By Block'!J38</f>
        <v>414001.36099999998</v>
      </c>
      <c r="O347" s="170">
        <f>'(R) Therms By Block'!K38</f>
        <v>295900.73800000001</v>
      </c>
      <c r="P347" s="170">
        <f>'(R) Therms By Block'!L38</f>
        <v>251734.97399999999</v>
      </c>
      <c r="Q347" s="170">
        <f>'(R) Therms By Block'!M38</f>
        <v>208698.899</v>
      </c>
      <c r="R347" s="107">
        <f>SUM(F347:Q347)</f>
        <v>3842028.4380000001</v>
      </c>
    </row>
    <row r="348" spans="2:18" s="30" customFormat="1" x14ac:dyDescent="0.2">
      <c r="C348" s="30" t="s">
        <v>58</v>
      </c>
      <c r="E348" s="30" t="s">
        <v>10</v>
      </c>
      <c r="F348" s="107">
        <f t="shared" ref="F348:N348" si="201">F349-F346-F347</f>
        <v>33590.434000000008</v>
      </c>
      <c r="G348" s="107">
        <f t="shared" si="201"/>
        <v>17665.422999999893</v>
      </c>
      <c r="H348" s="107">
        <f t="shared" si="201"/>
        <v>89193.548999999999</v>
      </c>
      <c r="I348" s="107">
        <f t="shared" si="201"/>
        <v>334825.20200000011</v>
      </c>
      <c r="J348" s="107">
        <f t="shared" si="201"/>
        <v>554231.34400000016</v>
      </c>
      <c r="K348" s="107">
        <f t="shared" si="201"/>
        <v>760828.57700000005</v>
      </c>
      <c r="L348" s="107">
        <f t="shared" si="201"/>
        <v>707958.24599999981</v>
      </c>
      <c r="M348" s="107">
        <f t="shared" si="201"/>
        <v>544230.76100000017</v>
      </c>
      <c r="N348" s="107">
        <f t="shared" si="201"/>
        <v>601794.96799999988</v>
      </c>
      <c r="O348" s="107">
        <f t="shared" ref="O348:Q348" si="202">O349-O346-O347</f>
        <v>364419.35099999991</v>
      </c>
      <c r="P348" s="107">
        <f t="shared" si="202"/>
        <v>133322.15700000006</v>
      </c>
      <c r="Q348" s="107">
        <f t="shared" si="202"/>
        <v>47470.895000000048</v>
      </c>
      <c r="R348" s="107">
        <f>SUM(F348:Q348)</f>
        <v>4189530.9070000001</v>
      </c>
    </row>
    <row r="349" spans="2:18" s="30" customFormat="1" x14ac:dyDescent="0.2">
      <c r="C349" s="30" t="s">
        <v>17</v>
      </c>
      <c r="E349" s="30" t="s">
        <v>10</v>
      </c>
      <c r="F349" s="111">
        <f>'Weather Adj'!D176</f>
        <v>718072.78200000001</v>
      </c>
      <c r="G349" s="111">
        <f>'Weather Adj'!E176</f>
        <v>664389.50499999989</v>
      </c>
      <c r="H349" s="111">
        <f>'Weather Adj'!F176</f>
        <v>792053.55200000003</v>
      </c>
      <c r="I349" s="111">
        <f>'Weather Adj'!G176</f>
        <v>1249577.3330000001</v>
      </c>
      <c r="J349" s="111">
        <f>'Weather Adj'!H176</f>
        <v>1554481.9750000001</v>
      </c>
      <c r="K349" s="111">
        <f>'Weather Adj'!I176</f>
        <v>1866442.2080000001</v>
      </c>
      <c r="L349" s="111">
        <f>'Weather Adj'!J176</f>
        <v>1780824.939</v>
      </c>
      <c r="M349" s="111">
        <f>'Weather Adj'!K176</f>
        <v>1536379.5380000002</v>
      </c>
      <c r="N349" s="111">
        <f>'Weather Adj'!L176</f>
        <v>1643991.1359999999</v>
      </c>
      <c r="O349" s="111">
        <f>'Weather Adj'!M176</f>
        <v>1250763.1359999999</v>
      </c>
      <c r="P349" s="111">
        <f>'Weather Adj'!N176</f>
        <v>920234.88600000006</v>
      </c>
      <c r="Q349" s="111">
        <f>'Weather Adj'!O176</f>
        <v>709740.74400000006</v>
      </c>
      <c r="R349" s="109">
        <f>SUM(R346:R348)</f>
        <v>14686951.733999999</v>
      </c>
    </row>
    <row r="350" spans="2:18" s="30" customFormat="1" x14ac:dyDescent="0.2">
      <c r="B350" s="30" t="s">
        <v>29</v>
      </c>
      <c r="E350" s="30" t="s">
        <v>100</v>
      </c>
      <c r="F350" s="76">
        <f>'(R) Data'!C43</f>
        <v>7096.2839999999997</v>
      </c>
      <c r="G350" s="156">
        <f>'(R) Data'!D43</f>
        <v>6845.4089999999997</v>
      </c>
      <c r="H350" s="156">
        <f>'(R) Data'!E43</f>
        <v>6460.2240000000002</v>
      </c>
      <c r="I350" s="156">
        <f>'(R) Data'!F43</f>
        <v>6808.3670000000002</v>
      </c>
      <c r="J350" s="156">
        <f>'(R) Data'!G43</f>
        <v>6825.1880000000001</v>
      </c>
      <c r="K350" s="156">
        <f>'(R) Data'!H43</f>
        <v>6726.2070000000003</v>
      </c>
      <c r="L350" s="156">
        <f>'(R) Data'!I43</f>
        <v>6664.5640000000003</v>
      </c>
      <c r="M350" s="156">
        <f>'(R) Data'!J43</f>
        <v>6315.9459999999999</v>
      </c>
      <c r="N350" s="156">
        <f>'(R) Data'!K43</f>
        <v>6780.259</v>
      </c>
      <c r="O350" s="156">
        <f>'(R) Data'!L43</f>
        <v>6617.7579999999998</v>
      </c>
      <c r="P350" s="156">
        <f>'(R) Data'!M43</f>
        <v>6800.5619999999999</v>
      </c>
      <c r="Q350" s="156">
        <f>'(R) Data'!N43</f>
        <v>4462.2240000000002</v>
      </c>
      <c r="R350" s="107">
        <f>SUM(F350:Q350)</f>
        <v>78402.991999999998</v>
      </c>
    </row>
    <row r="351" spans="2:18" s="30" customFormat="1" x14ac:dyDescent="0.2">
      <c r="B351" s="30" t="s">
        <v>21</v>
      </c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107"/>
    </row>
    <row r="352" spans="2:18" s="30" customFormat="1" x14ac:dyDescent="0.2">
      <c r="R352" s="96"/>
    </row>
    <row r="353" spans="1:18" s="30" customFormat="1" x14ac:dyDescent="0.2">
      <c r="B353" s="29" t="s">
        <v>9</v>
      </c>
      <c r="R353" s="96"/>
    </row>
    <row r="354" spans="1:18" s="30" customFormat="1" x14ac:dyDescent="0.2">
      <c r="A354" s="30" t="s">
        <v>147</v>
      </c>
      <c r="B354" s="30" t="s">
        <v>282</v>
      </c>
      <c r="D354" s="30">
        <v>85</v>
      </c>
      <c r="F354" s="34">
        <f t="shared" ref="F354:N354" si="203">F328*F344</f>
        <v>12421.219865688108</v>
      </c>
      <c r="G354" s="34">
        <f t="shared" si="203"/>
        <v>12695.77328744344</v>
      </c>
      <c r="H354" s="34">
        <f t="shared" si="203"/>
        <v>12560.291462080877</v>
      </c>
      <c r="I354" s="34">
        <f t="shared" si="203"/>
        <v>13214.786160598649</v>
      </c>
      <c r="J354" s="34">
        <f t="shared" si="203"/>
        <v>13114.037013479161</v>
      </c>
      <c r="K354" s="34">
        <f t="shared" si="203"/>
        <v>13900.929998840884</v>
      </c>
      <c r="L354" s="34">
        <f t="shared" si="203"/>
        <v>13230.402098797163</v>
      </c>
      <c r="M354" s="34">
        <f t="shared" si="203"/>
        <v>12823.402596038519</v>
      </c>
      <c r="N354" s="34">
        <f t="shared" si="203"/>
        <v>13444.262039683357</v>
      </c>
      <c r="O354" s="34">
        <f t="shared" ref="O354:Q354" si="204">O328*O344</f>
        <v>13166.842575648538</v>
      </c>
      <c r="P354" s="34">
        <f t="shared" si="204"/>
        <v>13213.170000000002</v>
      </c>
      <c r="Q354" s="34">
        <f t="shared" si="204"/>
        <v>11724.98</v>
      </c>
      <c r="R354" s="70">
        <f>SUM(F354:Q354)</f>
        <v>155510.09709829869</v>
      </c>
    </row>
    <row r="355" spans="1:18" s="30" customFormat="1" x14ac:dyDescent="0.2">
      <c r="B355" s="30" t="s">
        <v>3</v>
      </c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70"/>
    </row>
    <row r="356" spans="1:18" x14ac:dyDescent="0.2">
      <c r="A356" s="30"/>
      <c r="B356" s="30"/>
      <c r="C356" s="30" t="s">
        <v>56</v>
      </c>
      <c r="D356" s="30">
        <v>85</v>
      </c>
      <c r="E356" s="30"/>
      <c r="F356" s="34">
        <f t="shared" ref="F356:N356" si="205">F330*F346</f>
        <v>47441.005166880001</v>
      </c>
      <c r="G356" s="34">
        <f t="shared" si="205"/>
        <v>45295.839459360002</v>
      </c>
      <c r="H356" s="34">
        <f t="shared" si="205"/>
        <v>47255.349516480004</v>
      </c>
      <c r="I356" s="34">
        <f t="shared" si="205"/>
        <v>58205.936931839999</v>
      </c>
      <c r="J356" s="34">
        <f t="shared" si="205"/>
        <v>60582.851592479994</v>
      </c>
      <c r="K356" s="34">
        <f t="shared" si="205"/>
        <v>62344.421128800001</v>
      </c>
      <c r="L356" s="34">
        <f t="shared" si="205"/>
        <v>61523.320422240002</v>
      </c>
      <c r="M356" s="34">
        <f t="shared" si="205"/>
        <v>59305.135050720004</v>
      </c>
      <c r="N356" s="34">
        <f t="shared" si="205"/>
        <v>62417.436023520007</v>
      </c>
      <c r="O356" s="34">
        <f t="shared" ref="O356:Q356" si="206">O330*O346</f>
        <v>58666.421149920003</v>
      </c>
      <c r="P356" s="34">
        <f t="shared" si="206"/>
        <v>53175.261736799999</v>
      </c>
      <c r="Q356" s="34">
        <f t="shared" si="206"/>
        <v>45066.809592000005</v>
      </c>
      <c r="R356" s="70">
        <f>SUM(F356:Q356)</f>
        <v>661279.78777103999</v>
      </c>
    </row>
    <row r="357" spans="1:18" x14ac:dyDescent="0.2">
      <c r="A357" s="30"/>
      <c r="B357" s="30"/>
      <c r="C357" s="30" t="s">
        <v>57</v>
      </c>
      <c r="D357" s="30">
        <v>85</v>
      </c>
      <c r="E357" s="30"/>
      <c r="F357" s="34">
        <f t="shared" ref="F357:N357" si="207">F331*F347</f>
        <v>10179.002042550001</v>
      </c>
      <c r="G357" s="34">
        <f t="shared" si="207"/>
        <v>9384.0001427700008</v>
      </c>
      <c r="H357" s="34">
        <f t="shared" si="207"/>
        <v>11174.506221449999</v>
      </c>
      <c r="I357" s="34">
        <f t="shared" si="207"/>
        <v>16174.156172789999</v>
      </c>
      <c r="J357" s="34">
        <f t="shared" si="207"/>
        <v>19201.860434459999</v>
      </c>
      <c r="K357" s="34">
        <f t="shared" si="207"/>
        <v>23510.816248919997</v>
      </c>
      <c r="L357" s="34">
        <f t="shared" si="207"/>
        <v>22306.985073780001</v>
      </c>
      <c r="M357" s="34">
        <f t="shared" si="207"/>
        <v>19435.792216499998</v>
      </c>
      <c r="N357" s="34">
        <f t="shared" si="207"/>
        <v>20356.446920369999</v>
      </c>
      <c r="O357" s="34">
        <f t="shared" ref="O357:Q357" si="208">O331*O347</f>
        <v>14549.43928746</v>
      </c>
      <c r="P357" s="34">
        <f t="shared" si="208"/>
        <v>12377.808671579998</v>
      </c>
      <c r="Q357" s="34">
        <f t="shared" si="208"/>
        <v>10261.724863830001</v>
      </c>
      <c r="R357" s="70">
        <f>SUM(F357:Q357)</f>
        <v>188912.53829645997</v>
      </c>
    </row>
    <row r="358" spans="1:18" x14ac:dyDescent="0.2">
      <c r="C358" t="s">
        <v>58</v>
      </c>
      <c r="D358">
        <v>85</v>
      </c>
      <c r="F358" s="23">
        <f t="shared" ref="F358:N358" si="209">F332*F348</f>
        <v>1580.0940153600004</v>
      </c>
      <c r="G358" s="23">
        <f t="shared" si="209"/>
        <v>830.98149791999492</v>
      </c>
      <c r="H358" s="23">
        <f t="shared" si="209"/>
        <v>4195.6645449600001</v>
      </c>
      <c r="I358" s="23">
        <f t="shared" si="209"/>
        <v>15750.177502080005</v>
      </c>
      <c r="J358" s="23">
        <f t="shared" si="209"/>
        <v>26071.042421760005</v>
      </c>
      <c r="K358" s="23">
        <f t="shared" si="209"/>
        <v>35789.376262080004</v>
      </c>
      <c r="L358" s="23">
        <f t="shared" si="209"/>
        <v>33302.355891839987</v>
      </c>
      <c r="M358" s="23">
        <f t="shared" si="209"/>
        <v>25600.614997440007</v>
      </c>
      <c r="N358" s="23">
        <f t="shared" si="209"/>
        <v>28308.435294719995</v>
      </c>
      <c r="O358" s="23">
        <f t="shared" ref="O358:Q358" si="210">O332*O348</f>
        <v>17142.286271039997</v>
      </c>
      <c r="P358" s="23">
        <f t="shared" si="210"/>
        <v>6271.4742652800032</v>
      </c>
      <c r="Q358" s="23">
        <f t="shared" si="210"/>
        <v>2233.0309008000022</v>
      </c>
      <c r="R358" s="100">
        <f>SUM(F358:Q358)</f>
        <v>197075.53386528001</v>
      </c>
    </row>
    <row r="359" spans="1:18" x14ac:dyDescent="0.2">
      <c r="A359" t="s">
        <v>147</v>
      </c>
      <c r="C359" t="s">
        <v>26</v>
      </c>
      <c r="F359" s="24">
        <f t="shared" ref="F359:N359" si="211">SUM(F356:F358)</f>
        <v>59200.10122479</v>
      </c>
      <c r="G359" s="24">
        <f t="shared" si="211"/>
        <v>55510.821100049994</v>
      </c>
      <c r="H359" s="24">
        <f t="shared" si="211"/>
        <v>62625.520282890007</v>
      </c>
      <c r="I359" s="24">
        <f t="shared" si="211"/>
        <v>90130.270606709993</v>
      </c>
      <c r="J359" s="24">
        <f t="shared" si="211"/>
        <v>105855.7544487</v>
      </c>
      <c r="K359" s="24">
        <f t="shared" si="211"/>
        <v>121644.61363979999</v>
      </c>
      <c r="L359" s="24">
        <f t="shared" si="211"/>
        <v>117132.66138785999</v>
      </c>
      <c r="M359" s="24">
        <f t="shared" si="211"/>
        <v>104341.54226466001</v>
      </c>
      <c r="N359" s="24">
        <f t="shared" si="211"/>
        <v>111082.31823860999</v>
      </c>
      <c r="O359" s="24">
        <f t="shared" ref="O359:Q359" si="212">SUM(O356:O358)</f>
        <v>90358.146708419998</v>
      </c>
      <c r="P359" s="24">
        <f t="shared" si="212"/>
        <v>71824.544673659999</v>
      </c>
      <c r="Q359" s="24">
        <f t="shared" si="212"/>
        <v>57561.56535663001</v>
      </c>
      <c r="R359" s="24">
        <f>SUM(R356:R358)</f>
        <v>1047267.8599327799</v>
      </c>
    </row>
    <row r="360" spans="1:18" x14ac:dyDescent="0.2">
      <c r="A360" t="s">
        <v>130</v>
      </c>
      <c r="B360" t="s">
        <v>306</v>
      </c>
      <c r="D360">
        <v>101</v>
      </c>
      <c r="F360" s="23">
        <f t="shared" ref="F360:N360" si="213">F333*F349</f>
        <v>194023.26569639999</v>
      </c>
      <c r="G360" s="23">
        <f t="shared" si="213"/>
        <v>179518.04425099996</v>
      </c>
      <c r="H360" s="23">
        <f t="shared" si="213"/>
        <v>214012.86975040002</v>
      </c>
      <c r="I360" s="23">
        <f t="shared" si="213"/>
        <v>337635.7953766</v>
      </c>
      <c r="J360" s="34">
        <f t="shared" si="213"/>
        <v>420021.029645</v>
      </c>
      <c r="K360" s="23">
        <f t="shared" si="213"/>
        <v>504312.68460159999</v>
      </c>
      <c r="L360" s="23">
        <f t="shared" si="213"/>
        <v>481178.89851779997</v>
      </c>
      <c r="M360" s="23">
        <f t="shared" si="213"/>
        <v>415129.75116760004</v>
      </c>
      <c r="N360" s="23">
        <f t="shared" si="213"/>
        <v>444206.40494719998</v>
      </c>
      <c r="O360" s="23">
        <f t="shared" ref="O360:Q360" si="214">O333*O349</f>
        <v>337956.19934719999</v>
      </c>
      <c r="P360" s="23">
        <f t="shared" si="214"/>
        <v>248647.4661972</v>
      </c>
      <c r="Q360" s="23">
        <f t="shared" si="214"/>
        <v>191771.94902880001</v>
      </c>
      <c r="R360" s="100">
        <f>SUM(F360:Q360)</f>
        <v>3968414.3585267998</v>
      </c>
    </row>
    <row r="361" spans="1:18" x14ac:dyDescent="0.2">
      <c r="A361" t="s">
        <v>147</v>
      </c>
      <c r="B361" t="s">
        <v>61</v>
      </c>
      <c r="D361" s="21">
        <v>85</v>
      </c>
      <c r="F361" s="40">
        <f t="shared" ref="F361:N361" si="215">F334*F349</f>
        <v>5364.0036815399999</v>
      </c>
      <c r="G361" s="40">
        <f t="shared" si="215"/>
        <v>4962.9896023499996</v>
      </c>
      <c r="H361" s="40">
        <f t="shared" si="215"/>
        <v>5916.6400334400005</v>
      </c>
      <c r="I361" s="40">
        <f t="shared" si="215"/>
        <v>9334.3426775100015</v>
      </c>
      <c r="J361" s="40">
        <f t="shared" si="215"/>
        <v>11611.980353250001</v>
      </c>
      <c r="K361" s="40">
        <f t="shared" si="215"/>
        <v>13942.323293760001</v>
      </c>
      <c r="L361" s="40">
        <f t="shared" si="215"/>
        <v>13302.762294329999</v>
      </c>
      <c r="M361" s="40">
        <f t="shared" si="215"/>
        <v>11476.755148860002</v>
      </c>
      <c r="N361" s="40">
        <f t="shared" si="215"/>
        <v>12280.613785919999</v>
      </c>
      <c r="O361" s="40">
        <f t="shared" ref="O361:Q361" si="216">O334*O349</f>
        <v>9343.2006259199989</v>
      </c>
      <c r="P361" s="40">
        <f t="shared" si="216"/>
        <v>6874.1545984200002</v>
      </c>
      <c r="Q361" s="40">
        <f t="shared" si="216"/>
        <v>5301.7633576800008</v>
      </c>
      <c r="R361" s="97">
        <f>SUM(F361:Q361)</f>
        <v>109711.52945298002</v>
      </c>
    </row>
    <row r="362" spans="1:18" x14ac:dyDescent="0.2">
      <c r="A362" t="s">
        <v>551</v>
      </c>
      <c r="B362" t="s">
        <v>552</v>
      </c>
      <c r="D362" s="21">
        <v>149</v>
      </c>
      <c r="F362" s="40">
        <f>F335*F349</f>
        <v>2376.8209084200003</v>
      </c>
      <c r="G362" s="40">
        <f t="shared" ref="G362:Q362" si="217">G335*G349</f>
        <v>2199.1292615499997</v>
      </c>
      <c r="H362" s="40">
        <f t="shared" si="217"/>
        <v>2621.6972571199999</v>
      </c>
      <c r="I362" s="40">
        <f t="shared" si="217"/>
        <v>4136.1009722300005</v>
      </c>
      <c r="J362" s="40">
        <f t="shared" si="217"/>
        <v>5145.3353372500005</v>
      </c>
      <c r="K362" s="40">
        <f t="shared" si="217"/>
        <v>6177.9237084800006</v>
      </c>
      <c r="L362" s="40">
        <f t="shared" si="217"/>
        <v>5894.5305480899997</v>
      </c>
      <c r="M362" s="40">
        <f t="shared" si="217"/>
        <v>5085.4162707800006</v>
      </c>
      <c r="N362" s="40">
        <f t="shared" si="217"/>
        <v>5441.6106601599995</v>
      </c>
      <c r="O362" s="40">
        <f t="shared" si="217"/>
        <v>4140.0259801599996</v>
      </c>
      <c r="P362" s="40">
        <f t="shared" si="217"/>
        <v>3045.9774726600003</v>
      </c>
      <c r="Q362" s="40">
        <f t="shared" si="217"/>
        <v>2349.2418626400004</v>
      </c>
      <c r="R362" s="97">
        <f>SUM(F362:Q362)</f>
        <v>48613.810239539998</v>
      </c>
    </row>
    <row r="363" spans="1:18" x14ac:dyDescent="0.2">
      <c r="B363" t="s">
        <v>18</v>
      </c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100"/>
    </row>
    <row r="364" spans="1:18" x14ac:dyDescent="0.2">
      <c r="A364" t="s">
        <v>147</v>
      </c>
      <c r="C364" t="s">
        <v>19</v>
      </c>
      <c r="D364">
        <v>85</v>
      </c>
      <c r="F364" s="23">
        <f t="shared" ref="F364:N364" si="218">F337*F350</f>
        <v>8586.503639999999</v>
      </c>
      <c r="G364" s="23">
        <f t="shared" si="218"/>
        <v>8282.9448899999988</v>
      </c>
      <c r="H364" s="23">
        <f t="shared" si="218"/>
        <v>7816.87104</v>
      </c>
      <c r="I364" s="23">
        <f t="shared" si="218"/>
        <v>8238.1240699999998</v>
      </c>
      <c r="J364" s="23">
        <f t="shared" si="218"/>
        <v>8258.4774799999996</v>
      </c>
      <c r="K364" s="23">
        <f t="shared" si="218"/>
        <v>8138.71047</v>
      </c>
      <c r="L364" s="23">
        <f t="shared" si="218"/>
        <v>8064.1224400000001</v>
      </c>
      <c r="M364" s="23">
        <f t="shared" si="218"/>
        <v>7642.2946599999996</v>
      </c>
      <c r="N364" s="23">
        <f t="shared" si="218"/>
        <v>8204.1133900000004</v>
      </c>
      <c r="O364" s="23">
        <f t="shared" ref="O364:Q364" si="219">O337*O350</f>
        <v>8007.4871799999992</v>
      </c>
      <c r="P364" s="23">
        <f t="shared" si="219"/>
        <v>8228.6800199999998</v>
      </c>
      <c r="Q364" s="23">
        <f t="shared" si="219"/>
        <v>5399.2910400000001</v>
      </c>
      <c r="R364" s="100">
        <f>SUM(F364:Q364)</f>
        <v>94867.620319999987</v>
      </c>
    </row>
    <row r="365" spans="1:18" s="30" customFormat="1" x14ac:dyDescent="0.2">
      <c r="A365" t="s">
        <v>130</v>
      </c>
      <c r="B365"/>
      <c r="C365" t="s">
        <v>20</v>
      </c>
      <c r="D365">
        <v>101</v>
      </c>
      <c r="E365"/>
      <c r="F365" s="23">
        <f t="shared" ref="F365:N365" si="220">F338*F350</f>
        <v>7451.0982000000004</v>
      </c>
      <c r="G365" s="23">
        <f t="shared" si="220"/>
        <v>7187.6794499999996</v>
      </c>
      <c r="H365" s="23">
        <f t="shared" si="220"/>
        <v>6783.2352000000001</v>
      </c>
      <c r="I365" s="23">
        <f t="shared" si="220"/>
        <v>7148.7853500000001</v>
      </c>
      <c r="J365" s="34">
        <f t="shared" si="220"/>
        <v>7166.4474</v>
      </c>
      <c r="K365" s="23">
        <f t="shared" si="220"/>
        <v>7062.517350000001</v>
      </c>
      <c r="L365" s="23">
        <f t="shared" si="220"/>
        <v>6997.7922000000008</v>
      </c>
      <c r="M365" s="23">
        <f t="shared" si="220"/>
        <v>6631.7433000000001</v>
      </c>
      <c r="N365" s="23">
        <f t="shared" si="220"/>
        <v>7119.2719500000003</v>
      </c>
      <c r="O365" s="23">
        <f t="shared" ref="O365:Q365" si="221">O338*O350</f>
        <v>6948.6459000000004</v>
      </c>
      <c r="P365" s="23">
        <f t="shared" si="221"/>
        <v>7140.5901000000003</v>
      </c>
      <c r="Q365" s="23">
        <f t="shared" si="221"/>
        <v>4685.3352000000004</v>
      </c>
      <c r="R365" s="100">
        <f>SUM(F365:Q365)</f>
        <v>82323.141600000003</v>
      </c>
    </row>
    <row r="366" spans="1:18" s="30" customFormat="1" x14ac:dyDescent="0.2">
      <c r="A366"/>
      <c r="B366"/>
      <c r="C366" t="s">
        <v>23</v>
      </c>
      <c r="D366"/>
      <c r="E366"/>
      <c r="F366" s="24">
        <f t="shared" ref="F366:N366" si="222">SUM(F364:F365)</f>
        <v>16037.601839999999</v>
      </c>
      <c r="G366" s="24">
        <f t="shared" si="222"/>
        <v>15470.624339999998</v>
      </c>
      <c r="H366" s="24">
        <f t="shared" si="222"/>
        <v>14600.106240000001</v>
      </c>
      <c r="I366" s="24">
        <f t="shared" si="222"/>
        <v>15386.90942</v>
      </c>
      <c r="J366" s="24">
        <f t="shared" si="222"/>
        <v>15424.924879999999</v>
      </c>
      <c r="K366" s="24">
        <f t="shared" si="222"/>
        <v>15201.22782</v>
      </c>
      <c r="L366" s="24">
        <f t="shared" si="222"/>
        <v>15061.914640000001</v>
      </c>
      <c r="M366" s="24">
        <f t="shared" si="222"/>
        <v>14274.03796</v>
      </c>
      <c r="N366" s="24">
        <f t="shared" si="222"/>
        <v>15323.385340000001</v>
      </c>
      <c r="O366" s="24">
        <f t="shared" ref="O366:Q366" si="223">SUM(O364:O365)</f>
        <v>14956.13308</v>
      </c>
      <c r="P366" s="24">
        <f t="shared" si="223"/>
        <v>15369.270120000001</v>
      </c>
      <c r="Q366" s="24">
        <f t="shared" si="223"/>
        <v>10084.626240000001</v>
      </c>
      <c r="R366" s="24">
        <f>SUM(R364:R365)</f>
        <v>177190.76191999999</v>
      </c>
    </row>
    <row r="367" spans="1:18" s="30" customFormat="1" x14ac:dyDescent="0.2">
      <c r="A367" s="30" t="s">
        <v>147</v>
      </c>
      <c r="B367" s="30" t="s">
        <v>21</v>
      </c>
      <c r="D367" s="30">
        <v>85</v>
      </c>
      <c r="F367" s="74">
        <f>'(R) Data'!C59</f>
        <v>0</v>
      </c>
      <c r="G367" s="74">
        <f>'(R) Data'!D59</f>
        <v>0</v>
      </c>
      <c r="H367" s="74">
        <f>'(R) Data'!E59</f>
        <v>0</v>
      </c>
      <c r="I367" s="74">
        <f>'(R) Data'!F59</f>
        <v>0</v>
      </c>
      <c r="J367" s="74">
        <f>'(R) Data'!G59</f>
        <v>0</v>
      </c>
      <c r="K367" s="74">
        <f>'(R) Data'!H59</f>
        <v>0</v>
      </c>
      <c r="L367" s="74">
        <f>'(R) Data'!I59</f>
        <v>0</v>
      </c>
      <c r="M367" s="74">
        <f>'(R) Data'!J59</f>
        <v>0</v>
      </c>
      <c r="N367" s="74">
        <f>'(R) Data'!K59</f>
        <v>0</v>
      </c>
      <c r="O367" s="74">
        <f>'(R) Data'!L59</f>
        <v>0</v>
      </c>
      <c r="P367" s="74">
        <f>'(R) Data'!M59</f>
        <v>0</v>
      </c>
      <c r="Q367" s="74">
        <f>'(R) Data'!N59</f>
        <v>0</v>
      </c>
      <c r="R367" s="70">
        <f>SUM(F367:Q367)</f>
        <v>0</v>
      </c>
    </row>
    <row r="368" spans="1:18" s="30" customFormat="1" x14ac:dyDescent="0.2">
      <c r="A368"/>
      <c r="B368" t="s">
        <v>25</v>
      </c>
      <c r="C368"/>
      <c r="D368"/>
      <c r="E368"/>
      <c r="F368" s="40">
        <f t="shared" ref="F368:N368" si="224">F360+F365</f>
        <v>201474.3638964</v>
      </c>
      <c r="G368" s="40">
        <f t="shared" si="224"/>
        <v>186705.72370099995</v>
      </c>
      <c r="H368" s="40">
        <f t="shared" si="224"/>
        <v>220796.10495040001</v>
      </c>
      <c r="I368" s="40">
        <f t="shared" si="224"/>
        <v>344784.58072660002</v>
      </c>
      <c r="J368" s="40">
        <f t="shared" si="224"/>
        <v>427187.47704500001</v>
      </c>
      <c r="K368" s="40">
        <f t="shared" si="224"/>
        <v>511375.20195159997</v>
      </c>
      <c r="L368" s="40">
        <f t="shared" si="224"/>
        <v>488176.6907178</v>
      </c>
      <c r="M368" s="40">
        <f t="shared" si="224"/>
        <v>421761.49446760002</v>
      </c>
      <c r="N368" s="40">
        <f t="shared" si="224"/>
        <v>451325.6768972</v>
      </c>
      <c r="O368" s="40">
        <f t="shared" ref="O368:Q368" si="225">O360+O365</f>
        <v>344904.84524719999</v>
      </c>
      <c r="P368" s="40">
        <f t="shared" si="225"/>
        <v>255788.0562972</v>
      </c>
      <c r="Q368" s="40">
        <f t="shared" si="225"/>
        <v>196457.28422880001</v>
      </c>
      <c r="R368" s="40">
        <f>SUM(F368:Q368)</f>
        <v>4050737.5001267996</v>
      </c>
    </row>
    <row r="369" spans="1:37" s="30" customFormat="1" x14ac:dyDescent="0.2">
      <c r="A369"/>
      <c r="B369" t="s">
        <v>24</v>
      </c>
      <c r="C369"/>
      <c r="D369"/>
      <c r="E369"/>
      <c r="F369" s="24">
        <f>F354+F359+F360+F361+F362+F366+F367</f>
        <v>289423.01321683812</v>
      </c>
      <c r="G369" s="24">
        <f t="shared" ref="G369:R369" si="226">G354+G359+G360+G361+G362+G366+G367</f>
        <v>270357.38184239337</v>
      </c>
      <c r="H369" s="24">
        <f t="shared" si="226"/>
        <v>312337.12502593093</v>
      </c>
      <c r="I369" s="24">
        <f t="shared" si="226"/>
        <v>469838.20521364862</v>
      </c>
      <c r="J369" s="24">
        <f t="shared" si="226"/>
        <v>571173.06167767919</v>
      </c>
      <c r="K369" s="24">
        <f t="shared" si="226"/>
        <v>675179.70306248078</v>
      </c>
      <c r="L369" s="24">
        <f t="shared" si="226"/>
        <v>645801.16948687716</v>
      </c>
      <c r="M369" s="24">
        <f t="shared" si="226"/>
        <v>563130.90540793864</v>
      </c>
      <c r="N369" s="24">
        <f t="shared" si="226"/>
        <v>601778.59501157328</v>
      </c>
      <c r="O369" s="24">
        <f t="shared" si="226"/>
        <v>469920.54831734853</v>
      </c>
      <c r="P369" s="24">
        <f t="shared" si="226"/>
        <v>358974.58306194004</v>
      </c>
      <c r="Q369" s="24">
        <f t="shared" si="226"/>
        <v>278794.12584575004</v>
      </c>
      <c r="R369" s="24">
        <f t="shared" si="226"/>
        <v>5506708.4171703989</v>
      </c>
    </row>
    <row r="370" spans="1:37" s="30" customFormat="1" x14ac:dyDescent="0.2">
      <c r="A370"/>
      <c r="B370"/>
      <c r="C370"/>
      <c r="D370"/>
      <c r="E370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100"/>
    </row>
    <row r="371" spans="1:37" s="30" customFormat="1" x14ac:dyDescent="0.2">
      <c r="A371" t="s">
        <v>305</v>
      </c>
      <c r="B371" t="s">
        <v>304</v>
      </c>
      <c r="C371"/>
      <c r="D371"/>
      <c r="E371"/>
      <c r="F371" s="23">
        <f t="shared" ref="F371:N371" si="227">F340*F349+F350*F341</f>
        <v>192301.61593343999</v>
      </c>
      <c r="G371" s="23">
        <f t="shared" si="227"/>
        <v>178204.75012959994</v>
      </c>
      <c r="H371" s="23">
        <f t="shared" si="227"/>
        <v>210746.67613183998</v>
      </c>
      <c r="I371" s="23">
        <f t="shared" si="227"/>
        <v>329099.35272736003</v>
      </c>
      <c r="J371" s="23">
        <f t="shared" si="227"/>
        <v>407757.178992</v>
      </c>
      <c r="K371" s="23">
        <f t="shared" si="227"/>
        <v>488118.98128736002</v>
      </c>
      <c r="L371" s="23">
        <f t="shared" si="227"/>
        <v>465974.93226688</v>
      </c>
      <c r="M371" s="23">
        <f t="shared" si="227"/>
        <v>402578.95644096</v>
      </c>
      <c r="N371" s="23">
        <f t="shared" si="227"/>
        <v>430798.45279711997</v>
      </c>
      <c r="O371" s="23">
        <f t="shared" ref="O371:Q371" si="228">O340*O349+O350*O341</f>
        <v>329214.58603711991</v>
      </c>
      <c r="P371" s="23">
        <f t="shared" si="228"/>
        <v>244147.54379712002</v>
      </c>
      <c r="Q371" s="23">
        <f t="shared" si="228"/>
        <v>187518.55669247999</v>
      </c>
      <c r="R371" s="100">
        <f>SUM(F371:Q371)</f>
        <v>3866461.5832332796</v>
      </c>
    </row>
    <row r="372" spans="1:37" s="30" customFormat="1" x14ac:dyDescent="0.2">
      <c r="Y372" s="34"/>
      <c r="Z372" s="34"/>
      <c r="AA372" s="34"/>
      <c r="AB372" s="34"/>
      <c r="AC372" s="34"/>
      <c r="AD372" s="34"/>
      <c r="AE372" s="34"/>
      <c r="AF372" s="34"/>
      <c r="AG372" s="34"/>
      <c r="AH372" s="34"/>
      <c r="AI372" s="34"/>
      <c r="AJ372" s="34"/>
      <c r="AK372" s="70"/>
    </row>
    <row r="373" spans="1:37" s="30" customFormat="1" x14ac:dyDescent="0.2">
      <c r="A373"/>
      <c r="B373" s="15" t="s">
        <v>97</v>
      </c>
      <c r="C373" s="15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</row>
    <row r="374" spans="1:37" s="30" customFormat="1" x14ac:dyDescent="0.2">
      <c r="A374"/>
      <c r="B374" s="15" t="s">
        <v>7</v>
      </c>
      <c r="C374" s="15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</row>
    <row r="375" spans="1:37" s="30" customFormat="1" x14ac:dyDescent="0.2">
      <c r="A375"/>
      <c r="B375" t="s">
        <v>282</v>
      </c>
      <c r="C375"/>
      <c r="D375">
        <v>85</v>
      </c>
      <c r="E375" t="s">
        <v>5</v>
      </c>
      <c r="F375" s="17">
        <f t="shared" ref="F375:Q375" si="229">F328</f>
        <v>548.57000000000005</v>
      </c>
      <c r="G375" s="17">
        <f t="shared" si="229"/>
        <v>548.57000000000005</v>
      </c>
      <c r="H375" s="17">
        <f t="shared" si="229"/>
        <v>548.57000000000005</v>
      </c>
      <c r="I375" s="17">
        <f t="shared" si="229"/>
        <v>548.57000000000005</v>
      </c>
      <c r="J375" s="17">
        <f t="shared" si="229"/>
        <v>548.57000000000005</v>
      </c>
      <c r="K375" s="17">
        <f t="shared" si="229"/>
        <v>548.57000000000005</v>
      </c>
      <c r="L375" s="17">
        <f t="shared" si="229"/>
        <v>548.57000000000005</v>
      </c>
      <c r="M375" s="17">
        <f t="shared" si="229"/>
        <v>548.57000000000005</v>
      </c>
      <c r="N375" s="17">
        <f t="shared" si="229"/>
        <v>548.57000000000005</v>
      </c>
      <c r="O375" s="17">
        <f t="shared" si="229"/>
        <v>548.57000000000005</v>
      </c>
      <c r="P375" s="17">
        <f t="shared" si="229"/>
        <v>548.57000000000005</v>
      </c>
      <c r="Q375" s="17">
        <f t="shared" si="229"/>
        <v>548.57000000000005</v>
      </c>
      <c r="R375" s="26"/>
    </row>
    <row r="376" spans="1:37" s="30" customFormat="1" x14ac:dyDescent="0.2">
      <c r="A376"/>
      <c r="B376" t="s">
        <v>3</v>
      </c>
      <c r="C376"/>
      <c r="D376"/>
      <c r="E376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20"/>
    </row>
    <row r="377" spans="1:37" s="30" customFormat="1" x14ac:dyDescent="0.2">
      <c r="A377"/>
      <c r="B377"/>
      <c r="C377" t="s">
        <v>56</v>
      </c>
      <c r="D377">
        <v>85</v>
      </c>
      <c r="E377" t="s">
        <v>6</v>
      </c>
      <c r="F377" s="18">
        <f t="shared" ref="F377:Q377" si="230">F330</f>
        <v>9.9360000000000004E-2</v>
      </c>
      <c r="G377" s="18">
        <f t="shared" si="230"/>
        <v>9.9360000000000004E-2</v>
      </c>
      <c r="H377" s="18">
        <f t="shared" si="230"/>
        <v>9.9360000000000004E-2</v>
      </c>
      <c r="I377" s="18">
        <f t="shared" si="230"/>
        <v>9.9360000000000004E-2</v>
      </c>
      <c r="J377" s="18">
        <f t="shared" si="230"/>
        <v>9.9360000000000004E-2</v>
      </c>
      <c r="K377" s="18">
        <f t="shared" si="230"/>
        <v>9.9360000000000004E-2</v>
      </c>
      <c r="L377" s="18">
        <f t="shared" si="230"/>
        <v>9.9360000000000004E-2</v>
      </c>
      <c r="M377" s="18">
        <f t="shared" si="230"/>
        <v>9.9360000000000004E-2</v>
      </c>
      <c r="N377" s="18">
        <f t="shared" si="230"/>
        <v>9.9360000000000004E-2</v>
      </c>
      <c r="O377" s="18">
        <f t="shared" si="230"/>
        <v>9.9360000000000004E-2</v>
      </c>
      <c r="P377" s="18">
        <f t="shared" si="230"/>
        <v>9.9360000000000004E-2</v>
      </c>
      <c r="Q377" s="18">
        <f t="shared" si="230"/>
        <v>9.9360000000000004E-2</v>
      </c>
      <c r="R377" s="20"/>
    </row>
    <row r="378" spans="1:37" s="30" customFormat="1" x14ac:dyDescent="0.2">
      <c r="A378"/>
      <c r="B378"/>
      <c r="C378" t="s">
        <v>57</v>
      </c>
      <c r="D378">
        <v>85</v>
      </c>
      <c r="E378" t="s">
        <v>6</v>
      </c>
      <c r="F378" s="18">
        <f t="shared" ref="F378:Q378" si="231">F331</f>
        <v>4.9169999999999998E-2</v>
      </c>
      <c r="G378" s="18">
        <f t="shared" si="231"/>
        <v>4.9169999999999998E-2</v>
      </c>
      <c r="H378" s="18">
        <f t="shared" si="231"/>
        <v>4.9169999999999998E-2</v>
      </c>
      <c r="I378" s="18">
        <f t="shared" si="231"/>
        <v>4.9169999999999998E-2</v>
      </c>
      <c r="J378" s="18">
        <f t="shared" si="231"/>
        <v>4.9169999999999998E-2</v>
      </c>
      <c r="K378" s="18">
        <f t="shared" si="231"/>
        <v>4.9169999999999998E-2</v>
      </c>
      <c r="L378" s="18">
        <f t="shared" si="231"/>
        <v>4.9169999999999998E-2</v>
      </c>
      <c r="M378" s="18">
        <f t="shared" si="231"/>
        <v>4.9169999999999998E-2</v>
      </c>
      <c r="N378" s="18">
        <f t="shared" si="231"/>
        <v>4.9169999999999998E-2</v>
      </c>
      <c r="O378" s="18">
        <f t="shared" si="231"/>
        <v>4.9169999999999998E-2</v>
      </c>
      <c r="P378" s="18">
        <f t="shared" si="231"/>
        <v>4.9169999999999998E-2</v>
      </c>
      <c r="Q378" s="18">
        <f t="shared" si="231"/>
        <v>4.9169999999999998E-2</v>
      </c>
      <c r="R378" s="20"/>
    </row>
    <row r="379" spans="1:37" s="30" customFormat="1" x14ac:dyDescent="0.2">
      <c r="A379"/>
      <c r="B379"/>
      <c r="C379" t="s">
        <v>58</v>
      </c>
      <c r="D379">
        <v>85</v>
      </c>
      <c r="E379" t="s">
        <v>6</v>
      </c>
      <c r="F379" s="18">
        <f t="shared" ref="F379:Q379" si="232">F332</f>
        <v>4.7039999999999998E-2</v>
      </c>
      <c r="G379" s="18">
        <f t="shared" si="232"/>
        <v>4.7039999999999998E-2</v>
      </c>
      <c r="H379" s="18">
        <f t="shared" si="232"/>
        <v>4.7039999999999998E-2</v>
      </c>
      <c r="I379" s="18">
        <f t="shared" si="232"/>
        <v>4.7039999999999998E-2</v>
      </c>
      <c r="J379" s="18">
        <f t="shared" si="232"/>
        <v>4.7039999999999998E-2</v>
      </c>
      <c r="K379" s="18">
        <f t="shared" si="232"/>
        <v>4.7039999999999998E-2</v>
      </c>
      <c r="L379" s="18">
        <f t="shared" si="232"/>
        <v>4.7039999999999998E-2</v>
      </c>
      <c r="M379" s="18">
        <f t="shared" si="232"/>
        <v>4.7039999999999998E-2</v>
      </c>
      <c r="N379" s="18">
        <f t="shared" si="232"/>
        <v>4.7039999999999998E-2</v>
      </c>
      <c r="O379" s="18">
        <f t="shared" si="232"/>
        <v>4.7039999999999998E-2</v>
      </c>
      <c r="P379" s="18">
        <f t="shared" si="232"/>
        <v>4.7039999999999998E-2</v>
      </c>
      <c r="Q379" s="18">
        <f t="shared" si="232"/>
        <v>4.7039999999999998E-2</v>
      </c>
      <c r="R379" s="20"/>
    </row>
    <row r="380" spans="1:37" s="30" customFormat="1" x14ac:dyDescent="0.2">
      <c r="A380"/>
      <c r="B380" t="s">
        <v>303</v>
      </c>
      <c r="C380"/>
      <c r="D380">
        <v>101</v>
      </c>
      <c r="E380" t="s">
        <v>6</v>
      </c>
      <c r="F380" s="18">
        <f t="shared" ref="F380:Q380" si="233">F333</f>
        <v>0.2702</v>
      </c>
      <c r="G380" s="18">
        <f t="shared" si="233"/>
        <v>0.2702</v>
      </c>
      <c r="H380" s="18">
        <f t="shared" si="233"/>
        <v>0.2702</v>
      </c>
      <c r="I380" s="18">
        <f t="shared" si="233"/>
        <v>0.2702</v>
      </c>
      <c r="J380" s="18">
        <f t="shared" si="233"/>
        <v>0.2702</v>
      </c>
      <c r="K380" s="18">
        <f t="shared" si="233"/>
        <v>0.2702</v>
      </c>
      <c r="L380" s="18">
        <f t="shared" si="233"/>
        <v>0.2702</v>
      </c>
      <c r="M380" s="18">
        <f t="shared" si="233"/>
        <v>0.2702</v>
      </c>
      <c r="N380" s="18">
        <f t="shared" si="233"/>
        <v>0.2702</v>
      </c>
      <c r="O380" s="18">
        <f t="shared" si="233"/>
        <v>0.2702</v>
      </c>
      <c r="P380" s="18">
        <f t="shared" si="233"/>
        <v>0.2702</v>
      </c>
      <c r="Q380" s="18">
        <f t="shared" si="233"/>
        <v>0.2702</v>
      </c>
      <c r="R380" s="20"/>
    </row>
    <row r="381" spans="1:37" s="30" customFormat="1" x14ac:dyDescent="0.2">
      <c r="A381"/>
      <c r="B381"/>
      <c r="C381" t="s">
        <v>61</v>
      </c>
      <c r="D381" s="21">
        <v>85</v>
      </c>
      <c r="E381" t="s">
        <v>6</v>
      </c>
      <c r="F381" s="18">
        <f t="shared" ref="F381:Q382" si="234">F334</f>
        <v>7.4700000000000001E-3</v>
      </c>
      <c r="G381" s="18">
        <f t="shared" si="234"/>
        <v>7.4700000000000001E-3</v>
      </c>
      <c r="H381" s="18">
        <f t="shared" si="234"/>
        <v>7.4700000000000001E-3</v>
      </c>
      <c r="I381" s="18">
        <f t="shared" si="234"/>
        <v>7.4700000000000001E-3</v>
      </c>
      <c r="J381" s="18">
        <f t="shared" si="234"/>
        <v>7.4700000000000001E-3</v>
      </c>
      <c r="K381" s="18">
        <f t="shared" si="234"/>
        <v>7.4700000000000001E-3</v>
      </c>
      <c r="L381" s="18">
        <f t="shared" si="234"/>
        <v>7.4700000000000001E-3</v>
      </c>
      <c r="M381" s="18">
        <f t="shared" si="234"/>
        <v>7.4700000000000001E-3</v>
      </c>
      <c r="N381" s="18">
        <f t="shared" si="234"/>
        <v>7.4700000000000001E-3</v>
      </c>
      <c r="O381" s="18">
        <f t="shared" si="234"/>
        <v>7.4700000000000001E-3</v>
      </c>
      <c r="P381" s="18">
        <f t="shared" si="234"/>
        <v>7.4700000000000001E-3</v>
      </c>
      <c r="Q381" s="18">
        <f t="shared" si="234"/>
        <v>7.4700000000000001E-3</v>
      </c>
      <c r="R381" s="20"/>
    </row>
    <row r="382" spans="1:37" s="30" customFormat="1" x14ac:dyDescent="0.2">
      <c r="A382"/>
      <c r="B382" t="s">
        <v>550</v>
      </c>
      <c r="C382"/>
      <c r="D382" s="21">
        <v>149</v>
      </c>
      <c r="E382" t="s">
        <v>6</v>
      </c>
      <c r="F382" s="18">
        <f t="shared" si="234"/>
        <v>3.31E-3</v>
      </c>
      <c r="G382" s="18">
        <f t="shared" si="234"/>
        <v>3.31E-3</v>
      </c>
      <c r="H382" s="18">
        <f t="shared" si="234"/>
        <v>3.31E-3</v>
      </c>
      <c r="I382" s="18">
        <f t="shared" si="234"/>
        <v>3.31E-3</v>
      </c>
      <c r="J382" s="18">
        <f t="shared" si="234"/>
        <v>3.31E-3</v>
      </c>
      <c r="K382" s="18">
        <f t="shared" si="234"/>
        <v>3.31E-3</v>
      </c>
      <c r="L382" s="18">
        <f t="shared" si="234"/>
        <v>3.31E-3</v>
      </c>
      <c r="M382" s="18">
        <f t="shared" si="234"/>
        <v>3.31E-3</v>
      </c>
      <c r="N382" s="18">
        <f t="shared" si="234"/>
        <v>3.31E-3</v>
      </c>
      <c r="O382" s="18">
        <f t="shared" si="234"/>
        <v>3.31E-3</v>
      </c>
      <c r="P382" s="18">
        <f t="shared" si="234"/>
        <v>3.31E-3</v>
      </c>
      <c r="Q382" s="18">
        <f t="shared" si="234"/>
        <v>3.31E-3</v>
      </c>
      <c r="R382" s="20"/>
    </row>
    <row r="383" spans="1:37" s="30" customFormat="1" x14ac:dyDescent="0.2">
      <c r="A383"/>
      <c r="B383" t="s">
        <v>18</v>
      </c>
      <c r="C383"/>
      <c r="D383"/>
      <c r="E383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</row>
    <row r="384" spans="1:37" s="30" customFormat="1" x14ac:dyDescent="0.2">
      <c r="A384"/>
      <c r="B384"/>
      <c r="C384" t="s">
        <v>19</v>
      </c>
      <c r="D384">
        <v>101</v>
      </c>
      <c r="E384" t="s">
        <v>6</v>
      </c>
      <c r="F384" s="112">
        <f t="shared" ref="F384:Q384" si="235">F337</f>
        <v>1.21</v>
      </c>
      <c r="G384" s="112">
        <f t="shared" si="235"/>
        <v>1.21</v>
      </c>
      <c r="H384" s="112">
        <f t="shared" si="235"/>
        <v>1.21</v>
      </c>
      <c r="I384" s="112">
        <f t="shared" si="235"/>
        <v>1.21</v>
      </c>
      <c r="J384" s="112">
        <f t="shared" si="235"/>
        <v>1.21</v>
      </c>
      <c r="K384" s="112">
        <f t="shared" si="235"/>
        <v>1.21</v>
      </c>
      <c r="L384" s="112">
        <f t="shared" si="235"/>
        <v>1.21</v>
      </c>
      <c r="M384" s="112">
        <f t="shared" si="235"/>
        <v>1.21</v>
      </c>
      <c r="N384" s="112">
        <f t="shared" si="235"/>
        <v>1.21</v>
      </c>
      <c r="O384" s="112">
        <f t="shared" si="235"/>
        <v>1.21</v>
      </c>
      <c r="P384" s="112">
        <f t="shared" si="235"/>
        <v>1.21</v>
      </c>
      <c r="Q384" s="112">
        <f t="shared" si="235"/>
        <v>1.21</v>
      </c>
      <c r="R384" s="20"/>
    </row>
    <row r="385" spans="1:19" s="30" customFormat="1" x14ac:dyDescent="0.2">
      <c r="C385" s="30" t="s">
        <v>20</v>
      </c>
      <c r="D385" s="30">
        <v>101</v>
      </c>
      <c r="E385" s="30" t="s">
        <v>6</v>
      </c>
      <c r="F385" s="49">
        <f t="shared" ref="F385:Q385" si="236">F338</f>
        <v>1.05</v>
      </c>
      <c r="G385" s="49">
        <f t="shared" si="236"/>
        <v>1.05</v>
      </c>
      <c r="H385" s="49">
        <f t="shared" si="236"/>
        <v>1.05</v>
      </c>
      <c r="I385" s="49">
        <f t="shared" si="236"/>
        <v>1.05</v>
      </c>
      <c r="J385" s="49">
        <f t="shared" si="236"/>
        <v>1.05</v>
      </c>
      <c r="K385" s="49">
        <f t="shared" si="236"/>
        <v>1.05</v>
      </c>
      <c r="L385" s="49">
        <f t="shared" si="236"/>
        <v>1.05</v>
      </c>
      <c r="M385" s="49">
        <f t="shared" si="236"/>
        <v>1.05</v>
      </c>
      <c r="N385" s="49">
        <f t="shared" si="236"/>
        <v>1.05</v>
      </c>
      <c r="O385" s="49">
        <f t="shared" si="236"/>
        <v>1.05</v>
      </c>
      <c r="P385" s="49">
        <f t="shared" si="236"/>
        <v>1.05</v>
      </c>
      <c r="Q385" s="49">
        <f t="shared" si="236"/>
        <v>1.05</v>
      </c>
      <c r="R385" s="65"/>
    </row>
    <row r="386" spans="1:19" s="30" customFormat="1" x14ac:dyDescent="0.2">
      <c r="B386" s="30" t="s">
        <v>21</v>
      </c>
      <c r="D386" s="30">
        <v>85</v>
      </c>
      <c r="E386" s="30" t="s">
        <v>22</v>
      </c>
      <c r="F386" s="49"/>
      <c r="G386" s="49"/>
      <c r="H386" s="49"/>
      <c r="I386" s="49"/>
      <c r="J386" s="49"/>
      <c r="K386" s="49"/>
      <c r="L386" s="49"/>
      <c r="M386" s="49"/>
      <c r="N386" s="49"/>
      <c r="O386" s="49"/>
      <c r="P386" s="49"/>
      <c r="Q386" s="49"/>
      <c r="R386" s="65"/>
    </row>
    <row r="387" spans="1:19" s="30" customFormat="1" x14ac:dyDescent="0.2">
      <c r="B387" s="30" t="s">
        <v>304</v>
      </c>
      <c r="F387" s="18">
        <f t="shared" ref="F387:Q387" si="237">F340</f>
        <v>0.25791999999999998</v>
      </c>
      <c r="G387" s="18">
        <f t="shared" si="237"/>
        <v>0.25791999999999998</v>
      </c>
      <c r="H387" s="18">
        <f t="shared" si="237"/>
        <v>0.25791999999999998</v>
      </c>
      <c r="I387" s="18">
        <f t="shared" si="237"/>
        <v>0.25791999999999998</v>
      </c>
      <c r="J387" s="18">
        <f t="shared" si="237"/>
        <v>0.25791999999999998</v>
      </c>
      <c r="K387" s="18">
        <f t="shared" si="237"/>
        <v>0.25791999999999998</v>
      </c>
      <c r="L387" s="18">
        <f t="shared" si="237"/>
        <v>0.25791999999999998</v>
      </c>
      <c r="M387" s="18">
        <f t="shared" si="237"/>
        <v>0.25791999999999998</v>
      </c>
      <c r="N387" s="18">
        <f t="shared" si="237"/>
        <v>0.25791999999999998</v>
      </c>
      <c r="O387" s="18">
        <f t="shared" si="237"/>
        <v>0.25791999999999998</v>
      </c>
      <c r="P387" s="18">
        <f t="shared" si="237"/>
        <v>0.25791999999999998</v>
      </c>
      <c r="Q387" s="18">
        <f t="shared" si="237"/>
        <v>0.25791999999999998</v>
      </c>
      <c r="R387" s="65"/>
    </row>
    <row r="388" spans="1:19" s="30" customFormat="1" x14ac:dyDescent="0.2">
      <c r="B388" s="30" t="s">
        <v>311</v>
      </c>
      <c r="F388" s="112">
        <f t="shared" ref="F388:Q388" si="238">F341</f>
        <v>1</v>
      </c>
      <c r="G388" s="112">
        <f t="shared" si="238"/>
        <v>1</v>
      </c>
      <c r="H388" s="112">
        <f t="shared" si="238"/>
        <v>1</v>
      </c>
      <c r="I388" s="112">
        <f t="shared" si="238"/>
        <v>1</v>
      </c>
      <c r="J388" s="112">
        <f t="shared" si="238"/>
        <v>1</v>
      </c>
      <c r="K388" s="112">
        <f t="shared" si="238"/>
        <v>1</v>
      </c>
      <c r="L388" s="112">
        <f t="shared" si="238"/>
        <v>1</v>
      </c>
      <c r="M388" s="112">
        <f t="shared" si="238"/>
        <v>1</v>
      </c>
      <c r="N388" s="112">
        <f t="shared" si="238"/>
        <v>1</v>
      </c>
      <c r="O388" s="112">
        <f t="shared" si="238"/>
        <v>1</v>
      </c>
      <c r="P388" s="112">
        <f t="shared" si="238"/>
        <v>1</v>
      </c>
      <c r="Q388" s="112">
        <f t="shared" si="238"/>
        <v>1</v>
      </c>
      <c r="R388" s="65"/>
    </row>
    <row r="389" spans="1:19" s="30" customFormat="1" x14ac:dyDescent="0.2"/>
    <row r="390" spans="1:19" s="30" customFormat="1" x14ac:dyDescent="0.2">
      <c r="B390" s="29" t="s">
        <v>8</v>
      </c>
    </row>
    <row r="391" spans="1:19" s="30" customFormat="1" x14ac:dyDescent="0.2">
      <c r="B391" s="30" t="s">
        <v>22</v>
      </c>
      <c r="E391" s="30" t="s">
        <v>22</v>
      </c>
      <c r="F391" s="76">
        <f>'(R) Data'!C24</f>
        <v>4.0689467709182781</v>
      </c>
      <c r="G391" s="156">
        <f>'(R) Data'!D24</f>
        <v>4.04005372475656</v>
      </c>
      <c r="H391" s="156">
        <f>'(R) Data'!E24</f>
        <v>3.967749156553301</v>
      </c>
      <c r="I391" s="156">
        <f>'(R) Data'!F24</f>
        <v>4.1100078348603315</v>
      </c>
      <c r="J391" s="156">
        <f>'(R) Data'!G24</f>
        <v>3.9844102268911592</v>
      </c>
      <c r="K391" s="156">
        <f>'(R) Data'!H24</f>
        <v>3.9576420884246191</v>
      </c>
      <c r="L391" s="156">
        <f>'(R) Data'!I24</f>
        <v>4.0277920564751035</v>
      </c>
      <c r="M391" s="156">
        <f>'(R) Data'!J24</f>
        <v>3.8663685274665016</v>
      </c>
      <c r="N391" s="156">
        <f>'(R) Data'!K24</f>
        <v>4.0635687604948423</v>
      </c>
      <c r="O391" s="156">
        <f>'(R) Data'!L24</f>
        <v>4.0043178780713475</v>
      </c>
      <c r="P391" s="156">
        <f>'(R) Data'!M24</f>
        <v>4.0188672366334286</v>
      </c>
      <c r="Q391" s="156">
        <f>'(R) Data'!N24</f>
        <v>3.9250961591045805</v>
      </c>
      <c r="R391" s="107">
        <f>SUM(F391:Q391)</f>
        <v>48.03482042065005</v>
      </c>
    </row>
    <row r="392" spans="1:19" s="30" customFormat="1" x14ac:dyDescent="0.2">
      <c r="B392" s="30" t="s">
        <v>30</v>
      </c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107"/>
    </row>
    <row r="393" spans="1:19" x14ac:dyDescent="0.2">
      <c r="A393" s="30"/>
      <c r="B393" s="30"/>
      <c r="C393" s="30" t="s">
        <v>56</v>
      </c>
      <c r="D393" s="30"/>
      <c r="E393" s="30" t="s">
        <v>10</v>
      </c>
      <c r="F393" s="161">
        <f>'(R) Therms By Block'!B44</f>
        <v>92736.415999999997</v>
      </c>
      <c r="G393" s="170">
        <f>'(R) Therms By Block'!C44</f>
        <v>88705.854999999996</v>
      </c>
      <c r="H393" s="170">
        <f>'(R) Therms By Block'!D44</f>
        <v>88846.324999999997</v>
      </c>
      <c r="I393" s="170">
        <f>'(R) Therms By Block'!E44</f>
        <v>96948.638000000006</v>
      </c>
      <c r="J393" s="170">
        <f>'(R) Therms By Block'!F44</f>
        <v>99609.741999999998</v>
      </c>
      <c r="K393" s="170">
        <f>'(R) Therms By Block'!G44</f>
        <v>98942.221999999994</v>
      </c>
      <c r="L393" s="170">
        <f>'(R) Therms By Block'!H44</f>
        <v>100694.553</v>
      </c>
      <c r="M393" s="170">
        <f>'(R) Therms By Block'!I44</f>
        <v>95970.812999999995</v>
      </c>
      <c r="N393" s="170">
        <f>'(R) Therms By Block'!J44</f>
        <v>99781.682000000001</v>
      </c>
      <c r="O393" s="170">
        <f>'(R) Therms By Block'!K44</f>
        <v>100107.56</v>
      </c>
      <c r="P393" s="170">
        <f>'(R) Therms By Block'!L44</f>
        <v>91522.342999999993</v>
      </c>
      <c r="Q393" s="170">
        <f>'(R) Therms By Block'!M44</f>
        <v>87325.294999999998</v>
      </c>
      <c r="R393" s="107">
        <f>SUM(F393:Q393)</f>
        <v>1141191.4439999997</v>
      </c>
      <c r="S393"/>
    </row>
    <row r="394" spans="1:19" x14ac:dyDescent="0.2">
      <c r="A394" s="30"/>
      <c r="B394" s="30"/>
      <c r="C394" s="30" t="s">
        <v>57</v>
      </c>
      <c r="D394" s="30"/>
      <c r="E394" s="30" t="s">
        <v>10</v>
      </c>
      <c r="F394" s="170">
        <f>'(R) Therms By Block'!B45</f>
        <v>25480.246999999999</v>
      </c>
      <c r="G394" s="170">
        <f>'(R) Therms By Block'!C45</f>
        <v>19372.763999999999</v>
      </c>
      <c r="H394" s="170">
        <f>'(R) Therms By Block'!D45</f>
        <v>28774.941999999999</v>
      </c>
      <c r="I394" s="170">
        <f>'(R) Therms By Block'!E45</f>
        <v>35709.906999999999</v>
      </c>
      <c r="J394" s="170">
        <f>'(R) Therms By Block'!F45</f>
        <v>45196.078000000001</v>
      </c>
      <c r="K394" s="170">
        <f>'(R) Therms By Block'!G45</f>
        <v>53216.502999999997</v>
      </c>
      <c r="L394" s="170">
        <f>'(R) Therms By Block'!H45</f>
        <v>47232.860999999997</v>
      </c>
      <c r="M394" s="170">
        <f>'(R) Therms By Block'!I45</f>
        <v>41418.798999999999</v>
      </c>
      <c r="N394" s="170">
        <f>'(R) Therms By Block'!J45</f>
        <v>37198.016000000003</v>
      </c>
      <c r="O394" s="170">
        <f>'(R) Therms By Block'!K45</f>
        <v>47052.500999999997</v>
      </c>
      <c r="P394" s="170">
        <f>'(R) Therms By Block'!L45</f>
        <v>35115.035000000003</v>
      </c>
      <c r="Q394" s="170">
        <f>'(R) Therms By Block'!M45</f>
        <v>24692.401000000002</v>
      </c>
      <c r="R394" s="107">
        <f>SUM(F394:Q394)</f>
        <v>440460.05400000006</v>
      </c>
      <c r="S394"/>
    </row>
    <row r="395" spans="1:19" s="30" customFormat="1" x14ac:dyDescent="0.2">
      <c r="C395" s="30" t="s">
        <v>58</v>
      </c>
      <c r="E395" s="30" t="s">
        <v>10</v>
      </c>
      <c r="F395" s="107">
        <f t="shared" ref="F395:N395" si="239">F396-SUM(F393:F394)</f>
        <v>0</v>
      </c>
      <c r="G395" s="107">
        <f t="shared" si="239"/>
        <v>0</v>
      </c>
      <c r="H395" s="107">
        <f t="shared" si="239"/>
        <v>0</v>
      </c>
      <c r="I395" s="107">
        <f t="shared" si="239"/>
        <v>0</v>
      </c>
      <c r="J395" s="107">
        <f t="shared" si="239"/>
        <v>5770.2039999999979</v>
      </c>
      <c r="K395" s="107">
        <f t="shared" si="239"/>
        <v>10783.439000000042</v>
      </c>
      <c r="L395" s="107">
        <f t="shared" si="239"/>
        <v>4855.9159999999974</v>
      </c>
      <c r="M395" s="107">
        <f t="shared" si="239"/>
        <v>6754.8839999999909</v>
      </c>
      <c r="N395" s="107">
        <f t="shared" si="239"/>
        <v>8416.9130000000005</v>
      </c>
      <c r="O395" s="107">
        <f t="shared" ref="O395:Q395" si="240">O396-SUM(O393:O394)</f>
        <v>2528.7159999999858</v>
      </c>
      <c r="P395" s="107">
        <f t="shared" si="240"/>
        <v>76.122000000003027</v>
      </c>
      <c r="Q395" s="107">
        <f t="shared" si="240"/>
        <v>0</v>
      </c>
      <c r="R395" s="107">
        <f>SUM(F395:Q395)</f>
        <v>39186.194000000018</v>
      </c>
    </row>
    <row r="396" spans="1:19" s="30" customFormat="1" x14ac:dyDescent="0.2">
      <c r="C396" s="30" t="s">
        <v>17</v>
      </c>
      <c r="E396" s="30" t="s">
        <v>10</v>
      </c>
      <c r="F396" s="111">
        <f>'Weather Adj'!D188</f>
        <v>118216.663</v>
      </c>
      <c r="G396" s="111">
        <f>'Weather Adj'!E188</f>
        <v>108078.61899999999</v>
      </c>
      <c r="H396" s="111">
        <f>'Weather Adj'!F188</f>
        <v>117621.26699999999</v>
      </c>
      <c r="I396" s="111">
        <f>'Weather Adj'!G188</f>
        <v>132658.54500000001</v>
      </c>
      <c r="J396" s="111">
        <f>'Weather Adj'!H188</f>
        <v>150576.024</v>
      </c>
      <c r="K396" s="111">
        <f>'Weather Adj'!I188</f>
        <v>162942.16400000002</v>
      </c>
      <c r="L396" s="111">
        <f>'Weather Adj'!J188</f>
        <v>152783.32999999999</v>
      </c>
      <c r="M396" s="111">
        <f>'Weather Adj'!K188</f>
        <v>144144.49599999998</v>
      </c>
      <c r="N396" s="111">
        <f>'Weather Adj'!L188</f>
        <v>145396.611</v>
      </c>
      <c r="O396" s="111">
        <f>'Weather Adj'!M188</f>
        <v>149688.77699999997</v>
      </c>
      <c r="P396" s="111">
        <f>'Weather Adj'!N188</f>
        <v>126713.5</v>
      </c>
      <c r="Q396" s="111">
        <f>'Weather Adj'!O188</f>
        <v>112017.696</v>
      </c>
      <c r="R396" s="109">
        <f>SUM(R393:R395)</f>
        <v>1620837.6919999998</v>
      </c>
    </row>
    <row r="397" spans="1:19" s="30" customFormat="1" x14ac:dyDescent="0.2">
      <c r="B397" s="30" t="s">
        <v>29</v>
      </c>
      <c r="E397" s="30" t="s">
        <v>100</v>
      </c>
      <c r="F397" s="76">
        <f>'(R) Data'!C44</f>
        <v>518.69000000000005</v>
      </c>
      <c r="G397" s="156">
        <f>'(R) Data'!D44</f>
        <v>510.01299999999998</v>
      </c>
      <c r="H397" s="156">
        <f>'(R) Data'!E44</f>
        <v>488.32299999999998</v>
      </c>
      <c r="I397" s="156">
        <f>'(R) Data'!F44</f>
        <v>513.17600000000004</v>
      </c>
      <c r="J397" s="156">
        <f>'(R) Data'!G44</f>
        <v>495.04300000000001</v>
      </c>
      <c r="K397" s="156">
        <f>'(R) Data'!H44</f>
        <v>490.26099999999997</v>
      </c>
      <c r="L397" s="156">
        <f>'(R) Data'!I44</f>
        <v>497.79899999999998</v>
      </c>
      <c r="M397" s="156">
        <f>'(R) Data'!J44</f>
        <v>465.29399999999998</v>
      </c>
      <c r="N397" s="156">
        <f>'(R) Data'!K44</f>
        <v>518.226</v>
      </c>
      <c r="O397" s="156">
        <f>'(R) Data'!L44</f>
        <v>498.14</v>
      </c>
      <c r="P397" s="156">
        <f>'(R) Data'!M44</f>
        <v>499.85300000000001</v>
      </c>
      <c r="Q397" s="156">
        <f>'(R) Data'!N44</f>
        <v>498.16500000000002</v>
      </c>
      <c r="R397" s="107">
        <f>SUM(F397:Q397)</f>
        <v>5992.9830000000002</v>
      </c>
    </row>
    <row r="398" spans="1:19" s="30" customFormat="1" x14ac:dyDescent="0.2">
      <c r="B398" s="30" t="s">
        <v>21</v>
      </c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107"/>
    </row>
    <row r="399" spans="1:19" s="30" customFormat="1" x14ac:dyDescent="0.2">
      <c r="K399" s="46"/>
      <c r="L399" s="46"/>
      <c r="M399" s="46"/>
      <c r="N399" s="46"/>
      <c r="O399" s="46"/>
      <c r="P399" s="46"/>
      <c r="Q399" s="46"/>
      <c r="R399" s="96"/>
    </row>
    <row r="400" spans="1:19" s="30" customFormat="1" x14ac:dyDescent="0.2">
      <c r="B400" s="29" t="s">
        <v>9</v>
      </c>
      <c r="R400" s="96"/>
    </row>
    <row r="401" spans="1:19" s="30" customFormat="1" x14ac:dyDescent="0.2">
      <c r="A401" s="30" t="s">
        <v>147</v>
      </c>
      <c r="B401" s="30" t="s">
        <v>282</v>
      </c>
      <c r="D401" s="30">
        <v>85</v>
      </c>
      <c r="F401" s="34">
        <f t="shared" ref="F401:N401" si="241">F375*F391</f>
        <v>2232.1021301226401</v>
      </c>
      <c r="G401" s="34">
        <f t="shared" si="241"/>
        <v>2216.2522717897064</v>
      </c>
      <c r="H401" s="34">
        <f t="shared" si="241"/>
        <v>2176.5881548104444</v>
      </c>
      <c r="I401" s="34">
        <f t="shared" si="241"/>
        <v>2254.6269979693325</v>
      </c>
      <c r="J401" s="34">
        <f t="shared" si="241"/>
        <v>2185.7279181656836</v>
      </c>
      <c r="K401" s="34">
        <f t="shared" si="241"/>
        <v>2171.0437204470936</v>
      </c>
      <c r="L401" s="34">
        <f t="shared" si="241"/>
        <v>2209.5258884205477</v>
      </c>
      <c r="M401" s="34">
        <f t="shared" si="241"/>
        <v>2120.9737831122989</v>
      </c>
      <c r="N401" s="34">
        <f t="shared" si="241"/>
        <v>2229.1519149446558</v>
      </c>
      <c r="O401" s="34">
        <f t="shared" ref="O401:Q401" si="242">O375*O391</f>
        <v>2196.6486583735991</v>
      </c>
      <c r="P401" s="34">
        <f t="shared" si="242"/>
        <v>2204.63</v>
      </c>
      <c r="Q401" s="34">
        <f t="shared" si="242"/>
        <v>2153.19</v>
      </c>
      <c r="R401" s="70">
        <f>SUM(F401:Q401)</f>
        <v>26350.461438155999</v>
      </c>
    </row>
    <row r="402" spans="1:19" s="30" customFormat="1" x14ac:dyDescent="0.2">
      <c r="A402"/>
      <c r="B402"/>
      <c r="C402" t="s">
        <v>3</v>
      </c>
      <c r="D402"/>
      <c r="E402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100"/>
    </row>
    <row r="403" spans="1:19" s="30" customFormat="1" x14ac:dyDescent="0.2">
      <c r="A403"/>
      <c r="B403"/>
      <c r="C403" t="s">
        <v>56</v>
      </c>
      <c r="D403">
        <v>85</v>
      </c>
      <c r="E403"/>
      <c r="F403" s="23">
        <f t="shared" ref="F403:N403" si="243">F377*F393</f>
        <v>9214.2902937599993</v>
      </c>
      <c r="G403" s="23">
        <f t="shared" si="243"/>
        <v>8813.8137528000007</v>
      </c>
      <c r="H403" s="23">
        <f t="shared" si="243"/>
        <v>8827.7708519999996</v>
      </c>
      <c r="I403" s="23">
        <f t="shared" si="243"/>
        <v>9632.8166716800006</v>
      </c>
      <c r="J403" s="23">
        <f t="shared" si="243"/>
        <v>9897.2239651199998</v>
      </c>
      <c r="K403" s="23">
        <f t="shared" si="243"/>
        <v>9830.8991779200005</v>
      </c>
      <c r="L403" s="23">
        <f t="shared" si="243"/>
        <v>10005.01078608</v>
      </c>
      <c r="M403" s="23">
        <f t="shared" si="243"/>
        <v>9535.6599796800001</v>
      </c>
      <c r="N403" s="23">
        <f t="shared" si="243"/>
        <v>9914.3079235200003</v>
      </c>
      <c r="O403" s="23">
        <f t="shared" ref="O403:Q403" si="244">O377*O393</f>
        <v>9946.6871616000008</v>
      </c>
      <c r="P403" s="23">
        <f t="shared" si="244"/>
        <v>9093.6600004800002</v>
      </c>
      <c r="Q403" s="23">
        <f t="shared" si="244"/>
        <v>8676.6413112000009</v>
      </c>
      <c r="R403" s="100">
        <f t="shared" ref="R403:R412" si="245">SUM(F403:Q403)</f>
        <v>113388.78187584</v>
      </c>
    </row>
    <row r="404" spans="1:19" s="30" customFormat="1" x14ac:dyDescent="0.2">
      <c r="A404"/>
      <c r="B404"/>
      <c r="C404" t="s">
        <v>57</v>
      </c>
      <c r="D404">
        <v>85</v>
      </c>
      <c r="E404"/>
      <c r="F404" s="23">
        <f t="shared" ref="F404:N404" si="246">F378*F394</f>
        <v>1252.86374499</v>
      </c>
      <c r="G404" s="23">
        <f t="shared" si="246"/>
        <v>952.55880587999991</v>
      </c>
      <c r="H404" s="23">
        <f t="shared" si="246"/>
        <v>1414.8638981399999</v>
      </c>
      <c r="I404" s="23">
        <f t="shared" si="246"/>
        <v>1755.8561271899998</v>
      </c>
      <c r="J404" s="23">
        <f t="shared" si="246"/>
        <v>2222.2911552599999</v>
      </c>
      <c r="K404" s="23">
        <f t="shared" si="246"/>
        <v>2616.6554525099996</v>
      </c>
      <c r="L404" s="23">
        <f t="shared" si="246"/>
        <v>2322.43977537</v>
      </c>
      <c r="M404" s="23">
        <f t="shared" si="246"/>
        <v>2036.5623468299998</v>
      </c>
      <c r="N404" s="23">
        <f t="shared" si="246"/>
        <v>1829.0264467200002</v>
      </c>
      <c r="O404" s="23">
        <f t="shared" ref="O404:Q404" si="247">O378*O394</f>
        <v>2313.5714741699999</v>
      </c>
      <c r="P404" s="23">
        <f t="shared" si="247"/>
        <v>1726.6062709500002</v>
      </c>
      <c r="Q404" s="23">
        <f t="shared" si="247"/>
        <v>1214.1253571700001</v>
      </c>
      <c r="R404" s="100">
        <f t="shared" si="245"/>
        <v>21657.42085518</v>
      </c>
    </row>
    <row r="405" spans="1:19" s="30" customFormat="1" x14ac:dyDescent="0.2">
      <c r="A405"/>
      <c r="B405"/>
      <c r="C405" t="s">
        <v>58</v>
      </c>
      <c r="D405">
        <v>85</v>
      </c>
      <c r="E405"/>
      <c r="F405" s="23">
        <f t="shared" ref="F405:N405" si="248">F379*F395</f>
        <v>0</v>
      </c>
      <c r="G405" s="23">
        <f t="shared" si="248"/>
        <v>0</v>
      </c>
      <c r="H405" s="23">
        <f t="shared" si="248"/>
        <v>0</v>
      </c>
      <c r="I405" s="23">
        <f t="shared" si="248"/>
        <v>0</v>
      </c>
      <c r="J405" s="23">
        <f t="shared" si="248"/>
        <v>271.43039615999987</v>
      </c>
      <c r="K405" s="23">
        <f t="shared" si="248"/>
        <v>507.25297056000198</v>
      </c>
      <c r="L405" s="23">
        <f t="shared" si="248"/>
        <v>228.42228863999986</v>
      </c>
      <c r="M405" s="23">
        <f t="shared" si="248"/>
        <v>317.74974335999957</v>
      </c>
      <c r="N405" s="23">
        <f t="shared" si="248"/>
        <v>395.93158751999999</v>
      </c>
      <c r="O405" s="23">
        <f t="shared" ref="O405:Q405" si="249">O379*O395</f>
        <v>118.95080063999933</v>
      </c>
      <c r="P405" s="23">
        <f t="shared" si="249"/>
        <v>3.5807788800001421</v>
      </c>
      <c r="Q405" s="23">
        <f t="shared" si="249"/>
        <v>0</v>
      </c>
      <c r="R405" s="100">
        <f t="shared" si="245"/>
        <v>1843.3185657600006</v>
      </c>
    </row>
    <row r="406" spans="1:19" s="30" customFormat="1" x14ac:dyDescent="0.2">
      <c r="A406" t="s">
        <v>147</v>
      </c>
      <c r="B406"/>
      <c r="C406" t="s">
        <v>26</v>
      </c>
      <c r="D406"/>
      <c r="E406"/>
      <c r="F406" s="24">
        <f t="shared" ref="F406:N406" si="250">SUM(F403:F405)</f>
        <v>10467.154038749999</v>
      </c>
      <c r="G406" s="24">
        <f t="shared" si="250"/>
        <v>9766.372558680001</v>
      </c>
      <c r="H406" s="24">
        <f t="shared" si="250"/>
        <v>10242.63475014</v>
      </c>
      <c r="I406" s="24">
        <f t="shared" si="250"/>
        <v>11388.67279887</v>
      </c>
      <c r="J406" s="24">
        <f t="shared" si="250"/>
        <v>12390.94551654</v>
      </c>
      <c r="K406" s="24">
        <f t="shared" si="250"/>
        <v>12954.807600990003</v>
      </c>
      <c r="L406" s="24">
        <f t="shared" si="250"/>
        <v>12555.87285009</v>
      </c>
      <c r="M406" s="24">
        <f t="shared" si="250"/>
        <v>11889.97206987</v>
      </c>
      <c r="N406" s="24">
        <f t="shared" si="250"/>
        <v>12139.265957759999</v>
      </c>
      <c r="O406" s="24">
        <f t="shared" ref="O406:Q406" si="251">SUM(O403:O405)</f>
        <v>12379.209436409999</v>
      </c>
      <c r="P406" s="24">
        <f t="shared" si="251"/>
        <v>10823.84705031</v>
      </c>
      <c r="Q406" s="24">
        <f t="shared" si="251"/>
        <v>9890.7666683700008</v>
      </c>
      <c r="R406" s="684">
        <f t="shared" si="245"/>
        <v>136889.52129678</v>
      </c>
    </row>
    <row r="407" spans="1:19" s="30" customFormat="1" x14ac:dyDescent="0.2">
      <c r="A407" s="30" t="s">
        <v>130</v>
      </c>
      <c r="B407" t="s">
        <v>303</v>
      </c>
      <c r="C407"/>
      <c r="D407">
        <v>101</v>
      </c>
      <c r="E407"/>
      <c r="F407" s="23">
        <f t="shared" ref="F407:N407" si="252">F380*F396</f>
        <v>31942.1423426</v>
      </c>
      <c r="G407" s="23">
        <f t="shared" si="252"/>
        <v>29202.842853799997</v>
      </c>
      <c r="H407" s="23">
        <f t="shared" si="252"/>
        <v>31781.266343399999</v>
      </c>
      <c r="I407" s="23">
        <f t="shared" si="252"/>
        <v>35844.338859000003</v>
      </c>
      <c r="J407" s="34">
        <f t="shared" si="252"/>
        <v>40685.641684800001</v>
      </c>
      <c r="K407" s="23">
        <f t="shared" si="252"/>
        <v>44026.972712800001</v>
      </c>
      <c r="L407" s="23">
        <f t="shared" si="252"/>
        <v>41282.055765999998</v>
      </c>
      <c r="M407" s="23">
        <f t="shared" si="252"/>
        <v>38947.842819199992</v>
      </c>
      <c r="N407" s="23">
        <f t="shared" si="252"/>
        <v>39286.164292200003</v>
      </c>
      <c r="O407" s="23">
        <f t="shared" ref="O407:Q407" si="253">O380*O396</f>
        <v>40445.90754539999</v>
      </c>
      <c r="P407" s="23">
        <f t="shared" si="253"/>
        <v>34237.987699999998</v>
      </c>
      <c r="Q407" s="23">
        <f t="shared" si="253"/>
        <v>30267.181459199997</v>
      </c>
      <c r="R407" s="100">
        <f t="shared" si="245"/>
        <v>437950.34437839995</v>
      </c>
    </row>
    <row r="408" spans="1:19" s="30" customFormat="1" x14ac:dyDescent="0.2">
      <c r="A408" s="50" t="s">
        <v>147</v>
      </c>
      <c r="B408" s="50" t="s">
        <v>61</v>
      </c>
      <c r="C408"/>
      <c r="D408" s="51">
        <v>85</v>
      </c>
      <c r="E408" s="50"/>
      <c r="F408" s="40">
        <f t="shared" ref="F408:N408" si="254">F381*F396</f>
        <v>883.07847261000006</v>
      </c>
      <c r="G408" s="40">
        <f t="shared" si="254"/>
        <v>807.34728392999989</v>
      </c>
      <c r="H408" s="40">
        <f t="shared" si="254"/>
        <v>878.63086448999991</v>
      </c>
      <c r="I408" s="40">
        <f t="shared" si="254"/>
        <v>990.95933115000014</v>
      </c>
      <c r="J408" s="40">
        <f t="shared" si="254"/>
        <v>1124.80289928</v>
      </c>
      <c r="K408" s="40">
        <f t="shared" si="254"/>
        <v>1217.1779650800001</v>
      </c>
      <c r="L408" s="40">
        <f t="shared" si="254"/>
        <v>1141.2914750999998</v>
      </c>
      <c r="M408" s="40">
        <f t="shared" si="254"/>
        <v>1076.7593851199999</v>
      </c>
      <c r="N408" s="40">
        <f t="shared" si="254"/>
        <v>1086.11268417</v>
      </c>
      <c r="O408" s="40">
        <f t="shared" ref="O408:Q408" si="255">O381*O396</f>
        <v>1118.1751641899998</v>
      </c>
      <c r="P408" s="40">
        <f t="shared" si="255"/>
        <v>946.549845</v>
      </c>
      <c r="Q408" s="40">
        <f t="shared" si="255"/>
        <v>836.77218912000001</v>
      </c>
      <c r="R408" s="97">
        <f t="shared" si="245"/>
        <v>12107.657559239999</v>
      </c>
    </row>
    <row r="409" spans="1:19" s="30" customFormat="1" x14ac:dyDescent="0.2">
      <c r="A409" s="50" t="s">
        <v>551</v>
      </c>
      <c r="B409" s="50" t="s">
        <v>552</v>
      </c>
      <c r="C409"/>
      <c r="D409" s="51">
        <v>149</v>
      </c>
      <c r="E409" s="50"/>
      <c r="F409" s="40">
        <f>F382*F396</f>
        <v>391.29715453</v>
      </c>
      <c r="G409" s="40">
        <f t="shared" ref="G409:Q409" si="256">G382*G396</f>
        <v>357.74022888999997</v>
      </c>
      <c r="H409" s="40">
        <f t="shared" si="256"/>
        <v>389.32639376999998</v>
      </c>
      <c r="I409" s="40">
        <f t="shared" si="256"/>
        <v>439.09978395000002</v>
      </c>
      <c r="J409" s="40">
        <f t="shared" si="256"/>
        <v>498.40663943999999</v>
      </c>
      <c r="K409" s="40">
        <f t="shared" si="256"/>
        <v>539.33856284000001</v>
      </c>
      <c r="L409" s="40">
        <f t="shared" si="256"/>
        <v>505.71282229999997</v>
      </c>
      <c r="M409" s="40">
        <f t="shared" si="256"/>
        <v>477.11828175999995</v>
      </c>
      <c r="N409" s="40">
        <f t="shared" si="256"/>
        <v>481.26278241</v>
      </c>
      <c r="O409" s="40">
        <f t="shared" si="256"/>
        <v>495.4698518699999</v>
      </c>
      <c r="P409" s="40">
        <f t="shared" si="256"/>
        <v>419.42168500000002</v>
      </c>
      <c r="Q409" s="40">
        <f t="shared" si="256"/>
        <v>370.77857375999997</v>
      </c>
      <c r="R409" s="97">
        <f t="shared" si="245"/>
        <v>5364.9727605199996</v>
      </c>
    </row>
    <row r="410" spans="1:19" s="30" customFormat="1" x14ac:dyDescent="0.2">
      <c r="A410"/>
      <c r="B410" t="s">
        <v>18</v>
      </c>
      <c r="C410"/>
      <c r="D410"/>
      <c r="E410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100">
        <f t="shared" si="245"/>
        <v>0</v>
      </c>
    </row>
    <row r="411" spans="1:19" s="30" customFormat="1" x14ac:dyDescent="0.2">
      <c r="A411" t="s">
        <v>147</v>
      </c>
      <c r="B411"/>
      <c r="C411" t="s">
        <v>19</v>
      </c>
      <c r="D411">
        <v>85</v>
      </c>
      <c r="E411"/>
      <c r="F411" s="23">
        <f t="shared" ref="F411:N411" si="257">F384*F397</f>
        <v>627.61490000000003</v>
      </c>
      <c r="G411" s="23">
        <f t="shared" si="257"/>
        <v>617.11572999999999</v>
      </c>
      <c r="H411" s="23">
        <f t="shared" si="257"/>
        <v>590.87082999999996</v>
      </c>
      <c r="I411" s="23">
        <f t="shared" si="257"/>
        <v>620.94296000000008</v>
      </c>
      <c r="J411" s="23">
        <f t="shared" si="257"/>
        <v>599.00202999999999</v>
      </c>
      <c r="K411" s="23">
        <f t="shared" si="257"/>
        <v>593.21580999999992</v>
      </c>
      <c r="L411" s="23">
        <f t="shared" si="257"/>
        <v>602.33678999999995</v>
      </c>
      <c r="M411" s="23">
        <f t="shared" si="257"/>
        <v>563.00573999999995</v>
      </c>
      <c r="N411" s="23">
        <f t="shared" si="257"/>
        <v>627.05345999999997</v>
      </c>
      <c r="O411" s="23">
        <f t="shared" ref="O411:Q411" si="258">O384*O397</f>
        <v>602.74939999999992</v>
      </c>
      <c r="P411" s="23">
        <f t="shared" si="258"/>
        <v>604.82213000000002</v>
      </c>
      <c r="Q411" s="23">
        <f t="shared" si="258"/>
        <v>602.77965000000006</v>
      </c>
      <c r="R411" s="100">
        <f t="shared" si="245"/>
        <v>7251.5094300000001</v>
      </c>
    </row>
    <row r="412" spans="1:19" s="30" customFormat="1" x14ac:dyDescent="0.2">
      <c r="A412" s="30" t="s">
        <v>130</v>
      </c>
      <c r="B412"/>
      <c r="C412" t="s">
        <v>20</v>
      </c>
      <c r="D412">
        <v>101</v>
      </c>
      <c r="E412"/>
      <c r="F412" s="23">
        <f t="shared" ref="F412:N412" si="259">F385*F397</f>
        <v>544.62450000000013</v>
      </c>
      <c r="G412" s="23">
        <f t="shared" si="259"/>
        <v>535.51364999999998</v>
      </c>
      <c r="H412" s="23">
        <f t="shared" si="259"/>
        <v>512.73915</v>
      </c>
      <c r="I412" s="23">
        <f t="shared" si="259"/>
        <v>538.83480000000009</v>
      </c>
      <c r="J412" s="34">
        <f t="shared" si="259"/>
        <v>519.79515000000004</v>
      </c>
      <c r="K412" s="23">
        <f t="shared" si="259"/>
        <v>514.77404999999999</v>
      </c>
      <c r="L412" s="23">
        <f t="shared" si="259"/>
        <v>522.68894999999998</v>
      </c>
      <c r="M412" s="23">
        <f t="shared" si="259"/>
        <v>488.55869999999999</v>
      </c>
      <c r="N412" s="23">
        <f t="shared" si="259"/>
        <v>544.13729999999998</v>
      </c>
      <c r="O412" s="23">
        <f t="shared" ref="O412:Q412" si="260">O385*O397</f>
        <v>523.04700000000003</v>
      </c>
      <c r="P412" s="23">
        <f t="shared" si="260"/>
        <v>524.84564999999998</v>
      </c>
      <c r="Q412" s="23">
        <f t="shared" si="260"/>
        <v>523.07325000000003</v>
      </c>
      <c r="R412" s="100">
        <f t="shared" si="245"/>
        <v>6292.6321500000013</v>
      </c>
    </row>
    <row r="413" spans="1:19" x14ac:dyDescent="0.2">
      <c r="C413" t="s">
        <v>23</v>
      </c>
      <c r="F413" s="24">
        <f t="shared" ref="F413:N413" si="261">SUM(F411:F412)</f>
        <v>1172.2394000000002</v>
      </c>
      <c r="G413" s="24">
        <f t="shared" si="261"/>
        <v>1152.6293799999999</v>
      </c>
      <c r="H413" s="24">
        <f t="shared" si="261"/>
        <v>1103.60998</v>
      </c>
      <c r="I413" s="24">
        <f t="shared" si="261"/>
        <v>1159.7777600000002</v>
      </c>
      <c r="J413" s="24">
        <f t="shared" si="261"/>
        <v>1118.79718</v>
      </c>
      <c r="K413" s="24">
        <f t="shared" si="261"/>
        <v>1107.9898599999999</v>
      </c>
      <c r="L413" s="24">
        <f t="shared" si="261"/>
        <v>1125.02574</v>
      </c>
      <c r="M413" s="24">
        <f t="shared" si="261"/>
        <v>1051.5644399999999</v>
      </c>
      <c r="N413" s="24">
        <f t="shared" si="261"/>
        <v>1171.19076</v>
      </c>
      <c r="O413" s="24">
        <f t="shared" ref="O413:Q413" si="262">SUM(O411:O412)</f>
        <v>1125.7963999999999</v>
      </c>
      <c r="P413" s="24">
        <f t="shared" si="262"/>
        <v>1129.66778</v>
      </c>
      <c r="Q413" s="24">
        <f t="shared" si="262"/>
        <v>1125.8529000000001</v>
      </c>
      <c r="R413" s="684">
        <f>SUM(R411:R412)</f>
        <v>13544.141580000001</v>
      </c>
      <c r="S413"/>
    </row>
    <row r="414" spans="1:19" x14ac:dyDescent="0.2">
      <c r="A414" s="30" t="s">
        <v>147</v>
      </c>
      <c r="B414" s="30" t="s">
        <v>21</v>
      </c>
      <c r="C414" s="30"/>
      <c r="D414" s="30">
        <v>85</v>
      </c>
      <c r="E414" s="30"/>
      <c r="F414" s="74">
        <f>'(R) Data'!C60</f>
        <v>0</v>
      </c>
      <c r="G414" s="74">
        <f>'(R) Data'!D60</f>
        <v>0</v>
      </c>
      <c r="H414" s="74">
        <f>'(R) Data'!E60</f>
        <v>0</v>
      </c>
      <c r="I414" s="74">
        <f>'(R) Data'!F60</f>
        <v>0</v>
      </c>
      <c r="J414" s="74">
        <f>'(R) Data'!G60</f>
        <v>0</v>
      </c>
      <c r="K414" s="74">
        <f>'(R) Data'!H60</f>
        <v>0</v>
      </c>
      <c r="L414" s="74">
        <f>'(R) Data'!I60</f>
        <v>0</v>
      </c>
      <c r="M414" s="74">
        <f>'(R) Data'!J60</f>
        <v>0</v>
      </c>
      <c r="N414" s="74">
        <f>'(R) Data'!K60</f>
        <v>0</v>
      </c>
      <c r="O414" s="74">
        <f>'(R) Data'!L60</f>
        <v>0</v>
      </c>
      <c r="P414" s="74">
        <f>'(R) Data'!M60</f>
        <v>0</v>
      </c>
      <c r="Q414" s="74">
        <f>'(R) Data'!N60</f>
        <v>0</v>
      </c>
      <c r="R414" s="70">
        <f>SUM(F414:Q414)</f>
        <v>0</v>
      </c>
      <c r="S414"/>
    </row>
    <row r="415" spans="1:19" x14ac:dyDescent="0.2">
      <c r="B415" t="s">
        <v>25</v>
      </c>
      <c r="F415" s="24">
        <f t="shared" ref="F415:N415" si="263">F407+F412</f>
        <v>32486.766842600002</v>
      </c>
      <c r="G415" s="24">
        <f t="shared" si="263"/>
        <v>29738.356503799998</v>
      </c>
      <c r="H415" s="24">
        <f t="shared" si="263"/>
        <v>32294.0054934</v>
      </c>
      <c r="I415" s="24">
        <f t="shared" si="263"/>
        <v>36383.173659</v>
      </c>
      <c r="J415" s="24">
        <f t="shared" si="263"/>
        <v>41205.436834799999</v>
      </c>
      <c r="K415" s="24">
        <f t="shared" si="263"/>
        <v>44541.746762800001</v>
      </c>
      <c r="L415" s="24">
        <f t="shared" si="263"/>
        <v>41804.744716000001</v>
      </c>
      <c r="M415" s="24">
        <f t="shared" si="263"/>
        <v>39436.401519199993</v>
      </c>
      <c r="N415" s="24">
        <f t="shared" si="263"/>
        <v>39830.301592200005</v>
      </c>
      <c r="O415" s="24">
        <f t="shared" ref="O415:Q415" si="264">O407+O412</f>
        <v>40968.954545399989</v>
      </c>
      <c r="P415" s="24">
        <f t="shared" si="264"/>
        <v>34762.833350000001</v>
      </c>
      <c r="Q415" s="24">
        <f t="shared" si="264"/>
        <v>30790.254709199999</v>
      </c>
      <c r="R415" s="684">
        <f>R407+R412</f>
        <v>444242.97652839997</v>
      </c>
      <c r="S415"/>
    </row>
    <row r="416" spans="1:19" x14ac:dyDescent="0.2">
      <c r="B416" t="s">
        <v>24</v>
      </c>
      <c r="F416" s="24">
        <f>F401+F406+F407+F408+F409+F413+F414</f>
        <v>47088.013538612642</v>
      </c>
      <c r="G416" s="24">
        <f t="shared" ref="G416:R416" si="265">G401+G406+G407+G408+G409+G413+G414</f>
        <v>43503.184577089705</v>
      </c>
      <c r="H416" s="24">
        <f t="shared" si="265"/>
        <v>46572.056486610447</v>
      </c>
      <c r="I416" s="24">
        <f t="shared" si="265"/>
        <v>52077.475530939329</v>
      </c>
      <c r="J416" s="24">
        <f t="shared" si="265"/>
        <v>58004.321838225689</v>
      </c>
      <c r="K416" s="24">
        <f t="shared" si="265"/>
        <v>62017.330422157102</v>
      </c>
      <c r="L416" s="24">
        <f t="shared" si="265"/>
        <v>58819.48454191054</v>
      </c>
      <c r="M416" s="24">
        <f t="shared" si="265"/>
        <v>55564.230779062287</v>
      </c>
      <c r="N416" s="24">
        <f t="shared" si="265"/>
        <v>56393.148391484654</v>
      </c>
      <c r="O416" s="24">
        <f t="shared" si="265"/>
        <v>57761.207056243584</v>
      </c>
      <c r="P416" s="24">
        <f t="shared" si="265"/>
        <v>49762.104060310005</v>
      </c>
      <c r="Q416" s="24">
        <f t="shared" si="265"/>
        <v>44644.541790449992</v>
      </c>
      <c r="R416" s="24">
        <f t="shared" si="265"/>
        <v>632207.09901309595</v>
      </c>
      <c r="S416"/>
    </row>
    <row r="417" spans="1:19" x14ac:dyDescent="0.2"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100"/>
      <c r="S417"/>
    </row>
    <row r="418" spans="1:19" x14ac:dyDescent="0.2">
      <c r="A418" t="s">
        <v>305</v>
      </c>
      <c r="B418" t="s">
        <v>304</v>
      </c>
      <c r="F418" s="23">
        <f t="shared" ref="F418:N418" si="266">F387*F396+F397*F388</f>
        <v>31009.131720959998</v>
      </c>
      <c r="G418" s="23">
        <f t="shared" si="266"/>
        <v>28385.650412479994</v>
      </c>
      <c r="H418" s="23">
        <f t="shared" si="266"/>
        <v>30825.200184639998</v>
      </c>
      <c r="I418" s="23">
        <f t="shared" si="266"/>
        <v>34728.467926400001</v>
      </c>
      <c r="J418" s="23">
        <f t="shared" si="266"/>
        <v>39331.611110079997</v>
      </c>
      <c r="K418" s="23">
        <f t="shared" si="266"/>
        <v>42516.303938880003</v>
      </c>
      <c r="L418" s="23">
        <f t="shared" si="266"/>
        <v>39903.675473599993</v>
      </c>
      <c r="M418" s="23">
        <f t="shared" si="266"/>
        <v>37643.042408319998</v>
      </c>
      <c r="N418" s="23">
        <f t="shared" si="266"/>
        <v>38018.919909119999</v>
      </c>
      <c r="O418" s="23">
        <f t="shared" ref="O418:Q418" si="267">O387*O396+O397*O388</f>
        <v>39105.869363839993</v>
      </c>
      <c r="P418" s="23">
        <f t="shared" si="267"/>
        <v>33181.798920000001</v>
      </c>
      <c r="Q418" s="23">
        <f t="shared" si="267"/>
        <v>29389.769152319997</v>
      </c>
      <c r="R418" s="100">
        <f>SUM(F418:Q418)</f>
        <v>424039.44052064</v>
      </c>
      <c r="S418"/>
    </row>
    <row r="420" spans="1:19" x14ac:dyDescent="0.2">
      <c r="A420" s="30"/>
      <c r="B420" s="29" t="s">
        <v>229</v>
      </c>
      <c r="C420" s="29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/>
    </row>
    <row r="421" spans="1:19" x14ac:dyDescent="0.2">
      <c r="B421" s="15" t="s">
        <v>7</v>
      </c>
      <c r="C421" s="15"/>
      <c r="D421" s="21"/>
      <c r="S421"/>
    </row>
    <row r="422" spans="1:19" s="30" customFormat="1" x14ac:dyDescent="0.2">
      <c r="A422"/>
      <c r="B422" t="s">
        <v>282</v>
      </c>
      <c r="C422"/>
      <c r="D422" s="21" t="s">
        <v>231</v>
      </c>
      <c r="E422" t="s">
        <v>5</v>
      </c>
      <c r="F422" s="159">
        <f>'Rate Design Int &amp; Trans'!$H$34</f>
        <v>877.69</v>
      </c>
      <c r="G422" s="159">
        <f>'Rate Design Int &amp; Trans'!$H$34</f>
        <v>877.69</v>
      </c>
      <c r="H422" s="159">
        <f>'Rate Design Int &amp; Trans'!$H$34</f>
        <v>877.69</v>
      </c>
      <c r="I422" s="159">
        <f>'Rate Design Int &amp; Trans'!$H$34</f>
        <v>877.69</v>
      </c>
      <c r="J422" s="159">
        <f>'Rate Design Int &amp; Trans'!$H$34</f>
        <v>877.69</v>
      </c>
      <c r="K422" s="159">
        <f>'Rate Design Int &amp; Trans'!$H$34</f>
        <v>877.69</v>
      </c>
      <c r="L422" s="159">
        <f>'Rate Design Int &amp; Trans'!$H$34</f>
        <v>877.69</v>
      </c>
      <c r="M422" s="159">
        <f>'Rate Design Int &amp; Trans'!$H$34</f>
        <v>877.69</v>
      </c>
      <c r="N422" s="159">
        <f>'Rate Design Int &amp; Trans'!$H$34</f>
        <v>877.69</v>
      </c>
      <c r="O422" s="159">
        <f>'Rate Design Int &amp; Trans'!$H$34</f>
        <v>877.69</v>
      </c>
      <c r="P422" s="159">
        <f>'Rate Design Int &amp; Trans'!$H$34</f>
        <v>877.69</v>
      </c>
      <c r="Q422" s="159">
        <f>'Rate Design Int &amp; Trans'!$H$34</f>
        <v>877.69</v>
      </c>
      <c r="R422"/>
    </row>
    <row r="423" spans="1:19" s="30" customFormat="1" x14ac:dyDescent="0.2">
      <c r="A423"/>
      <c r="B423" t="s">
        <v>3</v>
      </c>
      <c r="C423"/>
      <c r="D423" s="21"/>
      <c r="E423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/>
    </row>
    <row r="424" spans="1:19" s="30" customFormat="1" x14ac:dyDescent="0.2">
      <c r="A424"/>
      <c r="B424"/>
      <c r="C424" t="s">
        <v>56</v>
      </c>
      <c r="D424" s="21" t="s">
        <v>231</v>
      </c>
      <c r="E424" t="s">
        <v>6</v>
      </c>
      <c r="F424" s="131">
        <f>'Rate Design Int &amp; Trans'!$H$40</f>
        <v>9.9360000000000004E-2</v>
      </c>
      <c r="G424" s="131">
        <f>'Rate Design Int &amp; Trans'!$H$40</f>
        <v>9.9360000000000004E-2</v>
      </c>
      <c r="H424" s="131">
        <f>'Rate Design Int &amp; Trans'!$H$40</f>
        <v>9.9360000000000004E-2</v>
      </c>
      <c r="I424" s="131">
        <f>'Rate Design Int &amp; Trans'!$H$40</f>
        <v>9.9360000000000004E-2</v>
      </c>
      <c r="J424" s="131">
        <f>'Rate Design Int &amp; Trans'!$H$40</f>
        <v>9.9360000000000004E-2</v>
      </c>
      <c r="K424" s="131">
        <f>'Rate Design Int &amp; Trans'!$H$40</f>
        <v>9.9360000000000004E-2</v>
      </c>
      <c r="L424" s="131">
        <f>'Rate Design Int &amp; Trans'!$H$40</f>
        <v>9.9360000000000004E-2</v>
      </c>
      <c r="M424" s="131">
        <f>'Rate Design Int &amp; Trans'!$H$40</f>
        <v>9.9360000000000004E-2</v>
      </c>
      <c r="N424" s="131">
        <f>'Rate Design Int &amp; Trans'!$H$40</f>
        <v>9.9360000000000004E-2</v>
      </c>
      <c r="O424" s="131">
        <f>'Rate Design Int &amp; Trans'!$H$40</f>
        <v>9.9360000000000004E-2</v>
      </c>
      <c r="P424" s="131">
        <f>'Rate Design Int &amp; Trans'!$H$40</f>
        <v>9.9360000000000004E-2</v>
      </c>
      <c r="Q424" s="131">
        <f>'Rate Design Int &amp; Trans'!$H$40</f>
        <v>9.9360000000000004E-2</v>
      </c>
      <c r="R424"/>
    </row>
    <row r="425" spans="1:19" s="30" customFormat="1" x14ac:dyDescent="0.2">
      <c r="A425"/>
      <c r="B425"/>
      <c r="C425" t="s">
        <v>57</v>
      </c>
      <c r="D425" s="21" t="s">
        <v>231</v>
      </c>
      <c r="E425" t="s">
        <v>6</v>
      </c>
      <c r="F425" s="131">
        <f>'Rate Design Int &amp; Trans'!$H$41</f>
        <v>4.9169999999999998E-2</v>
      </c>
      <c r="G425" s="131">
        <f>'Rate Design Int &amp; Trans'!$H$41</f>
        <v>4.9169999999999998E-2</v>
      </c>
      <c r="H425" s="131">
        <f>'Rate Design Int &amp; Trans'!$H$41</f>
        <v>4.9169999999999998E-2</v>
      </c>
      <c r="I425" s="131">
        <f>'Rate Design Int &amp; Trans'!$H$41</f>
        <v>4.9169999999999998E-2</v>
      </c>
      <c r="J425" s="131">
        <f>'Rate Design Int &amp; Trans'!$H$41</f>
        <v>4.9169999999999998E-2</v>
      </c>
      <c r="K425" s="131">
        <f>'Rate Design Int &amp; Trans'!$H$41</f>
        <v>4.9169999999999998E-2</v>
      </c>
      <c r="L425" s="131">
        <f>'Rate Design Int &amp; Trans'!$H$41</f>
        <v>4.9169999999999998E-2</v>
      </c>
      <c r="M425" s="131">
        <f>'Rate Design Int &amp; Trans'!$H$41</f>
        <v>4.9169999999999998E-2</v>
      </c>
      <c r="N425" s="131">
        <f>'Rate Design Int &amp; Trans'!$H$41</f>
        <v>4.9169999999999998E-2</v>
      </c>
      <c r="O425" s="131">
        <f>'Rate Design Int &amp; Trans'!$H$41</f>
        <v>4.9169999999999998E-2</v>
      </c>
      <c r="P425" s="131">
        <f>'Rate Design Int &amp; Trans'!$H$41</f>
        <v>4.9169999999999998E-2</v>
      </c>
      <c r="Q425" s="131">
        <f>'Rate Design Int &amp; Trans'!$H$41</f>
        <v>4.9169999999999998E-2</v>
      </c>
      <c r="R425"/>
    </row>
    <row r="426" spans="1:19" s="30" customFormat="1" x14ac:dyDescent="0.2">
      <c r="A426"/>
      <c r="B426"/>
      <c r="C426" t="s">
        <v>58</v>
      </c>
      <c r="D426" s="21" t="s">
        <v>231</v>
      </c>
      <c r="E426" t="s">
        <v>6</v>
      </c>
      <c r="F426" s="131">
        <f>'Rate Design Int &amp; Trans'!$H$42</f>
        <v>4.7039999999999998E-2</v>
      </c>
      <c r="G426" s="131">
        <f>'Rate Design Int &amp; Trans'!$H$42</f>
        <v>4.7039999999999998E-2</v>
      </c>
      <c r="H426" s="131">
        <f>'Rate Design Int &amp; Trans'!$H$42</f>
        <v>4.7039999999999998E-2</v>
      </c>
      <c r="I426" s="131">
        <f>'Rate Design Int &amp; Trans'!$H$42</f>
        <v>4.7039999999999998E-2</v>
      </c>
      <c r="J426" s="131">
        <f>'Rate Design Int &amp; Trans'!$H$42</f>
        <v>4.7039999999999998E-2</v>
      </c>
      <c r="K426" s="131">
        <f>'Rate Design Int &amp; Trans'!$H$42</f>
        <v>4.7039999999999998E-2</v>
      </c>
      <c r="L426" s="131">
        <f>'Rate Design Int &amp; Trans'!$H$42</f>
        <v>4.7039999999999998E-2</v>
      </c>
      <c r="M426" s="131">
        <f>'Rate Design Int &amp; Trans'!$H$42</f>
        <v>4.7039999999999998E-2</v>
      </c>
      <c r="N426" s="131">
        <f>'Rate Design Int &amp; Trans'!$H$42</f>
        <v>4.7039999999999998E-2</v>
      </c>
      <c r="O426" s="131">
        <f>'Rate Design Int &amp; Trans'!$H$42</f>
        <v>4.7039999999999998E-2</v>
      </c>
      <c r="P426" s="131">
        <f>'Rate Design Int &amp; Trans'!$H$42</f>
        <v>4.7039999999999998E-2</v>
      </c>
      <c r="Q426" s="131">
        <f>'Rate Design Int &amp; Trans'!$H$42</f>
        <v>4.7039999999999998E-2</v>
      </c>
      <c r="R426"/>
    </row>
    <row r="427" spans="1:19" s="30" customFormat="1" x14ac:dyDescent="0.2">
      <c r="B427" s="30" t="s">
        <v>301</v>
      </c>
      <c r="D427" s="47" t="s">
        <v>231</v>
      </c>
      <c r="E427" s="30" t="s">
        <v>6</v>
      </c>
      <c r="F427" s="131">
        <f>'Rate Design Int &amp; Trans'!$H$45</f>
        <v>6.9999999999999999E-4</v>
      </c>
      <c r="G427" s="131">
        <f>'Rate Design Int &amp; Trans'!$H$45</f>
        <v>6.9999999999999999E-4</v>
      </c>
      <c r="H427" s="131">
        <f>'Rate Design Int &amp; Trans'!$H$45</f>
        <v>6.9999999999999999E-4</v>
      </c>
      <c r="I427" s="131">
        <f>'Rate Design Int &amp; Trans'!$H$45</f>
        <v>6.9999999999999999E-4</v>
      </c>
      <c r="J427" s="131">
        <f>'Rate Design Int &amp; Trans'!$H$45</f>
        <v>6.9999999999999999E-4</v>
      </c>
      <c r="K427" s="131">
        <f>'Rate Design Int &amp; Trans'!$H$45</f>
        <v>6.9999999999999999E-4</v>
      </c>
      <c r="L427" s="131">
        <f>'Rate Design Int &amp; Trans'!$H$45</f>
        <v>6.9999999999999999E-4</v>
      </c>
      <c r="M427" s="131">
        <f>'Rate Design Int &amp; Trans'!$H$45</f>
        <v>6.9999999999999999E-4</v>
      </c>
      <c r="N427" s="131">
        <f>'Rate Design Int &amp; Trans'!$H$45</f>
        <v>6.9999999999999999E-4</v>
      </c>
      <c r="O427" s="131">
        <f>'Rate Design Int &amp; Trans'!$H$45</f>
        <v>6.9999999999999999E-4</v>
      </c>
      <c r="P427" s="131">
        <f>'Rate Design Int &amp; Trans'!$H$45</f>
        <v>6.9999999999999999E-4</v>
      </c>
      <c r="Q427" s="131">
        <f>'Rate Design Int &amp; Trans'!$H$45</f>
        <v>6.9999999999999999E-4</v>
      </c>
    </row>
    <row r="428" spans="1:19" s="30" customFormat="1" x14ac:dyDescent="0.2">
      <c r="B428" s="30" t="s">
        <v>550</v>
      </c>
      <c r="D428" s="47">
        <v>149</v>
      </c>
      <c r="E428" s="30" t="s">
        <v>6</v>
      </c>
      <c r="F428" s="772">
        <f>F335</f>
        <v>3.31E-3</v>
      </c>
      <c r="G428" s="772">
        <f t="shared" ref="G428:Q428" si="268">G335</f>
        <v>3.31E-3</v>
      </c>
      <c r="H428" s="772">
        <f t="shared" si="268"/>
        <v>3.31E-3</v>
      </c>
      <c r="I428" s="772">
        <f t="shared" si="268"/>
        <v>3.31E-3</v>
      </c>
      <c r="J428" s="772">
        <f t="shared" si="268"/>
        <v>3.31E-3</v>
      </c>
      <c r="K428" s="772">
        <f t="shared" si="268"/>
        <v>3.31E-3</v>
      </c>
      <c r="L428" s="772">
        <f t="shared" si="268"/>
        <v>3.31E-3</v>
      </c>
      <c r="M428" s="772">
        <f t="shared" si="268"/>
        <v>3.31E-3</v>
      </c>
      <c r="N428" s="772">
        <f t="shared" si="268"/>
        <v>3.31E-3</v>
      </c>
      <c r="O428" s="772">
        <f t="shared" si="268"/>
        <v>3.31E-3</v>
      </c>
      <c r="P428" s="772">
        <f t="shared" si="268"/>
        <v>3.31E-3</v>
      </c>
      <c r="Q428" s="772">
        <f t="shared" si="268"/>
        <v>3.31E-3</v>
      </c>
    </row>
    <row r="429" spans="1:19" s="30" customFormat="1" x14ac:dyDescent="0.2">
      <c r="B429" s="30" t="s">
        <v>19</v>
      </c>
      <c r="D429" s="30">
        <v>101</v>
      </c>
      <c r="E429" s="30" t="s">
        <v>6</v>
      </c>
      <c r="F429" s="159">
        <f>'Rate Design Int &amp; Trans'!$H$35</f>
        <v>1.21</v>
      </c>
      <c r="G429" s="159">
        <f>'Rate Design Int &amp; Trans'!$H$35</f>
        <v>1.21</v>
      </c>
      <c r="H429" s="159">
        <f>'Rate Design Int &amp; Trans'!$H$35</f>
        <v>1.21</v>
      </c>
      <c r="I429" s="159">
        <f>'Rate Design Int &amp; Trans'!$H$35</f>
        <v>1.21</v>
      </c>
      <c r="J429" s="159">
        <f>'Rate Design Int &amp; Trans'!$H$35</f>
        <v>1.21</v>
      </c>
      <c r="K429" s="159">
        <f>'Rate Design Int &amp; Trans'!$H$35</f>
        <v>1.21</v>
      </c>
      <c r="L429" s="159">
        <f>'Rate Design Int &amp; Trans'!$H$35</f>
        <v>1.21</v>
      </c>
      <c r="M429" s="159">
        <f>'Rate Design Int &amp; Trans'!$H$35</f>
        <v>1.21</v>
      </c>
      <c r="N429" s="159">
        <f>'Rate Design Int &amp; Trans'!$H$35</f>
        <v>1.21</v>
      </c>
      <c r="O429" s="159">
        <f>'Rate Design Int &amp; Trans'!$H$35</f>
        <v>1.21</v>
      </c>
      <c r="P429" s="159">
        <f>'Rate Design Int &amp; Trans'!$H$35</f>
        <v>1.21</v>
      </c>
      <c r="Q429" s="159">
        <f>'Rate Design Int &amp; Trans'!$H$35</f>
        <v>1.21</v>
      </c>
    </row>
    <row r="430" spans="1:19" x14ac:dyDescent="0.2">
      <c r="A430" s="30"/>
      <c r="B430" s="30" t="s">
        <v>21</v>
      </c>
      <c r="C430" s="30"/>
      <c r="D430" s="47" t="s">
        <v>231</v>
      </c>
      <c r="E430" s="30" t="s">
        <v>22</v>
      </c>
      <c r="F430" s="48"/>
      <c r="G430" s="48"/>
      <c r="H430" s="48"/>
      <c r="I430" s="48"/>
      <c r="J430" s="48"/>
      <c r="K430" s="48"/>
      <c r="L430" s="48"/>
      <c r="M430" s="48"/>
      <c r="N430" s="48"/>
      <c r="O430" s="48"/>
      <c r="P430" s="48"/>
      <c r="Q430" s="48"/>
      <c r="R430" s="30"/>
      <c r="S430"/>
    </row>
    <row r="431" spans="1:19" x14ac:dyDescent="0.2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/>
    </row>
    <row r="432" spans="1:19" x14ac:dyDescent="0.2">
      <c r="A432" s="30"/>
      <c r="B432" s="29" t="s">
        <v>8</v>
      </c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/>
    </row>
    <row r="433" spans="1:19" x14ac:dyDescent="0.2">
      <c r="A433" s="30"/>
      <c r="B433" s="30" t="s">
        <v>22</v>
      </c>
      <c r="C433" s="30"/>
      <c r="D433" s="21" t="s">
        <v>231</v>
      </c>
      <c r="E433" s="30" t="s">
        <v>22</v>
      </c>
      <c r="F433" s="72">
        <f>'(R) Data'!C25</f>
        <v>33</v>
      </c>
      <c r="G433" s="72">
        <f>'(R) Data'!D25</f>
        <v>33</v>
      </c>
      <c r="H433" s="72">
        <f>'(R) Data'!E25</f>
        <v>33</v>
      </c>
      <c r="I433" s="72">
        <f>'(R) Data'!F25</f>
        <v>33</v>
      </c>
      <c r="J433" s="72">
        <f>'(R) Data'!G25</f>
        <v>33</v>
      </c>
      <c r="K433" s="72">
        <f>'(R) Data'!H25</f>
        <v>32.999880693439685</v>
      </c>
      <c r="L433" s="72">
        <f>'(R) Data'!I25</f>
        <v>33</v>
      </c>
      <c r="M433" s="72">
        <f>'(R) Data'!J25</f>
        <v>33</v>
      </c>
      <c r="N433" s="72">
        <f>'(R) Data'!K25</f>
        <v>33</v>
      </c>
      <c r="O433" s="72">
        <f>'(R) Data'!L25</f>
        <v>33.00002141855061</v>
      </c>
      <c r="P433" s="72">
        <f>'(R) Data'!M25</f>
        <v>33</v>
      </c>
      <c r="Q433" s="72">
        <f>'(R) Data'!N25</f>
        <v>33</v>
      </c>
      <c r="R433" s="46">
        <f>SUM(F433:Q433)</f>
        <v>395.99990211199025</v>
      </c>
      <c r="S433"/>
    </row>
    <row r="434" spans="1:19" x14ac:dyDescent="0.2">
      <c r="A434" s="30"/>
      <c r="B434" s="30" t="s">
        <v>30</v>
      </c>
      <c r="C434" s="30"/>
      <c r="D434" s="30"/>
      <c r="E434" s="30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0"/>
      <c r="S434"/>
    </row>
    <row r="435" spans="1:19" x14ac:dyDescent="0.2">
      <c r="A435" s="30"/>
      <c r="B435" s="30"/>
      <c r="C435" s="30" t="s">
        <v>56</v>
      </c>
      <c r="D435" s="21" t="s">
        <v>231</v>
      </c>
      <c r="E435" s="30" t="s">
        <v>10</v>
      </c>
      <c r="F435" s="161">
        <f>'(R) Therms By Block'!B51</f>
        <v>766888.77</v>
      </c>
      <c r="G435" s="170">
        <f>'(R) Therms By Block'!C51</f>
        <v>765804.68</v>
      </c>
      <c r="H435" s="170">
        <f>'(R) Therms By Block'!D51</f>
        <v>768877.91</v>
      </c>
      <c r="I435" s="170">
        <f>'(R) Therms By Block'!E51</f>
        <v>786959.22</v>
      </c>
      <c r="J435" s="170">
        <f>'(R) Therms By Block'!F51</f>
        <v>782983.73</v>
      </c>
      <c r="K435" s="170">
        <f>'(R) Therms By Block'!G51</f>
        <v>806226.5</v>
      </c>
      <c r="L435" s="170">
        <f>'(R) Therms By Block'!H51</f>
        <v>795648.58</v>
      </c>
      <c r="M435" s="170">
        <f>'(R) Therms By Block'!I51</f>
        <v>769515.8</v>
      </c>
      <c r="N435" s="170">
        <f>'(R) Therms By Block'!J51</f>
        <v>788760.82</v>
      </c>
      <c r="O435" s="170">
        <f>'(R) Therms By Block'!K51</f>
        <v>775878.28</v>
      </c>
      <c r="P435" s="170">
        <f>'(R) Therms By Block'!L51</f>
        <v>779542.12</v>
      </c>
      <c r="Q435" s="170">
        <f>'(R) Therms By Block'!M51</f>
        <v>782090.09</v>
      </c>
      <c r="R435" s="46">
        <f>SUM(F435:Q435)</f>
        <v>9369176.5</v>
      </c>
      <c r="S435"/>
    </row>
    <row r="436" spans="1:19" x14ac:dyDescent="0.2">
      <c r="A436" s="30"/>
      <c r="B436" s="30"/>
      <c r="C436" s="30" t="s">
        <v>57</v>
      </c>
      <c r="D436" s="21" t="s">
        <v>231</v>
      </c>
      <c r="E436" s="30" t="s">
        <v>10</v>
      </c>
      <c r="F436" s="170">
        <f>'(R) Therms By Block'!B52</f>
        <v>443250.74</v>
      </c>
      <c r="G436" s="170">
        <f>'(R) Therms By Block'!C52</f>
        <v>463829.1</v>
      </c>
      <c r="H436" s="170">
        <f>'(R) Therms By Block'!D52</f>
        <v>429032.8</v>
      </c>
      <c r="I436" s="170">
        <f>'(R) Therms By Block'!E52</f>
        <v>504504.02</v>
      </c>
      <c r="J436" s="170">
        <f>'(R) Therms By Block'!F52</f>
        <v>536322.56000000006</v>
      </c>
      <c r="K436" s="170">
        <f>'(R) Therms By Block'!G52</f>
        <v>534661.91</v>
      </c>
      <c r="L436" s="170">
        <f>'(R) Therms By Block'!H52</f>
        <v>542927.29</v>
      </c>
      <c r="M436" s="170">
        <f>'(R) Therms By Block'!I52</f>
        <v>521896.28</v>
      </c>
      <c r="N436" s="170">
        <f>'(R) Therms By Block'!J52</f>
        <v>553130.56999999995</v>
      </c>
      <c r="O436" s="170">
        <f>'(R) Therms By Block'!K52</f>
        <v>502540.24</v>
      </c>
      <c r="P436" s="170">
        <f>'(R) Therms By Block'!L52</f>
        <v>489533.2</v>
      </c>
      <c r="Q436" s="170">
        <f>'(R) Therms By Block'!M52</f>
        <v>495352.57</v>
      </c>
      <c r="R436" s="46">
        <f>SUM(F436:Q436)</f>
        <v>6016981.2800000012</v>
      </c>
      <c r="S436"/>
    </row>
    <row r="437" spans="1:19" x14ac:dyDescent="0.2">
      <c r="A437" s="30"/>
      <c r="B437" s="30"/>
      <c r="C437" s="30" t="s">
        <v>58</v>
      </c>
      <c r="D437" s="21" t="s">
        <v>231</v>
      </c>
      <c r="E437" s="30" t="s">
        <v>10</v>
      </c>
      <c r="F437" s="107">
        <f t="shared" ref="F437:N437" si="269">F438-F435-F436</f>
        <v>360795.61999999988</v>
      </c>
      <c r="G437" s="107">
        <f t="shared" si="269"/>
        <v>422867</v>
      </c>
      <c r="H437" s="107">
        <f t="shared" si="269"/>
        <v>365541.02999999997</v>
      </c>
      <c r="I437" s="107">
        <f t="shared" si="269"/>
        <v>530082.54</v>
      </c>
      <c r="J437" s="107">
        <f t="shared" si="269"/>
        <v>659720.83000000007</v>
      </c>
      <c r="K437" s="107">
        <f t="shared" si="269"/>
        <v>812383.87000000023</v>
      </c>
      <c r="L437" s="107">
        <f t="shared" si="269"/>
        <v>875409.04999999981</v>
      </c>
      <c r="M437" s="107">
        <f t="shared" si="269"/>
        <v>673378.37000000011</v>
      </c>
      <c r="N437" s="107">
        <f t="shared" si="269"/>
        <v>763922.19000000029</v>
      </c>
      <c r="O437" s="107">
        <f t="shared" ref="O437:Q437" si="270">O438-O435-O436</f>
        <v>574527.58000000007</v>
      </c>
      <c r="P437" s="107">
        <f t="shared" si="270"/>
        <v>594287.80000000005</v>
      </c>
      <c r="Q437" s="107">
        <f t="shared" si="270"/>
        <v>473268.68999999989</v>
      </c>
      <c r="R437" s="46">
        <f>SUM(F437:Q437)</f>
        <v>7106184.5700000003</v>
      </c>
      <c r="S437"/>
    </row>
    <row r="438" spans="1:19" x14ac:dyDescent="0.2">
      <c r="A438" s="30"/>
      <c r="B438" s="30"/>
      <c r="C438" s="30" t="s">
        <v>17</v>
      </c>
      <c r="D438" s="21" t="s">
        <v>231</v>
      </c>
      <c r="E438" s="30" t="s">
        <v>10</v>
      </c>
      <c r="F438" s="111">
        <f>'Weather Adj'!D174</f>
        <v>1570935.13</v>
      </c>
      <c r="G438" s="111">
        <f>'Weather Adj'!E174</f>
        <v>1652500.78</v>
      </c>
      <c r="H438" s="111">
        <f>'Weather Adj'!F174</f>
        <v>1563451.74</v>
      </c>
      <c r="I438" s="111">
        <f>'Weather Adj'!G174</f>
        <v>1821545.78</v>
      </c>
      <c r="J438" s="111">
        <f>'Weather Adj'!H174</f>
        <v>1979027.12</v>
      </c>
      <c r="K438" s="111">
        <f>'Weather Adj'!I174</f>
        <v>2153272.2800000003</v>
      </c>
      <c r="L438" s="111">
        <f>'Weather Adj'!J174</f>
        <v>2213984.92</v>
      </c>
      <c r="M438" s="111">
        <f>'Weather Adj'!K174</f>
        <v>1964790.4500000002</v>
      </c>
      <c r="N438" s="111">
        <f>'Weather Adj'!L174</f>
        <v>2105813.58</v>
      </c>
      <c r="O438" s="111">
        <f>'Weather Adj'!M174</f>
        <v>1852946.1</v>
      </c>
      <c r="P438" s="111">
        <f>'Weather Adj'!N174</f>
        <v>1863363.12</v>
      </c>
      <c r="Q438" s="111">
        <f>'Weather Adj'!O174</f>
        <v>1750711.3499999999</v>
      </c>
      <c r="R438" s="109">
        <f>SUM(R435:R437)</f>
        <v>22492342.350000001</v>
      </c>
      <c r="S438"/>
    </row>
    <row r="439" spans="1:19" x14ac:dyDescent="0.2">
      <c r="A439" s="30"/>
      <c r="B439" s="30" t="s">
        <v>29</v>
      </c>
      <c r="C439" s="30"/>
      <c r="D439" s="21" t="s">
        <v>231</v>
      </c>
      <c r="E439" s="30" t="s">
        <v>100</v>
      </c>
      <c r="F439" s="72">
        <f>'(R) Data'!C45</f>
        <v>10775</v>
      </c>
      <c r="G439" s="72">
        <f>'(R) Data'!D45</f>
        <v>10775</v>
      </c>
      <c r="H439" s="72">
        <f>'(R) Data'!E45</f>
        <v>10775</v>
      </c>
      <c r="I439" s="72">
        <f>'(R) Data'!F45</f>
        <v>10775</v>
      </c>
      <c r="J439" s="72">
        <f>'(R) Data'!G45</f>
        <v>10775</v>
      </c>
      <c r="K439" s="72">
        <f>'(R) Data'!H45</f>
        <v>10775</v>
      </c>
      <c r="L439" s="72">
        <f>'(R) Data'!I45</f>
        <v>10775</v>
      </c>
      <c r="M439" s="72">
        <f>'(R) Data'!J45</f>
        <v>10775</v>
      </c>
      <c r="N439" s="72">
        <f>'(R) Data'!K45</f>
        <v>10775</v>
      </c>
      <c r="O439" s="72">
        <f>'(R) Data'!L45</f>
        <v>10775</v>
      </c>
      <c r="P439" s="72">
        <f>'(R) Data'!M45</f>
        <v>12175</v>
      </c>
      <c r="Q439" s="72">
        <f>'(R) Data'!N45</f>
        <v>10775</v>
      </c>
      <c r="R439" s="46">
        <f>SUM(F439:Q439)</f>
        <v>130700</v>
      </c>
      <c r="S439"/>
    </row>
    <row r="440" spans="1:19" x14ac:dyDescent="0.2">
      <c r="A440" s="30"/>
      <c r="B440" s="30" t="s">
        <v>21</v>
      </c>
      <c r="C440" s="30"/>
      <c r="D440" s="30"/>
      <c r="E440" s="30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0"/>
      <c r="S440"/>
    </row>
    <row r="441" spans="1:19" x14ac:dyDescent="0.2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/>
    </row>
    <row r="442" spans="1:19" x14ac:dyDescent="0.2">
      <c r="A442" s="30"/>
      <c r="B442" s="29" t="s">
        <v>9</v>
      </c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/>
    </row>
    <row r="443" spans="1:19" x14ac:dyDescent="0.2">
      <c r="A443" s="30" t="s">
        <v>147</v>
      </c>
      <c r="B443" s="30" t="s">
        <v>282</v>
      </c>
      <c r="C443" s="30"/>
      <c r="D443" s="47" t="s">
        <v>231</v>
      </c>
      <c r="E443" s="30"/>
      <c r="F443" s="34">
        <f t="shared" ref="F443:N443" si="271">F422*F433</f>
        <v>28963.77</v>
      </c>
      <c r="G443" s="34">
        <f t="shared" si="271"/>
        <v>28963.77</v>
      </c>
      <c r="H443" s="34">
        <f t="shared" si="271"/>
        <v>28963.77</v>
      </c>
      <c r="I443" s="34">
        <f t="shared" si="271"/>
        <v>28963.77</v>
      </c>
      <c r="J443" s="34">
        <f t="shared" si="271"/>
        <v>28963.77</v>
      </c>
      <c r="K443" s="34">
        <f t="shared" si="271"/>
        <v>28963.665285825078</v>
      </c>
      <c r="L443" s="34">
        <f t="shared" si="271"/>
        <v>28963.77</v>
      </c>
      <c r="M443" s="34">
        <f t="shared" si="271"/>
        <v>28963.77</v>
      </c>
      <c r="N443" s="34">
        <f t="shared" si="271"/>
        <v>28963.77</v>
      </c>
      <c r="O443" s="34">
        <f t="shared" ref="O443:Q443" si="272">O422*O433</f>
        <v>28963.788798847687</v>
      </c>
      <c r="P443" s="34">
        <f t="shared" si="272"/>
        <v>28963.77</v>
      </c>
      <c r="Q443" s="34">
        <f t="shared" si="272"/>
        <v>28963.77</v>
      </c>
      <c r="R443" s="34">
        <f>SUM(F443:Q443)</f>
        <v>347565.1540846728</v>
      </c>
      <c r="S443"/>
    </row>
    <row r="444" spans="1:19" x14ac:dyDescent="0.2">
      <c r="A444" s="30"/>
      <c r="B444" s="30" t="s">
        <v>3</v>
      </c>
      <c r="C444" s="30"/>
      <c r="D444" s="30"/>
      <c r="E444" s="30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/>
    </row>
    <row r="445" spans="1:19" x14ac:dyDescent="0.2">
      <c r="A445" s="30"/>
      <c r="B445" s="30"/>
      <c r="C445" s="30" t="s">
        <v>56</v>
      </c>
      <c r="D445" s="47" t="s">
        <v>231</v>
      </c>
      <c r="E445" s="30"/>
      <c r="F445" s="34">
        <f t="shared" ref="F445:N445" si="273">F424*F435</f>
        <v>76198.068187199999</v>
      </c>
      <c r="G445" s="34">
        <f t="shared" si="273"/>
        <v>76090.35300480001</v>
      </c>
      <c r="H445" s="34">
        <f t="shared" si="273"/>
        <v>76395.709137600003</v>
      </c>
      <c r="I445" s="34">
        <f t="shared" si="273"/>
        <v>78192.268099199995</v>
      </c>
      <c r="J445" s="34">
        <f t="shared" si="273"/>
        <v>77797.263412800006</v>
      </c>
      <c r="K445" s="34">
        <f t="shared" si="273"/>
        <v>80106.665040000007</v>
      </c>
      <c r="L445" s="34">
        <f t="shared" si="273"/>
        <v>79055.6429088</v>
      </c>
      <c r="M445" s="34">
        <f t="shared" si="273"/>
        <v>76459.089888000002</v>
      </c>
      <c r="N445" s="34">
        <f t="shared" si="273"/>
        <v>78371.275075199999</v>
      </c>
      <c r="O445" s="34">
        <f t="shared" ref="O445:Q445" si="274">O424*O435</f>
        <v>77091.265900800005</v>
      </c>
      <c r="P445" s="34">
        <f t="shared" si="274"/>
        <v>77455.305043200002</v>
      </c>
      <c r="Q445" s="34">
        <f t="shared" si="274"/>
        <v>77708.471342399993</v>
      </c>
      <c r="R445" s="34">
        <f>SUM(F445:Q445)</f>
        <v>930921.37704000005</v>
      </c>
      <c r="S445"/>
    </row>
    <row r="446" spans="1:19" x14ac:dyDescent="0.2">
      <c r="A446" s="30"/>
      <c r="B446" s="30"/>
      <c r="C446" s="30" t="s">
        <v>57</v>
      </c>
      <c r="D446" s="47" t="s">
        <v>231</v>
      </c>
      <c r="E446" s="30"/>
      <c r="F446" s="34">
        <f t="shared" ref="F446:N446" si="275">F425*F436</f>
        <v>21794.638885799999</v>
      </c>
      <c r="G446" s="34">
        <f t="shared" si="275"/>
        <v>22806.476846999998</v>
      </c>
      <c r="H446" s="34">
        <f t="shared" si="275"/>
        <v>21095.542775999998</v>
      </c>
      <c r="I446" s="34">
        <f t="shared" si="275"/>
        <v>24806.462663400001</v>
      </c>
      <c r="J446" s="34">
        <f t="shared" si="275"/>
        <v>26370.980275200003</v>
      </c>
      <c r="K446" s="34">
        <f t="shared" si="275"/>
        <v>26289.326114700001</v>
      </c>
      <c r="L446" s="34">
        <f t="shared" si="275"/>
        <v>26695.734849300003</v>
      </c>
      <c r="M446" s="34">
        <f t="shared" si="275"/>
        <v>25661.640087600001</v>
      </c>
      <c r="N446" s="34">
        <f t="shared" si="275"/>
        <v>27197.430126899995</v>
      </c>
      <c r="O446" s="34">
        <f t="shared" ref="O446:Q446" si="276">O425*O436</f>
        <v>24709.9036008</v>
      </c>
      <c r="P446" s="34">
        <f t="shared" si="276"/>
        <v>24070.347443999999</v>
      </c>
      <c r="Q446" s="34">
        <f t="shared" si="276"/>
        <v>24356.485866899999</v>
      </c>
      <c r="R446" s="34">
        <f>SUM(F446:Q446)</f>
        <v>295854.9695376</v>
      </c>
      <c r="S446"/>
    </row>
    <row r="447" spans="1:19" x14ac:dyDescent="0.2">
      <c r="C447" t="s">
        <v>58</v>
      </c>
      <c r="D447" s="47" t="s">
        <v>231</v>
      </c>
      <c r="F447" s="23">
        <f t="shared" ref="F447:N447" si="277">F426*F437</f>
        <v>16971.825964799995</v>
      </c>
      <c r="G447" s="23">
        <f t="shared" si="277"/>
        <v>19891.663679999998</v>
      </c>
      <c r="H447" s="23">
        <f t="shared" si="277"/>
        <v>17195.050051199996</v>
      </c>
      <c r="I447" s="23">
        <f t="shared" si="277"/>
        <v>24935.082681600001</v>
      </c>
      <c r="J447" s="23">
        <f t="shared" si="277"/>
        <v>31033.267843200003</v>
      </c>
      <c r="K447" s="23">
        <f t="shared" si="277"/>
        <v>38214.537244800013</v>
      </c>
      <c r="L447" s="23">
        <f t="shared" si="277"/>
        <v>41179.241711999988</v>
      </c>
      <c r="M447" s="23">
        <f t="shared" si="277"/>
        <v>31675.718524800006</v>
      </c>
      <c r="N447" s="23">
        <f t="shared" si="277"/>
        <v>35934.89981760001</v>
      </c>
      <c r="O447" s="23">
        <f t="shared" ref="O447:Q447" si="278">O426*O437</f>
        <v>27025.777363200003</v>
      </c>
      <c r="P447" s="23">
        <f t="shared" si="278"/>
        <v>27955.298112</v>
      </c>
      <c r="Q447" s="23">
        <f t="shared" si="278"/>
        <v>22262.559177599993</v>
      </c>
      <c r="R447" s="23">
        <f>SUM(F447:Q447)</f>
        <v>334274.92217279994</v>
      </c>
      <c r="S447"/>
    </row>
    <row r="448" spans="1:19" x14ac:dyDescent="0.2">
      <c r="A448" t="s">
        <v>147</v>
      </c>
      <c r="C448" t="s">
        <v>26</v>
      </c>
      <c r="F448" s="24">
        <f t="shared" ref="F448:N448" si="279">SUM(F445:F447)</f>
        <v>114964.53303779999</v>
      </c>
      <c r="G448" s="24">
        <f t="shared" si="279"/>
        <v>118788.49353180001</v>
      </c>
      <c r="H448" s="24">
        <f t="shared" si="279"/>
        <v>114686.3019648</v>
      </c>
      <c r="I448" s="24">
        <f t="shared" si="279"/>
        <v>127933.8134442</v>
      </c>
      <c r="J448" s="24">
        <f t="shared" si="279"/>
        <v>135201.51153120003</v>
      </c>
      <c r="K448" s="24">
        <f t="shared" si="279"/>
        <v>144610.52839950001</v>
      </c>
      <c r="L448" s="24">
        <f t="shared" si="279"/>
        <v>146930.61947009998</v>
      </c>
      <c r="M448" s="24">
        <f t="shared" si="279"/>
        <v>133796.4485004</v>
      </c>
      <c r="N448" s="24">
        <f t="shared" si="279"/>
        <v>141503.60501970001</v>
      </c>
      <c r="O448" s="24">
        <f t="shared" ref="O448:Q448" si="280">SUM(O445:O447)</f>
        <v>128826.9468648</v>
      </c>
      <c r="P448" s="24">
        <f t="shared" si="280"/>
        <v>129480.9505992</v>
      </c>
      <c r="Q448" s="24">
        <f t="shared" si="280"/>
        <v>124327.51638689998</v>
      </c>
      <c r="R448" s="24">
        <f>SUM(R445:R447)</f>
        <v>1561051.2687504</v>
      </c>
      <c r="S448"/>
    </row>
    <row r="449" spans="1:19" x14ac:dyDescent="0.2">
      <c r="A449" t="s">
        <v>130</v>
      </c>
      <c r="B449" s="30" t="s">
        <v>301</v>
      </c>
      <c r="D449" s="47" t="s">
        <v>231</v>
      </c>
      <c r="F449" s="40">
        <f t="shared" ref="F449:N449" si="281">F427*F438</f>
        <v>1099.654591</v>
      </c>
      <c r="G449" s="40">
        <f t="shared" si="281"/>
        <v>1156.750546</v>
      </c>
      <c r="H449" s="40">
        <f t="shared" si="281"/>
        <v>1094.4162180000001</v>
      </c>
      <c r="I449" s="40">
        <f t="shared" si="281"/>
        <v>1275.082046</v>
      </c>
      <c r="J449" s="40">
        <f t="shared" si="281"/>
        <v>1385.318984</v>
      </c>
      <c r="K449" s="40">
        <f t="shared" si="281"/>
        <v>1507.2905960000003</v>
      </c>
      <c r="L449" s="40">
        <f t="shared" si="281"/>
        <v>1549.789444</v>
      </c>
      <c r="M449" s="40">
        <f t="shared" si="281"/>
        <v>1375.3533150000001</v>
      </c>
      <c r="N449" s="40">
        <f t="shared" si="281"/>
        <v>1474.069506</v>
      </c>
      <c r="O449" s="40">
        <f t="shared" ref="O449:Q449" si="282">O427*O438</f>
        <v>1297.0622700000001</v>
      </c>
      <c r="P449" s="40">
        <f t="shared" si="282"/>
        <v>1304.354184</v>
      </c>
      <c r="Q449" s="40">
        <f t="shared" si="282"/>
        <v>1225.4979449999998</v>
      </c>
      <c r="R449" s="40">
        <f>SUM(F449:Q449)</f>
        <v>15744.639644999999</v>
      </c>
      <c r="S449"/>
    </row>
    <row r="450" spans="1:19" x14ac:dyDescent="0.2">
      <c r="A450" t="s">
        <v>551</v>
      </c>
      <c r="B450" s="30" t="s">
        <v>552</v>
      </c>
      <c r="D450" s="47">
        <v>149</v>
      </c>
      <c r="F450" s="40">
        <f>F428*F438</f>
        <v>5199.7952802999998</v>
      </c>
      <c r="G450" s="40">
        <f t="shared" ref="G450:Q450" si="283">G428*G438</f>
        <v>5469.7775818</v>
      </c>
      <c r="H450" s="40">
        <f t="shared" si="283"/>
        <v>5175.0252594000003</v>
      </c>
      <c r="I450" s="40">
        <f t="shared" si="283"/>
        <v>6029.3165318000001</v>
      </c>
      <c r="J450" s="40">
        <f t="shared" si="283"/>
        <v>6550.5797672000008</v>
      </c>
      <c r="K450" s="40">
        <f t="shared" si="283"/>
        <v>7127.3312468000013</v>
      </c>
      <c r="L450" s="40">
        <f t="shared" si="283"/>
        <v>7328.2900851999993</v>
      </c>
      <c r="M450" s="40">
        <f t="shared" si="283"/>
        <v>6503.456389500001</v>
      </c>
      <c r="N450" s="40">
        <f t="shared" si="283"/>
        <v>6970.2429498000001</v>
      </c>
      <c r="O450" s="40">
        <f t="shared" si="283"/>
        <v>6133.2515910000002</v>
      </c>
      <c r="P450" s="40">
        <f t="shared" si="283"/>
        <v>6167.7319272000004</v>
      </c>
      <c r="Q450" s="40">
        <f t="shared" si="283"/>
        <v>5794.8545684999999</v>
      </c>
      <c r="R450" s="40">
        <f>SUM(F450:Q450)</f>
        <v>74449.653178499997</v>
      </c>
      <c r="S450"/>
    </row>
    <row r="451" spans="1:19" x14ac:dyDescent="0.2">
      <c r="A451" t="s">
        <v>147</v>
      </c>
      <c r="B451" t="s">
        <v>19</v>
      </c>
      <c r="D451" s="47" t="s">
        <v>231</v>
      </c>
      <c r="F451" s="23">
        <f t="shared" ref="F451:N451" si="284">F429*F439</f>
        <v>13037.75</v>
      </c>
      <c r="G451" s="23">
        <f t="shared" si="284"/>
        <v>13037.75</v>
      </c>
      <c r="H451" s="23">
        <f t="shared" si="284"/>
        <v>13037.75</v>
      </c>
      <c r="I451" s="23">
        <f t="shared" si="284"/>
        <v>13037.75</v>
      </c>
      <c r="J451" s="23">
        <f t="shared" si="284"/>
        <v>13037.75</v>
      </c>
      <c r="K451" s="23">
        <f t="shared" si="284"/>
        <v>13037.75</v>
      </c>
      <c r="L451" s="23">
        <f t="shared" si="284"/>
        <v>13037.75</v>
      </c>
      <c r="M451" s="23">
        <f t="shared" si="284"/>
        <v>13037.75</v>
      </c>
      <c r="N451" s="23">
        <f t="shared" si="284"/>
        <v>13037.75</v>
      </c>
      <c r="O451" s="23">
        <f t="shared" ref="O451:Q451" si="285">O429*O439</f>
        <v>13037.75</v>
      </c>
      <c r="P451" s="23">
        <f t="shared" si="285"/>
        <v>14731.75</v>
      </c>
      <c r="Q451" s="23">
        <f t="shared" si="285"/>
        <v>13037.75</v>
      </c>
      <c r="R451" s="23">
        <f>SUM(F451:Q451)</f>
        <v>158147</v>
      </c>
      <c r="S451"/>
    </row>
    <row r="452" spans="1:19" x14ac:dyDescent="0.2">
      <c r="A452" s="30" t="s">
        <v>147</v>
      </c>
      <c r="B452" s="30" t="s">
        <v>21</v>
      </c>
      <c r="C452" s="30"/>
      <c r="D452" s="47" t="s">
        <v>231</v>
      </c>
      <c r="E452" s="30"/>
      <c r="F452" s="74">
        <f>'(R) Data'!C61</f>
        <v>0</v>
      </c>
      <c r="G452" s="74">
        <f>'(R) Data'!D61</f>
        <v>0</v>
      </c>
      <c r="H452" s="74">
        <f>'(R) Data'!E61</f>
        <v>0</v>
      </c>
      <c r="I452" s="74">
        <f>'(R) Data'!F61</f>
        <v>0</v>
      </c>
      <c r="J452" s="74">
        <f>'(R) Data'!G61</f>
        <v>0</v>
      </c>
      <c r="K452" s="74">
        <f>'(R) Data'!H61</f>
        <v>0</v>
      </c>
      <c r="L452" s="74">
        <f>'(R) Data'!I61</f>
        <v>0</v>
      </c>
      <c r="M452" s="74">
        <f>'(R) Data'!J61</f>
        <v>0</v>
      </c>
      <c r="N452" s="74">
        <f>'(R) Data'!K61</f>
        <v>0</v>
      </c>
      <c r="O452" s="74">
        <f>'(R) Data'!L61</f>
        <v>0</v>
      </c>
      <c r="P452" s="74">
        <f>'(R) Data'!M61</f>
        <v>0</v>
      </c>
      <c r="Q452" s="74">
        <f>'(R) Data'!N61</f>
        <v>0</v>
      </c>
      <c r="R452" s="70">
        <f>SUM(F452:Q452)</f>
        <v>0</v>
      </c>
      <c r="S452"/>
    </row>
    <row r="453" spans="1:19" x14ac:dyDescent="0.2">
      <c r="B453" t="s">
        <v>24</v>
      </c>
      <c r="F453" s="24">
        <f>F443+F448+F449+F450+F451+F452</f>
        <v>163265.50290909997</v>
      </c>
      <c r="G453" s="24">
        <f t="shared" ref="G453:R453" si="286">G443+G448+G449+G450+G451+G452</f>
        <v>167416.54165960001</v>
      </c>
      <c r="H453" s="24">
        <f t="shared" si="286"/>
        <v>162957.2634422</v>
      </c>
      <c r="I453" s="24">
        <f t="shared" si="286"/>
        <v>177239.73202199998</v>
      </c>
      <c r="J453" s="24">
        <f t="shared" si="286"/>
        <v>185138.93028240002</v>
      </c>
      <c r="K453" s="24">
        <f t="shared" si="286"/>
        <v>195246.56552812509</v>
      </c>
      <c r="L453" s="24">
        <f t="shared" si="286"/>
        <v>197810.21899929995</v>
      </c>
      <c r="M453" s="24">
        <f t="shared" si="286"/>
        <v>183676.77820489998</v>
      </c>
      <c r="N453" s="24">
        <f t="shared" si="286"/>
        <v>191949.43747550002</v>
      </c>
      <c r="O453" s="24">
        <f t="shared" si="286"/>
        <v>178258.79952464771</v>
      </c>
      <c r="P453" s="24">
        <f t="shared" si="286"/>
        <v>180648.55671039998</v>
      </c>
      <c r="Q453" s="24">
        <f t="shared" si="286"/>
        <v>173349.38890039999</v>
      </c>
      <c r="R453" s="24">
        <f t="shared" si="286"/>
        <v>2156957.715658573</v>
      </c>
      <c r="S453"/>
    </row>
    <row r="454" spans="1:19" x14ac:dyDescent="0.2">
      <c r="A454" s="30"/>
      <c r="B454" s="30"/>
      <c r="C454" s="30"/>
      <c r="D454" s="30"/>
      <c r="E454" s="30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/>
    </row>
    <row r="455" spans="1:19" x14ac:dyDescent="0.2">
      <c r="A455" s="30" t="s">
        <v>305</v>
      </c>
      <c r="B455" s="30" t="s">
        <v>304</v>
      </c>
      <c r="C455" s="30"/>
      <c r="D455" s="30"/>
      <c r="E455" s="30"/>
      <c r="F455" s="34">
        <f t="shared" ref="F455:N455" si="287">F449</f>
        <v>1099.654591</v>
      </c>
      <c r="G455" s="34">
        <f t="shared" si="287"/>
        <v>1156.750546</v>
      </c>
      <c r="H455" s="34">
        <f t="shared" si="287"/>
        <v>1094.4162180000001</v>
      </c>
      <c r="I455" s="34">
        <f t="shared" si="287"/>
        <v>1275.082046</v>
      </c>
      <c r="J455" s="34">
        <f t="shared" si="287"/>
        <v>1385.318984</v>
      </c>
      <c r="K455" s="34">
        <f t="shared" si="287"/>
        <v>1507.2905960000003</v>
      </c>
      <c r="L455" s="34">
        <f t="shared" si="287"/>
        <v>1549.789444</v>
      </c>
      <c r="M455" s="34">
        <f t="shared" si="287"/>
        <v>1375.3533150000001</v>
      </c>
      <c r="N455" s="34">
        <f t="shared" si="287"/>
        <v>1474.069506</v>
      </c>
      <c r="O455" s="34">
        <f t="shared" ref="O455:Q455" si="288">O449</f>
        <v>1297.0622700000001</v>
      </c>
      <c r="P455" s="34">
        <f t="shared" si="288"/>
        <v>1304.354184</v>
      </c>
      <c r="Q455" s="34">
        <f t="shared" si="288"/>
        <v>1225.4979449999998</v>
      </c>
      <c r="R455" s="34">
        <f>SUM(F455:Q455)</f>
        <v>15744.639644999999</v>
      </c>
      <c r="S455"/>
    </row>
    <row r="457" spans="1:19" x14ac:dyDescent="0.2">
      <c r="B457" s="15" t="s">
        <v>233</v>
      </c>
      <c r="C457" s="15"/>
      <c r="F457" s="50"/>
      <c r="G457" s="50"/>
      <c r="S457"/>
    </row>
    <row r="458" spans="1:19" x14ac:dyDescent="0.2">
      <c r="B458" s="15" t="s">
        <v>7</v>
      </c>
      <c r="C458" s="15"/>
      <c r="F458" s="50"/>
      <c r="G458" s="50"/>
      <c r="S458"/>
    </row>
    <row r="459" spans="1:19" x14ac:dyDescent="0.2">
      <c r="B459" t="s">
        <v>282</v>
      </c>
      <c r="D459" s="21" t="s">
        <v>231</v>
      </c>
      <c r="E459" t="s">
        <v>5</v>
      </c>
      <c r="F459" s="17">
        <f t="shared" ref="F459:Q459" si="289">F422</f>
        <v>877.69</v>
      </c>
      <c r="G459" s="17">
        <f t="shared" si="289"/>
        <v>877.69</v>
      </c>
      <c r="H459" s="17">
        <f t="shared" si="289"/>
        <v>877.69</v>
      </c>
      <c r="I459" s="17">
        <f t="shared" si="289"/>
        <v>877.69</v>
      </c>
      <c r="J459" s="112">
        <f t="shared" si="289"/>
        <v>877.69</v>
      </c>
      <c r="K459" s="112">
        <f t="shared" si="289"/>
        <v>877.69</v>
      </c>
      <c r="L459" s="112">
        <f t="shared" si="289"/>
        <v>877.69</v>
      </c>
      <c r="M459" s="112">
        <f t="shared" si="289"/>
        <v>877.69</v>
      </c>
      <c r="N459" s="112">
        <f t="shared" si="289"/>
        <v>877.69</v>
      </c>
      <c r="O459" s="112">
        <f t="shared" si="289"/>
        <v>877.69</v>
      </c>
      <c r="P459" s="112">
        <f t="shared" si="289"/>
        <v>877.69</v>
      </c>
      <c r="Q459" s="112">
        <f t="shared" si="289"/>
        <v>877.69</v>
      </c>
      <c r="S459"/>
    </row>
    <row r="460" spans="1:19" x14ac:dyDescent="0.2">
      <c r="B460" t="s">
        <v>3</v>
      </c>
      <c r="F460" s="18"/>
      <c r="G460" s="18"/>
      <c r="H460" s="18"/>
      <c r="I460" s="18"/>
      <c r="J460" s="98"/>
      <c r="K460" s="98"/>
      <c r="L460" s="98"/>
      <c r="M460" s="98"/>
      <c r="N460" s="98"/>
      <c r="O460" s="98"/>
      <c r="P460" s="98"/>
      <c r="Q460" s="98"/>
      <c r="S460"/>
    </row>
    <row r="461" spans="1:19" x14ac:dyDescent="0.2">
      <c r="C461" t="s">
        <v>56</v>
      </c>
      <c r="D461" s="21" t="s">
        <v>231</v>
      </c>
      <c r="E461" t="s">
        <v>6</v>
      </c>
      <c r="F461" s="18">
        <f t="shared" ref="F461:Q461" si="290">F424</f>
        <v>9.9360000000000004E-2</v>
      </c>
      <c r="G461" s="18">
        <f t="shared" si="290"/>
        <v>9.9360000000000004E-2</v>
      </c>
      <c r="H461" s="18">
        <f t="shared" si="290"/>
        <v>9.9360000000000004E-2</v>
      </c>
      <c r="I461" s="18">
        <f t="shared" si="290"/>
        <v>9.9360000000000004E-2</v>
      </c>
      <c r="J461" s="103">
        <f t="shared" si="290"/>
        <v>9.9360000000000004E-2</v>
      </c>
      <c r="K461" s="103">
        <f t="shared" si="290"/>
        <v>9.9360000000000004E-2</v>
      </c>
      <c r="L461" s="103">
        <f t="shared" si="290"/>
        <v>9.9360000000000004E-2</v>
      </c>
      <c r="M461" s="103">
        <f t="shared" si="290"/>
        <v>9.9360000000000004E-2</v>
      </c>
      <c r="N461" s="103">
        <f t="shared" si="290"/>
        <v>9.9360000000000004E-2</v>
      </c>
      <c r="O461" s="103">
        <f t="shared" si="290"/>
        <v>9.9360000000000004E-2</v>
      </c>
      <c r="P461" s="103">
        <f t="shared" si="290"/>
        <v>9.9360000000000004E-2</v>
      </c>
      <c r="Q461" s="103">
        <f t="shared" si="290"/>
        <v>9.9360000000000004E-2</v>
      </c>
      <c r="S461"/>
    </row>
    <row r="462" spans="1:19" x14ac:dyDescent="0.2">
      <c r="C462" t="s">
        <v>57</v>
      </c>
      <c r="D462" s="21" t="s">
        <v>231</v>
      </c>
      <c r="E462" t="s">
        <v>6</v>
      </c>
      <c r="F462" s="18">
        <f t="shared" ref="F462:Q462" si="291">F425</f>
        <v>4.9169999999999998E-2</v>
      </c>
      <c r="G462" s="18">
        <f t="shared" si="291"/>
        <v>4.9169999999999998E-2</v>
      </c>
      <c r="H462" s="18">
        <f t="shared" si="291"/>
        <v>4.9169999999999998E-2</v>
      </c>
      <c r="I462" s="18">
        <f t="shared" si="291"/>
        <v>4.9169999999999998E-2</v>
      </c>
      <c r="J462" s="103">
        <f t="shared" si="291"/>
        <v>4.9169999999999998E-2</v>
      </c>
      <c r="K462" s="103">
        <f t="shared" si="291"/>
        <v>4.9169999999999998E-2</v>
      </c>
      <c r="L462" s="103">
        <f t="shared" si="291"/>
        <v>4.9169999999999998E-2</v>
      </c>
      <c r="M462" s="103">
        <f t="shared" si="291"/>
        <v>4.9169999999999998E-2</v>
      </c>
      <c r="N462" s="103">
        <f t="shared" si="291"/>
        <v>4.9169999999999998E-2</v>
      </c>
      <c r="O462" s="103">
        <f t="shared" si="291"/>
        <v>4.9169999999999998E-2</v>
      </c>
      <c r="P462" s="103">
        <f t="shared" si="291"/>
        <v>4.9169999999999998E-2</v>
      </c>
      <c r="Q462" s="103">
        <f t="shared" si="291"/>
        <v>4.9169999999999998E-2</v>
      </c>
      <c r="S462"/>
    </row>
    <row r="463" spans="1:19" x14ac:dyDescent="0.2">
      <c r="C463" t="s">
        <v>58</v>
      </c>
      <c r="D463" s="21" t="s">
        <v>231</v>
      </c>
      <c r="E463" t="s">
        <v>6</v>
      </c>
      <c r="F463" s="18">
        <f t="shared" ref="F463:Q463" si="292">F426</f>
        <v>4.7039999999999998E-2</v>
      </c>
      <c r="G463" s="18">
        <f t="shared" si="292"/>
        <v>4.7039999999999998E-2</v>
      </c>
      <c r="H463" s="18">
        <f t="shared" si="292"/>
        <v>4.7039999999999998E-2</v>
      </c>
      <c r="I463" s="18">
        <f t="shared" si="292"/>
        <v>4.7039999999999998E-2</v>
      </c>
      <c r="J463" s="103">
        <f t="shared" si="292"/>
        <v>4.7039999999999998E-2</v>
      </c>
      <c r="K463" s="103">
        <f t="shared" si="292"/>
        <v>4.7039999999999998E-2</v>
      </c>
      <c r="L463" s="103">
        <f t="shared" si="292"/>
        <v>4.7039999999999998E-2</v>
      </c>
      <c r="M463" s="103">
        <f t="shared" si="292"/>
        <v>4.7039999999999998E-2</v>
      </c>
      <c r="N463" s="103">
        <f t="shared" si="292"/>
        <v>4.7039999999999998E-2</v>
      </c>
      <c r="O463" s="103">
        <f t="shared" si="292"/>
        <v>4.7039999999999998E-2</v>
      </c>
      <c r="P463" s="103">
        <f t="shared" si="292"/>
        <v>4.7039999999999998E-2</v>
      </c>
      <c r="Q463" s="103">
        <f t="shared" si="292"/>
        <v>4.7039999999999998E-2</v>
      </c>
      <c r="S463"/>
    </row>
    <row r="464" spans="1:19" x14ac:dyDescent="0.2">
      <c r="B464" s="30" t="s">
        <v>301</v>
      </c>
      <c r="D464" s="47" t="s">
        <v>231</v>
      </c>
      <c r="E464" s="30" t="s">
        <v>6</v>
      </c>
      <c r="F464" s="18">
        <f t="shared" ref="F464:Q465" si="293">F427</f>
        <v>6.9999999999999999E-4</v>
      </c>
      <c r="G464" s="18">
        <f t="shared" si="293"/>
        <v>6.9999999999999999E-4</v>
      </c>
      <c r="H464" s="18">
        <f t="shared" si="293"/>
        <v>6.9999999999999999E-4</v>
      </c>
      <c r="I464" s="18">
        <f t="shared" si="293"/>
        <v>6.9999999999999999E-4</v>
      </c>
      <c r="J464" s="103">
        <f t="shared" si="293"/>
        <v>6.9999999999999999E-4</v>
      </c>
      <c r="K464" s="103">
        <f t="shared" si="293"/>
        <v>6.9999999999999999E-4</v>
      </c>
      <c r="L464" s="103">
        <f t="shared" si="293"/>
        <v>6.9999999999999999E-4</v>
      </c>
      <c r="M464" s="103">
        <f t="shared" si="293"/>
        <v>6.9999999999999999E-4</v>
      </c>
      <c r="N464" s="103">
        <f t="shared" si="293"/>
        <v>6.9999999999999999E-4</v>
      </c>
      <c r="O464" s="103">
        <f t="shared" si="293"/>
        <v>6.9999999999999999E-4</v>
      </c>
      <c r="P464" s="103">
        <f t="shared" si="293"/>
        <v>6.9999999999999999E-4</v>
      </c>
      <c r="Q464" s="103">
        <f t="shared" si="293"/>
        <v>6.9999999999999999E-4</v>
      </c>
      <c r="S464"/>
    </row>
    <row r="465" spans="1:19" x14ac:dyDescent="0.2">
      <c r="B465" s="30" t="s">
        <v>550</v>
      </c>
      <c r="D465" s="47">
        <v>149</v>
      </c>
      <c r="E465" s="30" t="s">
        <v>6</v>
      </c>
      <c r="F465" s="18">
        <f t="shared" si="293"/>
        <v>3.31E-3</v>
      </c>
      <c r="G465" s="18">
        <f t="shared" si="293"/>
        <v>3.31E-3</v>
      </c>
      <c r="H465" s="18">
        <f t="shared" si="293"/>
        <v>3.31E-3</v>
      </c>
      <c r="I465" s="18">
        <f t="shared" si="293"/>
        <v>3.31E-3</v>
      </c>
      <c r="J465" s="18">
        <f t="shared" si="293"/>
        <v>3.31E-3</v>
      </c>
      <c r="K465" s="18">
        <f t="shared" si="293"/>
        <v>3.31E-3</v>
      </c>
      <c r="L465" s="18">
        <f t="shared" si="293"/>
        <v>3.31E-3</v>
      </c>
      <c r="M465" s="18">
        <f t="shared" si="293"/>
        <v>3.31E-3</v>
      </c>
      <c r="N465" s="18">
        <f t="shared" si="293"/>
        <v>3.31E-3</v>
      </c>
      <c r="O465" s="18">
        <f t="shared" si="293"/>
        <v>3.31E-3</v>
      </c>
      <c r="P465" s="18">
        <f t="shared" si="293"/>
        <v>3.31E-3</v>
      </c>
      <c r="Q465" s="18">
        <f t="shared" si="293"/>
        <v>3.31E-3</v>
      </c>
      <c r="S465"/>
    </row>
    <row r="466" spans="1:19" x14ac:dyDescent="0.2">
      <c r="B466" t="s">
        <v>19</v>
      </c>
      <c r="D466">
        <v>101</v>
      </c>
      <c r="E466" t="s">
        <v>6</v>
      </c>
      <c r="F466" s="17">
        <f t="shared" ref="F466:Q466" si="294">F429</f>
        <v>1.21</v>
      </c>
      <c r="G466" s="17">
        <f t="shared" si="294"/>
        <v>1.21</v>
      </c>
      <c r="H466" s="17">
        <f t="shared" si="294"/>
        <v>1.21</v>
      </c>
      <c r="I466" s="17">
        <f t="shared" si="294"/>
        <v>1.21</v>
      </c>
      <c r="J466" s="113">
        <f t="shared" si="294"/>
        <v>1.21</v>
      </c>
      <c r="K466" s="113">
        <f t="shared" si="294"/>
        <v>1.21</v>
      </c>
      <c r="L466" s="113">
        <f t="shared" si="294"/>
        <v>1.21</v>
      </c>
      <c r="M466" s="113">
        <f t="shared" si="294"/>
        <v>1.21</v>
      </c>
      <c r="N466" s="113">
        <f t="shared" si="294"/>
        <v>1.21</v>
      </c>
      <c r="O466" s="113">
        <f t="shared" si="294"/>
        <v>1.21</v>
      </c>
      <c r="P466" s="113">
        <f t="shared" si="294"/>
        <v>1.21</v>
      </c>
      <c r="Q466" s="113">
        <f t="shared" si="294"/>
        <v>1.21</v>
      </c>
      <c r="S466"/>
    </row>
    <row r="467" spans="1:19" x14ac:dyDescent="0.2">
      <c r="A467" s="30"/>
      <c r="B467" s="30" t="s">
        <v>21</v>
      </c>
      <c r="C467" s="30"/>
      <c r="D467" s="21" t="s">
        <v>231</v>
      </c>
      <c r="E467" s="30" t="s">
        <v>22</v>
      </c>
      <c r="F467" s="48"/>
      <c r="G467" s="48"/>
      <c r="H467" s="48"/>
      <c r="I467" s="48"/>
      <c r="J467" s="48"/>
      <c r="K467" s="48"/>
      <c r="L467" s="48"/>
      <c r="M467" s="48"/>
      <c r="N467" s="48"/>
      <c r="O467" s="48"/>
      <c r="P467" s="48"/>
      <c r="Q467" s="48"/>
      <c r="R467" s="30"/>
      <c r="S467"/>
    </row>
    <row r="468" spans="1:19" x14ac:dyDescent="0.2">
      <c r="A468" s="30"/>
      <c r="B468" s="30"/>
      <c r="C468" s="30"/>
      <c r="D468" s="30"/>
      <c r="E468" s="30"/>
      <c r="F468" s="31"/>
      <c r="G468" s="31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/>
    </row>
    <row r="469" spans="1:19" x14ac:dyDescent="0.2">
      <c r="A469" s="30"/>
      <c r="B469" s="29" t="s">
        <v>295</v>
      </c>
      <c r="C469" s="30"/>
      <c r="D469" s="30"/>
      <c r="E469" s="30"/>
      <c r="F469" s="31"/>
      <c r="G469" s="31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/>
    </row>
    <row r="470" spans="1:19" s="30" customFormat="1" x14ac:dyDescent="0.2">
      <c r="B470" s="30" t="s">
        <v>22</v>
      </c>
      <c r="D470" s="21" t="s">
        <v>231</v>
      </c>
      <c r="E470" s="30" t="s">
        <v>22</v>
      </c>
      <c r="F470" s="72">
        <f>'(R) Data'!C26</f>
        <v>69.033338330085456</v>
      </c>
      <c r="G470" s="72">
        <f>'(R) Data'!D26</f>
        <v>69.033328336581221</v>
      </c>
      <c r="H470" s="72">
        <f>'(R) Data'!E26</f>
        <v>68.937500624594009</v>
      </c>
      <c r="I470" s="72">
        <f>'(R) Data'!F26</f>
        <v>68.362504372158099</v>
      </c>
      <c r="J470" s="72">
        <f>'(R) Data'!G26</f>
        <v>69.000000000000014</v>
      </c>
      <c r="K470" s="72">
        <f>'(R) Data'!H26</f>
        <v>68.999750540828444</v>
      </c>
      <c r="L470" s="72">
        <f>'(R) Data'!I26</f>
        <v>69</v>
      </c>
      <c r="M470" s="72">
        <f>'(R) Data'!J26</f>
        <v>69</v>
      </c>
      <c r="N470" s="72">
        <f>'(R) Data'!K26</f>
        <v>69</v>
      </c>
      <c r="O470" s="72">
        <f>'(R) Data'!L26</f>
        <v>69.000032127825918</v>
      </c>
      <c r="P470" s="72">
        <f>'(R) Data'!M26</f>
        <v>70</v>
      </c>
      <c r="Q470" s="72">
        <f>'(R) Data'!N26</f>
        <v>71</v>
      </c>
      <c r="R470" s="107">
        <f>SUM(F470:Q470)</f>
        <v>830.36645433207309</v>
      </c>
    </row>
    <row r="471" spans="1:19" s="30" customFormat="1" x14ac:dyDescent="0.2">
      <c r="B471" s="30" t="s">
        <v>30</v>
      </c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107"/>
    </row>
    <row r="472" spans="1:19" s="30" customFormat="1" x14ac:dyDescent="0.2">
      <c r="C472" s="30" t="s">
        <v>56</v>
      </c>
      <c r="D472" s="21" t="s">
        <v>231</v>
      </c>
      <c r="E472" s="30" t="s">
        <v>10</v>
      </c>
      <c r="F472" s="161">
        <f>'(R) Therms By Block'!B58</f>
        <v>1561528.83</v>
      </c>
      <c r="G472" s="170">
        <f>'(R) Therms By Block'!C58</f>
        <v>1556380.97</v>
      </c>
      <c r="H472" s="170">
        <f>'(R) Therms By Block'!D58</f>
        <v>1598541.33</v>
      </c>
      <c r="I472" s="170">
        <f>'(R) Therms By Block'!E58</f>
        <v>1638582.18</v>
      </c>
      <c r="J472" s="170">
        <f>'(R) Therms By Block'!F58</f>
        <v>1588806.52</v>
      </c>
      <c r="K472" s="170">
        <f>'(R) Therms By Block'!G58</f>
        <v>1505284.1</v>
      </c>
      <c r="L472" s="170">
        <f>'(R) Therms By Block'!H58</f>
        <v>1462114.96</v>
      </c>
      <c r="M472" s="170">
        <f>'(R) Therms By Block'!I58</f>
        <v>1504173.8</v>
      </c>
      <c r="N472" s="170">
        <f>'(R) Therms By Block'!J58</f>
        <v>1601952.22</v>
      </c>
      <c r="O472" s="170">
        <f>'(R) Therms By Block'!K58</f>
        <v>1597650.4</v>
      </c>
      <c r="P472" s="170">
        <f>'(R) Therms By Block'!L58</f>
        <v>1600042.06</v>
      </c>
      <c r="Q472" s="170">
        <f>'(R) Therms By Block'!M58</f>
        <v>1608072.67</v>
      </c>
      <c r="R472" s="107">
        <f>SUM(F472:Q472)</f>
        <v>18823130.039999999</v>
      </c>
    </row>
    <row r="473" spans="1:19" s="30" customFormat="1" x14ac:dyDescent="0.2">
      <c r="C473" s="30" t="s">
        <v>57</v>
      </c>
      <c r="D473" s="21" t="s">
        <v>231</v>
      </c>
      <c r="E473" s="30" t="s">
        <v>10</v>
      </c>
      <c r="F473" s="170">
        <f>'(R) Therms By Block'!B59</f>
        <v>1105338.79</v>
      </c>
      <c r="G473" s="170">
        <f>'(R) Therms By Block'!C59</f>
        <v>1127142.8500000001</v>
      </c>
      <c r="H473" s="170">
        <f>'(R) Therms By Block'!D59</f>
        <v>1073013.7</v>
      </c>
      <c r="I473" s="170">
        <f>'(R) Therms By Block'!E59</f>
        <v>1212633.3899999999</v>
      </c>
      <c r="J473" s="170">
        <f>'(R) Therms By Block'!F59</f>
        <v>1044503.57</v>
      </c>
      <c r="K473" s="170">
        <f>'(R) Therms By Block'!G59</f>
        <v>1068403.94</v>
      </c>
      <c r="L473" s="170">
        <f>'(R) Therms By Block'!H59</f>
        <v>1038998.88</v>
      </c>
      <c r="M473" s="170">
        <f>'(R) Therms By Block'!I59</f>
        <v>947370.73</v>
      </c>
      <c r="N473" s="170">
        <f>'(R) Therms By Block'!J59</f>
        <v>1098021.3700000001</v>
      </c>
      <c r="O473" s="170">
        <f>'(R) Therms By Block'!K59</f>
        <v>1061605.1299999999</v>
      </c>
      <c r="P473" s="170">
        <f>'(R) Therms By Block'!L59</f>
        <v>1159432.25</v>
      </c>
      <c r="Q473" s="170">
        <f>'(R) Therms By Block'!M59</f>
        <v>1071304.6599999999</v>
      </c>
      <c r="R473" s="107">
        <f>SUM(F473:Q473)</f>
        <v>13007769.259999998</v>
      </c>
    </row>
    <row r="474" spans="1:19" s="30" customFormat="1" x14ac:dyDescent="0.2">
      <c r="C474" s="30" t="s">
        <v>58</v>
      </c>
      <c r="D474" s="21" t="s">
        <v>231</v>
      </c>
      <c r="E474" s="30" t="s">
        <v>10</v>
      </c>
      <c r="F474" s="107">
        <f t="shared" ref="F474:N474" si="295">F475-SUM(F472:F473)</f>
        <v>1613960.9400000004</v>
      </c>
      <c r="G474" s="107">
        <f t="shared" si="295"/>
        <v>2031825.9699999997</v>
      </c>
      <c r="H474" s="107">
        <f t="shared" si="295"/>
        <v>1959765.04</v>
      </c>
      <c r="I474" s="107">
        <f t="shared" si="295"/>
        <v>2275699.8699999996</v>
      </c>
      <c r="J474" s="107">
        <f t="shared" si="295"/>
        <v>1844888.7300000004</v>
      </c>
      <c r="K474" s="107">
        <f t="shared" si="295"/>
        <v>2021572.2999999998</v>
      </c>
      <c r="L474" s="107">
        <f t="shared" si="295"/>
        <v>1962519.2800000003</v>
      </c>
      <c r="M474" s="107">
        <f t="shared" si="295"/>
        <v>1665226.63</v>
      </c>
      <c r="N474" s="107">
        <f t="shared" si="295"/>
        <v>2171507.1799999997</v>
      </c>
      <c r="O474" s="107">
        <f t="shared" ref="O474:Q474" si="296">O475-SUM(O472:O473)</f>
        <v>1660681.2900000005</v>
      </c>
      <c r="P474" s="107">
        <f t="shared" si="296"/>
        <v>1497293.06</v>
      </c>
      <c r="Q474" s="107">
        <f t="shared" si="296"/>
        <v>1554405.1799999997</v>
      </c>
      <c r="R474" s="107">
        <f>SUM(F474:Q474)</f>
        <v>22259345.469999999</v>
      </c>
    </row>
    <row r="475" spans="1:19" s="30" customFormat="1" x14ac:dyDescent="0.2">
      <c r="C475" s="30" t="s">
        <v>17</v>
      </c>
      <c r="D475" s="21" t="s">
        <v>231</v>
      </c>
      <c r="E475" s="30" t="s">
        <v>10</v>
      </c>
      <c r="F475" s="111">
        <f>'Weather Adj'!D192</f>
        <v>4280828.5600000005</v>
      </c>
      <c r="G475" s="111">
        <f>'Weather Adj'!E192</f>
        <v>4715349.79</v>
      </c>
      <c r="H475" s="111">
        <f>'Weather Adj'!F192</f>
        <v>4631320.07</v>
      </c>
      <c r="I475" s="111">
        <f>'Weather Adj'!G192</f>
        <v>5126915.4399999995</v>
      </c>
      <c r="J475" s="111">
        <f>'Weather Adj'!H192</f>
        <v>4478198.82</v>
      </c>
      <c r="K475" s="111">
        <f>'Weather Adj'!I192</f>
        <v>4595260.34</v>
      </c>
      <c r="L475" s="111">
        <f>'Weather Adj'!J192</f>
        <v>4463633.12</v>
      </c>
      <c r="M475" s="111">
        <f>'Weather Adj'!K192</f>
        <v>4116771.16</v>
      </c>
      <c r="N475" s="111">
        <f>'Weather Adj'!L192</f>
        <v>4871480.7699999996</v>
      </c>
      <c r="O475" s="111">
        <f>'Weather Adj'!M192</f>
        <v>4319936.82</v>
      </c>
      <c r="P475" s="111">
        <f>'Weather Adj'!N192</f>
        <v>4256767.37</v>
      </c>
      <c r="Q475" s="111">
        <f>'Weather Adj'!O192</f>
        <v>4233782.51</v>
      </c>
      <c r="R475" s="109">
        <f>SUM(F475:Q475)</f>
        <v>54090244.769999988</v>
      </c>
    </row>
    <row r="476" spans="1:19" s="30" customFormat="1" x14ac:dyDescent="0.2">
      <c r="B476" s="30" t="s">
        <v>29</v>
      </c>
      <c r="D476" s="21" t="s">
        <v>231</v>
      </c>
      <c r="E476" s="30" t="s">
        <v>100</v>
      </c>
      <c r="F476" s="72">
        <f>'(R) Data'!C46</f>
        <v>45698</v>
      </c>
      <c r="G476" s="72">
        <f>'(R) Data'!D46</f>
        <v>43998</v>
      </c>
      <c r="H476" s="72">
        <f>'(R) Data'!E46</f>
        <v>44998</v>
      </c>
      <c r="I476" s="72">
        <f>'(R) Data'!F46</f>
        <v>47143.334000000003</v>
      </c>
      <c r="J476" s="72">
        <f>'(R) Data'!G46</f>
        <v>49840</v>
      </c>
      <c r="K476" s="72">
        <f>'(R) Data'!H46</f>
        <v>45913</v>
      </c>
      <c r="L476" s="72">
        <f>'(R) Data'!I46</f>
        <v>45863</v>
      </c>
      <c r="M476" s="72">
        <f>'(R) Data'!J46</f>
        <v>45976</v>
      </c>
      <c r="N476" s="72">
        <f>'(R) Data'!K46</f>
        <v>47273</v>
      </c>
      <c r="O476" s="72">
        <f>'(R) Data'!L46</f>
        <v>46772</v>
      </c>
      <c r="P476" s="72">
        <f>'(R) Data'!M46</f>
        <v>46208</v>
      </c>
      <c r="Q476" s="72">
        <f>'(R) Data'!N46</f>
        <v>45894</v>
      </c>
      <c r="R476" s="107">
        <f>SUM(F476:Q476)</f>
        <v>555576.33400000003</v>
      </c>
    </row>
    <row r="477" spans="1:19" s="30" customFormat="1" x14ac:dyDescent="0.2">
      <c r="B477" s="30" t="s">
        <v>21</v>
      </c>
      <c r="D477" s="47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</row>
    <row r="478" spans="1:19" s="30" customFormat="1" x14ac:dyDescent="0.2"/>
    <row r="479" spans="1:19" s="30" customFormat="1" x14ac:dyDescent="0.2">
      <c r="B479" s="29" t="s">
        <v>9</v>
      </c>
    </row>
    <row r="480" spans="1:19" s="30" customFormat="1" x14ac:dyDescent="0.2">
      <c r="A480" s="30" t="s">
        <v>147</v>
      </c>
      <c r="B480" s="30" t="s">
        <v>282</v>
      </c>
      <c r="D480" s="47" t="s">
        <v>231</v>
      </c>
      <c r="F480" s="34">
        <f t="shared" ref="F480:N480" si="297">F459*F470</f>
        <v>60589.870718932711</v>
      </c>
      <c r="G480" s="34">
        <f t="shared" si="297"/>
        <v>60589.861947733974</v>
      </c>
      <c r="H480" s="34">
        <f t="shared" si="297"/>
        <v>60505.754923199922</v>
      </c>
      <c r="I480" s="34">
        <f t="shared" si="297"/>
        <v>60001.086462399449</v>
      </c>
      <c r="J480" s="34">
        <f t="shared" si="297"/>
        <v>60560.610000000015</v>
      </c>
      <c r="K480" s="34">
        <f t="shared" si="297"/>
        <v>60560.391052179722</v>
      </c>
      <c r="L480" s="34">
        <f t="shared" si="297"/>
        <v>60560.61</v>
      </c>
      <c r="M480" s="34">
        <f t="shared" si="297"/>
        <v>60560.61</v>
      </c>
      <c r="N480" s="34">
        <f t="shared" si="297"/>
        <v>60560.61</v>
      </c>
      <c r="O480" s="34">
        <f t="shared" ref="O480:Q480" si="298">O459*O470</f>
        <v>60560.638198271532</v>
      </c>
      <c r="P480" s="34">
        <f t="shared" si="298"/>
        <v>61438.3</v>
      </c>
      <c r="Q480" s="34">
        <f t="shared" si="298"/>
        <v>62315.990000000005</v>
      </c>
      <c r="R480" s="34">
        <f>SUM(F480:Q480)</f>
        <v>728804.33330271731</v>
      </c>
    </row>
    <row r="481" spans="1:18" s="30" customFormat="1" x14ac:dyDescent="0.2">
      <c r="A481"/>
      <c r="B481" t="s">
        <v>3</v>
      </c>
      <c r="C481"/>
      <c r="D481" s="21"/>
      <c r="E481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</row>
    <row r="482" spans="1:18" s="30" customFormat="1" x14ac:dyDescent="0.2">
      <c r="A482"/>
      <c r="B482"/>
      <c r="C482" t="s">
        <v>56</v>
      </c>
      <c r="D482" s="47" t="s">
        <v>231</v>
      </c>
      <c r="E482"/>
      <c r="F482" s="34">
        <f t="shared" ref="F482:N482" si="299">F461*F472</f>
        <v>155153.5045488</v>
      </c>
      <c r="G482" s="34">
        <f t="shared" si="299"/>
        <v>154642.0131792</v>
      </c>
      <c r="H482" s="34">
        <f t="shared" si="299"/>
        <v>158831.06654880001</v>
      </c>
      <c r="I482" s="34">
        <f t="shared" si="299"/>
        <v>162809.52540479999</v>
      </c>
      <c r="J482" s="34">
        <f t="shared" si="299"/>
        <v>157863.81582720001</v>
      </c>
      <c r="K482" s="34">
        <f t="shared" si="299"/>
        <v>149565.02817600002</v>
      </c>
      <c r="L482" s="34">
        <f t="shared" si="299"/>
        <v>145275.74242560001</v>
      </c>
      <c r="M482" s="34">
        <f t="shared" si="299"/>
        <v>149454.70876800001</v>
      </c>
      <c r="N482" s="34">
        <f t="shared" si="299"/>
        <v>159169.9725792</v>
      </c>
      <c r="O482" s="34">
        <f t="shared" ref="O482:Q482" si="300">O461*O472</f>
        <v>158742.543744</v>
      </c>
      <c r="P482" s="34">
        <f t="shared" si="300"/>
        <v>158980.17908160001</v>
      </c>
      <c r="Q482" s="34">
        <f t="shared" si="300"/>
        <v>159778.10049119999</v>
      </c>
      <c r="R482" s="34">
        <f t="shared" ref="R482:R489" si="301">SUM(F482:Q482)</f>
        <v>1870266.2007743996</v>
      </c>
    </row>
    <row r="483" spans="1:18" s="30" customFormat="1" x14ac:dyDescent="0.2">
      <c r="A483"/>
      <c r="B483"/>
      <c r="C483" t="s">
        <v>57</v>
      </c>
      <c r="D483" s="47" t="s">
        <v>231</v>
      </c>
      <c r="E483"/>
      <c r="F483" s="34">
        <f t="shared" ref="F483:N483" si="302">F462*F473</f>
        <v>54349.508304299998</v>
      </c>
      <c r="G483" s="34">
        <f t="shared" si="302"/>
        <v>55421.613934500005</v>
      </c>
      <c r="H483" s="34">
        <f t="shared" si="302"/>
        <v>52760.083628999993</v>
      </c>
      <c r="I483" s="34">
        <f t="shared" si="302"/>
        <v>59625.183786299996</v>
      </c>
      <c r="J483" s="34">
        <f t="shared" si="302"/>
        <v>51358.240536899997</v>
      </c>
      <c r="K483" s="34">
        <f t="shared" si="302"/>
        <v>52533.421729799993</v>
      </c>
      <c r="L483" s="34">
        <f t="shared" si="302"/>
        <v>51087.574929599999</v>
      </c>
      <c r="M483" s="34">
        <f t="shared" si="302"/>
        <v>46582.218794100001</v>
      </c>
      <c r="N483" s="34">
        <f t="shared" si="302"/>
        <v>53989.710762900002</v>
      </c>
      <c r="O483" s="34">
        <f t="shared" ref="O483:Q483" si="303">O462*O473</f>
        <v>52199.124242099992</v>
      </c>
      <c r="P483" s="34">
        <f t="shared" si="303"/>
        <v>57009.2837325</v>
      </c>
      <c r="Q483" s="34">
        <f t="shared" si="303"/>
        <v>52676.050132199991</v>
      </c>
      <c r="R483" s="34">
        <f t="shared" si="301"/>
        <v>639592.01451420004</v>
      </c>
    </row>
    <row r="484" spans="1:18" s="30" customFormat="1" x14ac:dyDescent="0.2">
      <c r="A484"/>
      <c r="B484"/>
      <c r="C484" t="s">
        <v>58</v>
      </c>
      <c r="D484" s="47" t="s">
        <v>231</v>
      </c>
      <c r="E484"/>
      <c r="F484" s="23">
        <f t="shared" ref="F484:N484" si="304">F463*F474</f>
        <v>75920.722617600011</v>
      </c>
      <c r="G484" s="23">
        <f t="shared" si="304"/>
        <v>95577.093628799979</v>
      </c>
      <c r="H484" s="23">
        <f t="shared" si="304"/>
        <v>92187.347481599994</v>
      </c>
      <c r="I484" s="23">
        <f t="shared" si="304"/>
        <v>107048.92188479997</v>
      </c>
      <c r="J484" s="23">
        <f t="shared" si="304"/>
        <v>86783.565859200025</v>
      </c>
      <c r="K484" s="23">
        <f t="shared" si="304"/>
        <v>95094.760991999981</v>
      </c>
      <c r="L484" s="23">
        <f t="shared" si="304"/>
        <v>92316.906931200007</v>
      </c>
      <c r="M484" s="23">
        <f t="shared" si="304"/>
        <v>78332.260675199999</v>
      </c>
      <c r="N484" s="23">
        <f t="shared" si="304"/>
        <v>102147.69774719999</v>
      </c>
      <c r="O484" s="23">
        <f t="shared" ref="O484:Q484" si="305">O463*O474</f>
        <v>78118.447881600019</v>
      </c>
      <c r="P484" s="23">
        <f t="shared" si="305"/>
        <v>70432.665542400006</v>
      </c>
      <c r="Q484" s="23">
        <f t="shared" si="305"/>
        <v>73119.219667199985</v>
      </c>
      <c r="R484" s="23">
        <f t="shared" si="301"/>
        <v>1047079.6109087999</v>
      </c>
    </row>
    <row r="485" spans="1:18" s="30" customFormat="1" x14ac:dyDescent="0.2">
      <c r="A485" t="s">
        <v>147</v>
      </c>
      <c r="B485"/>
      <c r="C485" t="s">
        <v>26</v>
      </c>
      <c r="D485" s="21"/>
      <c r="E485"/>
      <c r="F485" s="24">
        <f t="shared" ref="F485:N485" si="306">SUM(F482:F484)</f>
        <v>285423.73547070002</v>
      </c>
      <c r="G485" s="24">
        <f t="shared" si="306"/>
        <v>305640.72074249998</v>
      </c>
      <c r="H485" s="24">
        <f t="shared" si="306"/>
        <v>303778.49765939999</v>
      </c>
      <c r="I485" s="24">
        <f t="shared" si="306"/>
        <v>329483.63107589993</v>
      </c>
      <c r="J485" s="24">
        <f t="shared" si="306"/>
        <v>296005.62222330004</v>
      </c>
      <c r="K485" s="24">
        <f t="shared" si="306"/>
        <v>297193.21089779999</v>
      </c>
      <c r="L485" s="24">
        <f t="shared" si="306"/>
        <v>288680.22428640001</v>
      </c>
      <c r="M485" s="24">
        <f t="shared" si="306"/>
        <v>274369.18823730003</v>
      </c>
      <c r="N485" s="24">
        <f t="shared" si="306"/>
        <v>315307.38108929998</v>
      </c>
      <c r="O485" s="24">
        <f t="shared" ref="O485:Q485" si="307">SUM(O482:O484)</f>
        <v>289060.11586770002</v>
      </c>
      <c r="P485" s="24">
        <f t="shared" si="307"/>
        <v>286422.12835650006</v>
      </c>
      <c r="Q485" s="24">
        <f t="shared" si="307"/>
        <v>285573.3702906</v>
      </c>
      <c r="R485" s="24">
        <f t="shared" si="301"/>
        <v>3556937.8261973998</v>
      </c>
    </row>
    <row r="486" spans="1:18" s="30" customFormat="1" x14ac:dyDescent="0.2">
      <c r="A486" s="50" t="s">
        <v>130</v>
      </c>
      <c r="B486" s="30" t="s">
        <v>301</v>
      </c>
      <c r="C486"/>
      <c r="D486" s="47" t="s">
        <v>231</v>
      </c>
      <c r="E486" s="50"/>
      <c r="F486" s="40">
        <f t="shared" ref="F486:N486" si="308">F464*F475</f>
        <v>2996.5799920000004</v>
      </c>
      <c r="G486" s="40">
        <f t="shared" si="308"/>
        <v>3300.7448530000001</v>
      </c>
      <c r="H486" s="40">
        <f t="shared" si="308"/>
        <v>3241.9240490000002</v>
      </c>
      <c r="I486" s="40">
        <f t="shared" si="308"/>
        <v>3588.8408079999995</v>
      </c>
      <c r="J486" s="40">
        <f t="shared" si="308"/>
        <v>3134.7391740000003</v>
      </c>
      <c r="K486" s="40">
        <f t="shared" si="308"/>
        <v>3216.6822379999999</v>
      </c>
      <c r="L486" s="40">
        <f t="shared" si="308"/>
        <v>3124.5431840000001</v>
      </c>
      <c r="M486" s="40">
        <f t="shared" si="308"/>
        <v>2881.7398120000003</v>
      </c>
      <c r="N486" s="40">
        <f t="shared" si="308"/>
        <v>3410.0365389999997</v>
      </c>
      <c r="O486" s="40">
        <f t="shared" ref="O486:Q486" si="309">O464*O475</f>
        <v>3023.955774</v>
      </c>
      <c r="P486" s="40">
        <f t="shared" si="309"/>
        <v>2979.7371590000002</v>
      </c>
      <c r="Q486" s="40">
        <f t="shared" si="309"/>
        <v>2963.6477569999997</v>
      </c>
      <c r="R486" s="40">
        <f t="shared" si="301"/>
        <v>37863.171339000008</v>
      </c>
    </row>
    <row r="487" spans="1:18" s="30" customFormat="1" x14ac:dyDescent="0.2">
      <c r="A487" s="50" t="s">
        <v>551</v>
      </c>
      <c r="B487" s="30" t="s">
        <v>552</v>
      </c>
      <c r="C487"/>
      <c r="D487" s="47">
        <v>149</v>
      </c>
      <c r="E487" s="50"/>
      <c r="F487" s="40">
        <f>F465*F475</f>
        <v>14169.542533600003</v>
      </c>
      <c r="G487" s="40">
        <f t="shared" ref="G487:Q487" si="310">G465*G475</f>
        <v>15607.8078049</v>
      </c>
      <c r="H487" s="40">
        <f t="shared" si="310"/>
        <v>15329.6694317</v>
      </c>
      <c r="I487" s="40">
        <f t="shared" si="310"/>
        <v>16970.090106399999</v>
      </c>
      <c r="J487" s="40">
        <f t="shared" si="310"/>
        <v>14822.8380942</v>
      </c>
      <c r="K487" s="40">
        <f t="shared" si="310"/>
        <v>15210.311725399999</v>
      </c>
      <c r="L487" s="40">
        <f t="shared" si="310"/>
        <v>14774.625627200001</v>
      </c>
      <c r="M487" s="40">
        <f t="shared" si="310"/>
        <v>13626.5125396</v>
      </c>
      <c r="N487" s="40">
        <f t="shared" si="310"/>
        <v>16124.601348699998</v>
      </c>
      <c r="O487" s="40">
        <f t="shared" si="310"/>
        <v>14298.990874200001</v>
      </c>
      <c r="P487" s="40">
        <f t="shared" si="310"/>
        <v>14089.899994700001</v>
      </c>
      <c r="Q487" s="40">
        <f t="shared" si="310"/>
        <v>14013.820108099999</v>
      </c>
      <c r="R487" s="40">
        <f t="shared" si="301"/>
        <v>179038.7101887</v>
      </c>
    </row>
    <row r="488" spans="1:18" s="30" customFormat="1" x14ac:dyDescent="0.2">
      <c r="A488" t="s">
        <v>147</v>
      </c>
      <c r="B488" t="s">
        <v>19</v>
      </c>
      <c r="C488"/>
      <c r="D488" s="47" t="s">
        <v>231</v>
      </c>
      <c r="E488"/>
      <c r="F488" s="40">
        <f t="shared" ref="F488:N488" si="311">F466*F476</f>
        <v>55294.58</v>
      </c>
      <c r="G488" s="40">
        <f t="shared" si="311"/>
        <v>53237.58</v>
      </c>
      <c r="H488" s="40">
        <f t="shared" si="311"/>
        <v>54447.58</v>
      </c>
      <c r="I488" s="40">
        <f t="shared" si="311"/>
        <v>57043.434140000005</v>
      </c>
      <c r="J488" s="40">
        <f t="shared" si="311"/>
        <v>60306.400000000001</v>
      </c>
      <c r="K488" s="40">
        <f t="shared" si="311"/>
        <v>55554.729999999996</v>
      </c>
      <c r="L488" s="40">
        <f t="shared" si="311"/>
        <v>55494.229999999996</v>
      </c>
      <c r="M488" s="40">
        <f t="shared" si="311"/>
        <v>55630.96</v>
      </c>
      <c r="N488" s="40">
        <f t="shared" si="311"/>
        <v>57200.33</v>
      </c>
      <c r="O488" s="40">
        <f t="shared" ref="O488:Q488" si="312">O466*O476</f>
        <v>56594.119999999995</v>
      </c>
      <c r="P488" s="40">
        <f t="shared" si="312"/>
        <v>55911.68</v>
      </c>
      <c r="Q488" s="40">
        <f t="shared" si="312"/>
        <v>55531.74</v>
      </c>
      <c r="R488" s="40">
        <f t="shared" si="301"/>
        <v>672247.36414000008</v>
      </c>
    </row>
    <row r="489" spans="1:18" s="30" customFormat="1" x14ac:dyDescent="0.2">
      <c r="A489" s="30" t="s">
        <v>147</v>
      </c>
      <c r="B489" s="30" t="s">
        <v>21</v>
      </c>
      <c r="D489" s="47" t="s">
        <v>231</v>
      </c>
      <c r="F489" s="74">
        <f>'(R) Data'!C62</f>
        <v>0</v>
      </c>
      <c r="G489" s="74">
        <f>'(R) Data'!D62</f>
        <v>4811.83</v>
      </c>
      <c r="H489" s="74">
        <f>'(R) Data'!E62</f>
        <v>0</v>
      </c>
      <c r="I489" s="74">
        <f>'(R) Data'!F62</f>
        <v>0</v>
      </c>
      <c r="J489" s="74">
        <f>'(R) Data'!G62</f>
        <v>0</v>
      </c>
      <c r="K489" s="74">
        <f>'(R) Data'!H62</f>
        <v>0</v>
      </c>
      <c r="L489" s="74">
        <f>'(R) Data'!I62</f>
        <v>0</v>
      </c>
      <c r="M489" s="74">
        <f>'(R) Data'!J62</f>
        <v>0</v>
      </c>
      <c r="N489" s="74">
        <f>'(R) Data'!K62</f>
        <v>0</v>
      </c>
      <c r="O489" s="74">
        <f>'(R) Data'!L62</f>
        <v>7750.42</v>
      </c>
      <c r="P489" s="74">
        <f>'(R) Data'!M62</f>
        <v>0</v>
      </c>
      <c r="Q489" s="74">
        <f>'(R) Data'!N62</f>
        <v>0</v>
      </c>
      <c r="R489" s="40">
        <f t="shared" si="301"/>
        <v>12562.25</v>
      </c>
    </row>
    <row r="490" spans="1:18" s="30" customFormat="1" x14ac:dyDescent="0.2">
      <c r="A490"/>
      <c r="B490" t="s">
        <v>24</v>
      </c>
      <c r="C490"/>
      <c r="D490"/>
      <c r="E490"/>
      <c r="F490" s="24">
        <f>F480+F485+F486+F487+F488+F489</f>
        <v>418474.30871523276</v>
      </c>
      <c r="G490" s="24">
        <f t="shared" ref="G490:R490" si="313">G480+G485+G486+G487+G488+G489</f>
        <v>443188.54534813395</v>
      </c>
      <c r="H490" s="24">
        <f t="shared" si="313"/>
        <v>437303.42606329999</v>
      </c>
      <c r="I490" s="24">
        <f t="shared" si="313"/>
        <v>467087.08259269944</v>
      </c>
      <c r="J490" s="24">
        <f t="shared" si="313"/>
        <v>434830.20949150005</v>
      </c>
      <c r="K490" s="24">
        <f t="shared" si="313"/>
        <v>431735.32591337967</v>
      </c>
      <c r="L490" s="24">
        <f t="shared" si="313"/>
        <v>422634.23309759999</v>
      </c>
      <c r="M490" s="24">
        <f t="shared" si="313"/>
        <v>407069.01058890007</v>
      </c>
      <c r="N490" s="24">
        <f t="shared" si="313"/>
        <v>452602.95897699997</v>
      </c>
      <c r="O490" s="24">
        <f t="shared" si="313"/>
        <v>431288.24071417149</v>
      </c>
      <c r="P490" s="24">
        <f t="shared" si="313"/>
        <v>420841.74551020004</v>
      </c>
      <c r="Q490" s="24">
        <f t="shared" si="313"/>
        <v>420398.56815569999</v>
      </c>
      <c r="R490" s="24">
        <f t="shared" si="313"/>
        <v>5187453.6551678171</v>
      </c>
    </row>
    <row r="491" spans="1:18" s="30" customFormat="1" x14ac:dyDescent="0.2">
      <c r="A491"/>
      <c r="B491"/>
      <c r="C491"/>
      <c r="D491"/>
      <c r="E491"/>
      <c r="F491" s="50"/>
      <c r="G491" s="50"/>
      <c r="H491"/>
      <c r="I491"/>
      <c r="J491"/>
      <c r="K491"/>
      <c r="L491"/>
      <c r="M491"/>
      <c r="N491"/>
      <c r="O491"/>
      <c r="P491"/>
      <c r="Q491"/>
      <c r="R491"/>
    </row>
    <row r="492" spans="1:18" s="30" customFormat="1" x14ac:dyDescent="0.2">
      <c r="A492" t="s">
        <v>305</v>
      </c>
      <c r="B492" t="s">
        <v>304</v>
      </c>
      <c r="C492"/>
      <c r="D492"/>
      <c r="E492"/>
      <c r="F492" s="40">
        <f t="shared" ref="F492:N492" si="314">F486</f>
        <v>2996.5799920000004</v>
      </c>
      <c r="G492" s="40">
        <f t="shared" si="314"/>
        <v>3300.7448530000001</v>
      </c>
      <c r="H492" s="40">
        <f t="shared" si="314"/>
        <v>3241.9240490000002</v>
      </c>
      <c r="I492" s="40">
        <f t="shared" si="314"/>
        <v>3588.8408079999995</v>
      </c>
      <c r="J492" s="40">
        <f t="shared" si="314"/>
        <v>3134.7391740000003</v>
      </c>
      <c r="K492" s="40">
        <f t="shared" si="314"/>
        <v>3216.6822379999999</v>
      </c>
      <c r="L492" s="40">
        <f t="shared" si="314"/>
        <v>3124.5431840000001</v>
      </c>
      <c r="M492" s="40">
        <f t="shared" si="314"/>
        <v>2881.7398120000003</v>
      </c>
      <c r="N492" s="40">
        <f t="shared" si="314"/>
        <v>3410.0365389999997</v>
      </c>
      <c r="O492" s="40">
        <f t="shared" ref="O492:Q492" si="315">O486</f>
        <v>3023.955774</v>
      </c>
      <c r="P492" s="40">
        <f t="shared" si="315"/>
        <v>2979.7371590000002</v>
      </c>
      <c r="Q492" s="40">
        <f t="shared" si="315"/>
        <v>2963.6477569999997</v>
      </c>
      <c r="R492" s="23">
        <f>SUM(F492:Q492)</f>
        <v>37863.171339000008</v>
      </c>
    </row>
    <row r="493" spans="1:18" s="30" customFormat="1" x14ac:dyDescent="0.2"/>
    <row r="494" spans="1:18" s="30" customFormat="1" x14ac:dyDescent="0.2">
      <c r="B494" s="29" t="s">
        <v>89</v>
      </c>
      <c r="C494" s="29"/>
    </row>
    <row r="495" spans="1:18" s="30" customFormat="1" x14ac:dyDescent="0.2">
      <c r="A495"/>
      <c r="B495" s="15" t="s">
        <v>7</v>
      </c>
      <c r="C495" s="1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</row>
    <row r="496" spans="1:18" s="30" customFormat="1" x14ac:dyDescent="0.2">
      <c r="A496"/>
      <c r="B496" t="s">
        <v>282</v>
      </c>
      <c r="C496"/>
      <c r="D496" s="21">
        <v>86</v>
      </c>
      <c r="E496" t="s">
        <v>5</v>
      </c>
      <c r="F496" s="159">
        <f>'Rate Design Int &amp; Trans'!$H$73</f>
        <v>139.36000000000001</v>
      </c>
      <c r="G496" s="159">
        <f>'Rate Design Int &amp; Trans'!$H$73</f>
        <v>139.36000000000001</v>
      </c>
      <c r="H496" s="159">
        <f>'Rate Design Int &amp; Trans'!$H$73</f>
        <v>139.36000000000001</v>
      </c>
      <c r="I496" s="159">
        <f>'Rate Design Int &amp; Trans'!$H$73</f>
        <v>139.36000000000001</v>
      </c>
      <c r="J496" s="159">
        <f>'Rate Design Int &amp; Trans'!$H$73</f>
        <v>139.36000000000001</v>
      </c>
      <c r="K496" s="159">
        <f>'Rate Design Int &amp; Trans'!$H$73</f>
        <v>139.36000000000001</v>
      </c>
      <c r="L496" s="159">
        <f>'Rate Design Int &amp; Trans'!$H$73</f>
        <v>139.36000000000001</v>
      </c>
      <c r="M496" s="159">
        <f>'Rate Design Int &amp; Trans'!$H$73</f>
        <v>139.36000000000001</v>
      </c>
      <c r="N496" s="159">
        <f>'Rate Design Int &amp; Trans'!$H$73</f>
        <v>139.36000000000001</v>
      </c>
      <c r="O496" s="159">
        <f>'Rate Design Int &amp; Trans'!$H$73</f>
        <v>139.36000000000001</v>
      </c>
      <c r="P496" s="159">
        <f>'Rate Design Int &amp; Trans'!$H$73</f>
        <v>139.36000000000001</v>
      </c>
      <c r="Q496" s="159">
        <f>'Rate Design Int &amp; Trans'!$H$73</f>
        <v>139.36000000000001</v>
      </c>
      <c r="R496" s="26"/>
    </row>
    <row r="497" spans="1:18" s="30" customFormat="1" x14ac:dyDescent="0.2">
      <c r="A497"/>
      <c r="B497" t="s">
        <v>3</v>
      </c>
      <c r="C497"/>
      <c r="D497"/>
      <c r="E497"/>
      <c r="F497" s="160"/>
      <c r="G497" s="160"/>
      <c r="H497" s="160"/>
      <c r="I497" s="160"/>
      <c r="J497" s="160"/>
      <c r="K497" s="160"/>
      <c r="L497" s="160"/>
      <c r="M497" s="160"/>
      <c r="N497" s="160"/>
      <c r="O497" s="160"/>
      <c r="P497" s="160"/>
      <c r="Q497" s="160"/>
      <c r="R497" s="20"/>
    </row>
    <row r="498" spans="1:18" s="30" customFormat="1" x14ac:dyDescent="0.2">
      <c r="A498"/>
      <c r="B498"/>
      <c r="C498" t="s">
        <v>59</v>
      </c>
      <c r="D498" s="21">
        <v>86</v>
      </c>
      <c r="E498" t="s">
        <v>6</v>
      </c>
      <c r="F498" s="160">
        <f>'Rate Design Int &amp; Trans'!$H$79</f>
        <v>0.19273999999999999</v>
      </c>
      <c r="G498" s="160">
        <f>'Rate Design Int &amp; Trans'!$H$79</f>
        <v>0.19273999999999999</v>
      </c>
      <c r="H498" s="160">
        <f>'Rate Design Int &amp; Trans'!$H$79</f>
        <v>0.19273999999999999</v>
      </c>
      <c r="I498" s="160">
        <f>'Rate Design Int &amp; Trans'!$H$79</f>
        <v>0.19273999999999999</v>
      </c>
      <c r="J498" s="160">
        <f>'Rate Design Int &amp; Trans'!$H$79</f>
        <v>0.19273999999999999</v>
      </c>
      <c r="K498" s="160">
        <f>'Rate Design Int &amp; Trans'!$H$79</f>
        <v>0.19273999999999999</v>
      </c>
      <c r="L498" s="160">
        <f>'Rate Design Int &amp; Trans'!$H$79</f>
        <v>0.19273999999999999</v>
      </c>
      <c r="M498" s="160">
        <f>'Rate Design Int &amp; Trans'!$H$79</f>
        <v>0.19273999999999999</v>
      </c>
      <c r="N498" s="160">
        <f>'Rate Design Int &amp; Trans'!$H$79</f>
        <v>0.19273999999999999</v>
      </c>
      <c r="O498" s="160">
        <f>'Rate Design Int &amp; Trans'!$H$79</f>
        <v>0.19273999999999999</v>
      </c>
      <c r="P498" s="160">
        <f>'Rate Design Int &amp; Trans'!$H$79</f>
        <v>0.19273999999999999</v>
      </c>
      <c r="Q498" s="160">
        <f>'Rate Design Int &amp; Trans'!$H$79</f>
        <v>0.19273999999999999</v>
      </c>
      <c r="R498" s="20"/>
    </row>
    <row r="499" spans="1:18" s="30" customFormat="1" x14ac:dyDescent="0.2">
      <c r="A499"/>
      <c r="B499"/>
      <c r="C499" t="s">
        <v>60</v>
      </c>
      <c r="D499" s="21">
        <v>86</v>
      </c>
      <c r="E499" t="s">
        <v>6</v>
      </c>
      <c r="F499" s="160">
        <f>'Rate Design Int &amp; Trans'!$H$80</f>
        <v>0.13664000000000001</v>
      </c>
      <c r="G499" s="160">
        <f>'Rate Design Int &amp; Trans'!$H$80</f>
        <v>0.13664000000000001</v>
      </c>
      <c r="H499" s="160">
        <f>'Rate Design Int &amp; Trans'!$H$80</f>
        <v>0.13664000000000001</v>
      </c>
      <c r="I499" s="160">
        <f>'Rate Design Int &amp; Trans'!$H$80</f>
        <v>0.13664000000000001</v>
      </c>
      <c r="J499" s="160">
        <f>'Rate Design Int &amp; Trans'!$H$80</f>
        <v>0.13664000000000001</v>
      </c>
      <c r="K499" s="160">
        <f>'Rate Design Int &amp; Trans'!$H$80</f>
        <v>0.13664000000000001</v>
      </c>
      <c r="L499" s="160">
        <f>'Rate Design Int &amp; Trans'!$H$80</f>
        <v>0.13664000000000001</v>
      </c>
      <c r="M499" s="160">
        <f>'Rate Design Int &amp; Trans'!$H$80</f>
        <v>0.13664000000000001</v>
      </c>
      <c r="N499" s="160">
        <f>'Rate Design Int &amp; Trans'!$H$80</f>
        <v>0.13664000000000001</v>
      </c>
      <c r="O499" s="160">
        <f>'Rate Design Int &amp; Trans'!$H$80</f>
        <v>0.13664000000000001</v>
      </c>
      <c r="P499" s="160">
        <f>'Rate Design Int &amp; Trans'!$H$80</f>
        <v>0.13664000000000001</v>
      </c>
      <c r="Q499" s="160">
        <f>'Rate Design Int &amp; Trans'!$H$80</f>
        <v>0.13664000000000001</v>
      </c>
      <c r="R499" s="20"/>
    </row>
    <row r="500" spans="1:18" s="30" customFormat="1" x14ac:dyDescent="0.2">
      <c r="A500"/>
      <c r="B500" t="s">
        <v>303</v>
      </c>
      <c r="C500"/>
      <c r="D500">
        <v>101</v>
      </c>
      <c r="E500" t="s">
        <v>6</v>
      </c>
      <c r="F500" s="182">
        <v>0.26795999999999998</v>
      </c>
      <c r="G500" s="182">
        <v>0.26795999999999998</v>
      </c>
      <c r="H500" s="182">
        <v>0.26795999999999998</v>
      </c>
      <c r="I500" s="182">
        <v>0.26795999999999998</v>
      </c>
      <c r="J500" s="182">
        <v>0.26795999999999998</v>
      </c>
      <c r="K500" s="182">
        <v>0.26795999999999998</v>
      </c>
      <c r="L500" s="182">
        <v>0.26795999999999998</v>
      </c>
      <c r="M500" s="182">
        <v>0.26795999999999998</v>
      </c>
      <c r="N500" s="182">
        <v>0.26795999999999998</v>
      </c>
      <c r="O500" s="182">
        <v>0.26795999999999998</v>
      </c>
      <c r="P500" s="182">
        <v>0.26795999999999998</v>
      </c>
      <c r="Q500" s="182">
        <v>0.26795999999999998</v>
      </c>
      <c r="R500" s="20"/>
    </row>
    <row r="501" spans="1:18" s="30" customFormat="1" x14ac:dyDescent="0.2">
      <c r="B501" s="30" t="s">
        <v>61</v>
      </c>
      <c r="D501" s="47">
        <v>86</v>
      </c>
      <c r="E501" s="30" t="s">
        <v>6</v>
      </c>
      <c r="F501" s="160">
        <f>'Rate Design Int &amp; Trans'!$H$75</f>
        <v>9.0699999999999999E-3</v>
      </c>
      <c r="G501" s="160">
        <f>'Rate Design Int &amp; Trans'!$H$75</f>
        <v>9.0699999999999999E-3</v>
      </c>
      <c r="H501" s="160">
        <f>'Rate Design Int &amp; Trans'!$H$75</f>
        <v>9.0699999999999999E-3</v>
      </c>
      <c r="I501" s="160">
        <f>'Rate Design Int &amp; Trans'!$H$75</f>
        <v>9.0699999999999999E-3</v>
      </c>
      <c r="J501" s="160">
        <f>'Rate Design Int &amp; Trans'!$H$75</f>
        <v>9.0699999999999999E-3</v>
      </c>
      <c r="K501" s="160">
        <f>'Rate Design Int &amp; Trans'!$H$75</f>
        <v>9.0699999999999999E-3</v>
      </c>
      <c r="L501" s="160">
        <f>'Rate Design Int &amp; Trans'!$H$75</f>
        <v>9.0699999999999999E-3</v>
      </c>
      <c r="M501" s="160">
        <f>'Rate Design Int &amp; Trans'!$H$75</f>
        <v>9.0699999999999999E-3</v>
      </c>
      <c r="N501" s="160">
        <f>'Rate Design Int &amp; Trans'!$H$75</f>
        <v>9.0699999999999999E-3</v>
      </c>
      <c r="O501" s="160">
        <f>'Rate Design Int &amp; Trans'!$H$75</f>
        <v>9.0699999999999999E-3</v>
      </c>
      <c r="P501" s="160">
        <f>'Rate Design Int &amp; Trans'!$H$75</f>
        <v>9.0699999999999999E-3</v>
      </c>
      <c r="Q501" s="160">
        <f>'Rate Design Int &amp; Trans'!$H$75</f>
        <v>9.0699999999999999E-3</v>
      </c>
      <c r="R501" s="65"/>
    </row>
    <row r="502" spans="1:18" s="30" customFormat="1" x14ac:dyDescent="0.2">
      <c r="B502" s="30" t="s">
        <v>550</v>
      </c>
      <c r="D502" s="47">
        <v>149</v>
      </c>
      <c r="E502" s="30" t="s">
        <v>6</v>
      </c>
      <c r="F502" s="182">
        <v>4.15E-3</v>
      </c>
      <c r="G502" s="182">
        <v>4.15E-3</v>
      </c>
      <c r="H502" s="182">
        <v>4.15E-3</v>
      </c>
      <c r="I502" s="182">
        <v>4.15E-3</v>
      </c>
      <c r="J502" s="182">
        <v>4.15E-3</v>
      </c>
      <c r="K502" s="182">
        <v>4.15E-3</v>
      </c>
      <c r="L502" s="182">
        <v>4.15E-3</v>
      </c>
      <c r="M502" s="182">
        <v>4.15E-3</v>
      </c>
      <c r="N502" s="182">
        <v>4.15E-3</v>
      </c>
      <c r="O502" s="182">
        <v>4.15E-3</v>
      </c>
      <c r="P502" s="182">
        <v>4.15E-3</v>
      </c>
      <c r="Q502" s="182">
        <v>4.15E-3</v>
      </c>
      <c r="R502" s="65"/>
    </row>
    <row r="503" spans="1:18" s="30" customFormat="1" x14ac:dyDescent="0.2">
      <c r="B503" s="30" t="s">
        <v>18</v>
      </c>
      <c r="F503" s="132"/>
      <c r="G503" s="132"/>
      <c r="H503" s="132"/>
      <c r="I503" s="132"/>
      <c r="J503" s="132"/>
      <c r="K503" s="132"/>
      <c r="L503" s="132"/>
      <c r="M503" s="132"/>
      <c r="N503" s="132"/>
      <c r="O503" s="132"/>
      <c r="P503" s="132"/>
      <c r="Q503" s="132"/>
      <c r="R503" s="65"/>
    </row>
    <row r="504" spans="1:18" s="30" customFormat="1" x14ac:dyDescent="0.2">
      <c r="C504" s="30" t="s">
        <v>19</v>
      </c>
      <c r="D504" s="30">
        <v>86</v>
      </c>
      <c r="E504" s="30" t="s">
        <v>6</v>
      </c>
      <c r="F504" s="159">
        <f>'Rate Design Int &amp; Trans'!$H$74</f>
        <v>1.22</v>
      </c>
      <c r="G504" s="159">
        <f>'Rate Design Int &amp; Trans'!$H$74</f>
        <v>1.22</v>
      </c>
      <c r="H504" s="159">
        <f>'Rate Design Int &amp; Trans'!$H$74</f>
        <v>1.22</v>
      </c>
      <c r="I504" s="159">
        <f>'Rate Design Int &amp; Trans'!$H$74</f>
        <v>1.22</v>
      </c>
      <c r="J504" s="159">
        <f>'Rate Design Int &amp; Trans'!$H$74</f>
        <v>1.22</v>
      </c>
      <c r="K504" s="159">
        <f>'Rate Design Int &amp; Trans'!$H$74</f>
        <v>1.22</v>
      </c>
      <c r="L504" s="159">
        <f>'Rate Design Int &amp; Trans'!$H$74</f>
        <v>1.22</v>
      </c>
      <c r="M504" s="159">
        <f>'Rate Design Int &amp; Trans'!$H$74</f>
        <v>1.22</v>
      </c>
      <c r="N504" s="159">
        <f>'Rate Design Int &amp; Trans'!$H$74</f>
        <v>1.22</v>
      </c>
      <c r="O504" s="159">
        <f>'Rate Design Int &amp; Trans'!$H$74</f>
        <v>1.22</v>
      </c>
      <c r="P504" s="159">
        <f>'Rate Design Int &amp; Trans'!$H$74</f>
        <v>1.22</v>
      </c>
      <c r="Q504" s="159">
        <f>'Rate Design Int &amp; Trans'!$H$74</f>
        <v>1.22</v>
      </c>
      <c r="R504" s="65"/>
    </row>
    <row r="505" spans="1:18" s="30" customFormat="1" x14ac:dyDescent="0.2">
      <c r="A505"/>
      <c r="C505" s="30" t="s">
        <v>20</v>
      </c>
      <c r="D505" s="30">
        <v>101</v>
      </c>
      <c r="E505" s="30" t="s">
        <v>6</v>
      </c>
      <c r="F505" s="183">
        <v>1.05</v>
      </c>
      <c r="G505" s="183">
        <v>1.05</v>
      </c>
      <c r="H505" s="183">
        <v>1.05</v>
      </c>
      <c r="I505" s="183">
        <v>1.05</v>
      </c>
      <c r="J505" s="183">
        <v>1.05</v>
      </c>
      <c r="K505" s="183">
        <v>1.05</v>
      </c>
      <c r="L505" s="183">
        <v>1.05</v>
      </c>
      <c r="M505" s="183">
        <v>1.05</v>
      </c>
      <c r="N505" s="183">
        <v>1.05</v>
      </c>
      <c r="O505" s="183">
        <v>1.05</v>
      </c>
      <c r="P505" s="183">
        <v>1.05</v>
      </c>
      <c r="Q505" s="183">
        <v>1.05</v>
      </c>
      <c r="R505" s="65"/>
    </row>
    <row r="506" spans="1:18" s="30" customFormat="1" x14ac:dyDescent="0.2">
      <c r="B506" s="30" t="s">
        <v>21</v>
      </c>
      <c r="D506" s="47">
        <v>86</v>
      </c>
      <c r="E506" s="30" t="s">
        <v>22</v>
      </c>
      <c r="F506" s="130"/>
      <c r="G506" s="130"/>
      <c r="H506" s="130"/>
      <c r="I506" s="130"/>
      <c r="J506" s="130"/>
      <c r="K506" s="130"/>
      <c r="L506" s="130"/>
      <c r="M506" s="130"/>
      <c r="N506" s="130"/>
      <c r="O506" s="130"/>
      <c r="P506" s="130"/>
      <c r="Q506" s="130"/>
      <c r="R506" s="65"/>
    </row>
    <row r="507" spans="1:18" s="30" customFormat="1" x14ac:dyDescent="0.2">
      <c r="B507" s="30" t="s">
        <v>304</v>
      </c>
      <c r="D507" s="47"/>
      <c r="F507" s="182">
        <v>0.25578000000000001</v>
      </c>
      <c r="G507" s="182">
        <v>0.25578000000000001</v>
      </c>
      <c r="H507" s="182">
        <v>0.25578000000000001</v>
      </c>
      <c r="I507" s="182">
        <v>0.25578000000000001</v>
      </c>
      <c r="J507" s="182">
        <v>0.25578000000000001</v>
      </c>
      <c r="K507" s="182">
        <v>0.25578000000000001</v>
      </c>
      <c r="L507" s="182">
        <v>0.25578000000000001</v>
      </c>
      <c r="M507" s="182">
        <v>0.25578000000000001</v>
      </c>
      <c r="N507" s="182">
        <v>0.25578000000000001</v>
      </c>
      <c r="O507" s="182">
        <v>0.25578000000000001</v>
      </c>
      <c r="P507" s="182">
        <v>0.25578000000000001</v>
      </c>
      <c r="Q507" s="182">
        <v>0.25578000000000001</v>
      </c>
      <c r="R507" s="65"/>
    </row>
    <row r="508" spans="1:18" s="30" customFormat="1" x14ac:dyDescent="0.2">
      <c r="B508" s="30" t="s">
        <v>310</v>
      </c>
      <c r="D508" s="47"/>
      <c r="F508" s="183">
        <v>1</v>
      </c>
      <c r="G508" s="183">
        <v>1</v>
      </c>
      <c r="H508" s="183">
        <v>1</v>
      </c>
      <c r="I508" s="183">
        <v>1</v>
      </c>
      <c r="J508" s="183">
        <v>1</v>
      </c>
      <c r="K508" s="183">
        <v>1</v>
      </c>
      <c r="L508" s="183">
        <v>1</v>
      </c>
      <c r="M508" s="183">
        <v>1</v>
      </c>
      <c r="N508" s="183">
        <v>1</v>
      </c>
      <c r="O508" s="183">
        <v>1</v>
      </c>
      <c r="P508" s="183">
        <v>1</v>
      </c>
      <c r="Q508" s="183">
        <v>1</v>
      </c>
      <c r="R508" s="65"/>
    </row>
    <row r="509" spans="1:18" s="30" customFormat="1" x14ac:dyDescent="0.2"/>
    <row r="510" spans="1:18" s="30" customFormat="1" x14ac:dyDescent="0.2">
      <c r="B510" s="29" t="s">
        <v>8</v>
      </c>
    </row>
    <row r="511" spans="1:18" s="30" customFormat="1" x14ac:dyDescent="0.2">
      <c r="B511" s="30" t="s">
        <v>22</v>
      </c>
      <c r="E511" s="30" t="s">
        <v>22</v>
      </c>
      <c r="F511" s="76">
        <f>'(R) Data'!C27</f>
        <v>225.0993511477011</v>
      </c>
      <c r="G511" s="76">
        <f>'(R) Data'!D27</f>
        <v>225.46549919765576</v>
      </c>
      <c r="H511" s="76">
        <f>'(R) Data'!E27</f>
        <v>215.11086304332656</v>
      </c>
      <c r="I511" s="76">
        <f>'(R) Data'!F27</f>
        <v>223.09404869880692</v>
      </c>
      <c r="J511" s="76">
        <f>'(R) Data'!G27</f>
        <v>212.5506174562199</v>
      </c>
      <c r="K511" s="76">
        <f>'(R) Data'!H27</f>
        <v>220.54810202637975</v>
      </c>
      <c r="L511" s="76">
        <f>'(R) Data'!I27</f>
        <v>221.02480064873632</v>
      </c>
      <c r="M511" s="76">
        <f>'(R) Data'!J27</f>
        <v>202.04635761589404</v>
      </c>
      <c r="N511" s="76">
        <f>'(R) Data'!K27</f>
        <v>229.08034869576969</v>
      </c>
      <c r="O511" s="76">
        <f>'(R) Data'!L27</f>
        <v>223.33720773077445</v>
      </c>
      <c r="P511" s="76">
        <f>'(R) Data'!M27</f>
        <v>221.29097301951776</v>
      </c>
      <c r="Q511" s="76">
        <f>'(R) Data'!N27</f>
        <v>210.97079506314577</v>
      </c>
      <c r="R511" s="107">
        <f>SUM(F511:Q511)</f>
        <v>2629.6189643439284</v>
      </c>
    </row>
    <row r="512" spans="1:18" s="30" customFormat="1" x14ac:dyDescent="0.2">
      <c r="B512" s="30" t="s">
        <v>30</v>
      </c>
      <c r="F512" s="33"/>
      <c r="G512" s="33"/>
      <c r="H512" s="33"/>
      <c r="I512" s="33"/>
      <c r="J512" s="33"/>
      <c r="K512" s="33"/>
      <c r="L512" s="33"/>
      <c r="M512" s="33"/>
      <c r="N512" s="33"/>
      <c r="O512" s="33"/>
      <c r="P512" s="33"/>
      <c r="Q512" s="33"/>
      <c r="R512" s="107"/>
    </row>
    <row r="513" spans="1:19" s="30" customFormat="1" x14ac:dyDescent="0.2">
      <c r="C513" s="30" t="s">
        <v>59</v>
      </c>
      <c r="E513" s="30" t="s">
        <v>10</v>
      </c>
      <c r="F513" s="161">
        <f>'(R) Therms By Block'!B65</f>
        <v>87597.444000000003</v>
      </c>
      <c r="G513" s="170">
        <f>'(R) Therms By Block'!C65</f>
        <v>84631.491999999998</v>
      </c>
      <c r="H513" s="170">
        <f>'(R) Therms By Block'!D65</f>
        <v>126225.602</v>
      </c>
      <c r="I513" s="170">
        <f>'(R) Therms By Block'!E65</f>
        <v>195108.80900000001</v>
      </c>
      <c r="J513" s="170">
        <f>'(R) Therms By Block'!F65</f>
        <v>201337.30300000001</v>
      </c>
      <c r="K513" s="170">
        <f>'(R) Therms By Block'!G65</f>
        <v>210305.31200000001</v>
      </c>
      <c r="L513" s="170">
        <f>'(R) Therms By Block'!H65</f>
        <v>210017.342</v>
      </c>
      <c r="M513" s="170">
        <f>'(R) Therms By Block'!I65</f>
        <v>192508.152</v>
      </c>
      <c r="N513" s="170">
        <f>'(R) Therms By Block'!J65</f>
        <v>216360.37599999999</v>
      </c>
      <c r="O513" s="170">
        <f>'(R) Therms By Block'!K65</f>
        <v>203989.42300000001</v>
      </c>
      <c r="P513" s="170">
        <f>'(R) Therms By Block'!L65</f>
        <v>163752.66</v>
      </c>
      <c r="Q513" s="170">
        <f>'(R) Therms By Block'!M65</f>
        <v>121940.942</v>
      </c>
      <c r="R513" s="107">
        <f>SUM(F513:Q513)</f>
        <v>2013774.8569999998</v>
      </c>
    </row>
    <row r="514" spans="1:19" s="30" customFormat="1" x14ac:dyDescent="0.2">
      <c r="C514" s="30" t="s">
        <v>60</v>
      </c>
      <c r="E514" s="30" t="s">
        <v>10</v>
      </c>
      <c r="F514" s="107">
        <f t="shared" ref="F514:N514" si="316">F515-F513</f>
        <v>121149.11199999998</v>
      </c>
      <c r="G514" s="107">
        <f t="shared" si="316"/>
        <v>108421.30499999999</v>
      </c>
      <c r="H514" s="107">
        <f t="shared" si="316"/>
        <v>194062.125</v>
      </c>
      <c r="I514" s="107">
        <f t="shared" si="316"/>
        <v>555854.17500000005</v>
      </c>
      <c r="J514" s="107">
        <f t="shared" si="316"/>
        <v>829237.08499999996</v>
      </c>
      <c r="K514" s="107">
        <f t="shared" si="316"/>
        <v>1072220.727</v>
      </c>
      <c r="L514" s="107">
        <f t="shared" si="316"/>
        <v>1048708.067</v>
      </c>
      <c r="M514" s="107">
        <f t="shared" si="316"/>
        <v>857230.8060000001</v>
      </c>
      <c r="N514" s="107">
        <f t="shared" si="316"/>
        <v>894232.78600000008</v>
      </c>
      <c r="O514" s="107">
        <f t="shared" ref="O514:Q514" si="317">O515-O513</f>
        <v>642308.30500000017</v>
      </c>
      <c r="P514" s="107">
        <f t="shared" si="317"/>
        <v>313486.36300000001</v>
      </c>
      <c r="Q514" s="107">
        <f t="shared" si="317"/>
        <v>185910.36200000002</v>
      </c>
      <c r="R514" s="107">
        <f>SUM(F514:Q514)</f>
        <v>6822821.2180000003</v>
      </c>
    </row>
    <row r="515" spans="1:19" s="30" customFormat="1" x14ac:dyDescent="0.2">
      <c r="C515" s="30" t="s">
        <v>17</v>
      </c>
      <c r="E515" s="30" t="s">
        <v>10</v>
      </c>
      <c r="F515" s="111">
        <f>'Weather Adj'!D177</f>
        <v>208746.55599999998</v>
      </c>
      <c r="G515" s="111">
        <f>'Weather Adj'!E177</f>
        <v>193052.79699999999</v>
      </c>
      <c r="H515" s="111">
        <f>'Weather Adj'!F177</f>
        <v>320287.72700000001</v>
      </c>
      <c r="I515" s="111">
        <f>'Weather Adj'!G177</f>
        <v>750962.98400000005</v>
      </c>
      <c r="J515" s="111">
        <f>'Weather Adj'!H177</f>
        <v>1030574.388</v>
      </c>
      <c r="K515" s="111">
        <f>'Weather Adj'!I177</f>
        <v>1282526.0389999999</v>
      </c>
      <c r="L515" s="111">
        <f>'Weather Adj'!J177</f>
        <v>1258725.409</v>
      </c>
      <c r="M515" s="111">
        <f>'Weather Adj'!K177</f>
        <v>1049738.9580000001</v>
      </c>
      <c r="N515" s="111">
        <f>'Weather Adj'!L177</f>
        <v>1110593.162</v>
      </c>
      <c r="O515" s="111">
        <f>'Weather Adj'!M177</f>
        <v>846297.72800000012</v>
      </c>
      <c r="P515" s="111">
        <f>'Weather Adj'!N177</f>
        <v>477239.02300000004</v>
      </c>
      <c r="Q515" s="111">
        <f>'Weather Adj'!O177</f>
        <v>307851.304</v>
      </c>
      <c r="R515" s="109">
        <f>SUM(R513:R514)</f>
        <v>8836596.0749999993</v>
      </c>
    </row>
    <row r="516" spans="1:19" s="30" customFormat="1" x14ac:dyDescent="0.2">
      <c r="B516" s="30" t="s">
        <v>29</v>
      </c>
      <c r="E516" s="30" t="s">
        <v>100</v>
      </c>
      <c r="F516" s="76">
        <f>'(R) Data'!C47</f>
        <v>6653.8180000000002</v>
      </c>
      <c r="G516" s="76">
        <f>'(R) Data'!D47</f>
        <v>6722.4350000000004</v>
      </c>
      <c r="H516" s="76">
        <f>'(R) Data'!E47</f>
        <v>6371.8159999999998</v>
      </c>
      <c r="I516" s="76">
        <f>'(R) Data'!F47</f>
        <v>6929.2560000000003</v>
      </c>
      <c r="J516" s="76">
        <f>'(R) Data'!G47</f>
        <v>6788.3680000000004</v>
      </c>
      <c r="K516" s="76">
        <f>'(R) Data'!H47</f>
        <v>6850.5789999999997</v>
      </c>
      <c r="L516" s="76">
        <f>'(R) Data'!I47</f>
        <v>6691.5240000000003</v>
      </c>
      <c r="M516" s="76">
        <f>'(R) Data'!J47</f>
        <v>6174.0619999999999</v>
      </c>
      <c r="N516" s="76">
        <f>'(R) Data'!K47</f>
        <v>7285.4610000000002</v>
      </c>
      <c r="O516" s="76">
        <f>'(R) Data'!L47</f>
        <v>6868.29</v>
      </c>
      <c r="P516" s="76">
        <f>'(R) Data'!M47</f>
        <v>6677.3860000000004</v>
      </c>
      <c r="Q516" s="76">
        <f>'(R) Data'!N47</f>
        <v>6560.8559999999998</v>
      </c>
      <c r="R516" s="107">
        <f>SUM(F516:Q516)</f>
        <v>80573.850999999995</v>
      </c>
    </row>
    <row r="517" spans="1:19" s="30" customFormat="1" x14ac:dyDescent="0.2">
      <c r="B517" s="30" t="s">
        <v>21</v>
      </c>
      <c r="F517" s="33"/>
      <c r="G517" s="33"/>
      <c r="H517" s="33"/>
      <c r="I517" s="33"/>
      <c r="J517" s="33"/>
      <c r="K517" s="33"/>
      <c r="L517" s="33"/>
      <c r="M517" s="33"/>
      <c r="N517" s="33"/>
      <c r="O517" s="33"/>
      <c r="P517" s="33"/>
      <c r="Q517" s="33"/>
      <c r="R517" s="107"/>
    </row>
    <row r="518" spans="1:19" s="30" customFormat="1" x14ac:dyDescent="0.2">
      <c r="R518" s="96"/>
    </row>
    <row r="519" spans="1:19" s="30" customFormat="1" x14ac:dyDescent="0.2">
      <c r="B519" s="29" t="s">
        <v>9</v>
      </c>
      <c r="R519" s="96"/>
    </row>
    <row r="520" spans="1:19" s="30" customFormat="1" x14ac:dyDescent="0.2">
      <c r="A520" s="30" t="s">
        <v>147</v>
      </c>
      <c r="B520" s="30" t="s">
        <v>282</v>
      </c>
      <c r="D520" s="30">
        <v>86</v>
      </c>
      <c r="F520" s="34">
        <f t="shared" ref="F520:N520" si="318">F496*F511</f>
        <v>31369.845575943629</v>
      </c>
      <c r="G520" s="34">
        <f t="shared" si="318"/>
        <v>31420.871968185311</v>
      </c>
      <c r="H520" s="34">
        <f t="shared" si="318"/>
        <v>29977.849873717991</v>
      </c>
      <c r="I520" s="34">
        <f t="shared" si="318"/>
        <v>31090.386626665735</v>
      </c>
      <c r="J520" s="34">
        <f t="shared" si="318"/>
        <v>29621.054048698807</v>
      </c>
      <c r="K520" s="34">
        <f t="shared" si="318"/>
        <v>30735.583498396285</v>
      </c>
      <c r="L520" s="34">
        <f t="shared" si="318"/>
        <v>30802.016218407894</v>
      </c>
      <c r="M520" s="34">
        <f t="shared" si="318"/>
        <v>28157.180397350996</v>
      </c>
      <c r="N520" s="34">
        <f t="shared" si="318"/>
        <v>31924.637394242465</v>
      </c>
      <c r="O520" s="34">
        <f t="shared" ref="O520:Q520" si="319">O496*O511</f>
        <v>31124.273269360732</v>
      </c>
      <c r="P520" s="34">
        <f t="shared" si="319"/>
        <v>30839.109999999997</v>
      </c>
      <c r="Q520" s="34">
        <f t="shared" si="319"/>
        <v>29400.89</v>
      </c>
      <c r="R520" s="70">
        <f>SUM(F520:Q520)</f>
        <v>366463.69887096982</v>
      </c>
    </row>
    <row r="521" spans="1:19" s="30" customFormat="1" x14ac:dyDescent="0.2">
      <c r="A521"/>
      <c r="B521" t="s">
        <v>3</v>
      </c>
      <c r="C521"/>
      <c r="D521"/>
      <c r="E521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100"/>
    </row>
    <row r="522" spans="1:19" s="30" customFormat="1" x14ac:dyDescent="0.2">
      <c r="A522"/>
      <c r="B522"/>
      <c r="C522" t="s">
        <v>59</v>
      </c>
      <c r="D522">
        <v>86</v>
      </c>
      <c r="E522"/>
      <c r="F522" s="23">
        <f t="shared" ref="F522:N522" si="320">F498*F513</f>
        <v>16883.531356560001</v>
      </c>
      <c r="G522" s="23">
        <f t="shared" si="320"/>
        <v>16311.873768079999</v>
      </c>
      <c r="H522" s="23">
        <f t="shared" si="320"/>
        <v>24328.722529479997</v>
      </c>
      <c r="I522" s="23">
        <f t="shared" si="320"/>
        <v>37605.271846659998</v>
      </c>
      <c r="J522" s="23">
        <f t="shared" si="320"/>
        <v>38805.751780220002</v>
      </c>
      <c r="K522" s="23">
        <f t="shared" si="320"/>
        <v>40534.245834879999</v>
      </c>
      <c r="L522" s="23">
        <f t="shared" si="320"/>
        <v>40478.742497079998</v>
      </c>
      <c r="M522" s="23">
        <f t="shared" si="320"/>
        <v>37104.021216479996</v>
      </c>
      <c r="N522" s="23">
        <f t="shared" si="320"/>
        <v>41701.298870239996</v>
      </c>
      <c r="O522" s="23">
        <f t="shared" ref="O522:Q522" si="321">O498*O513</f>
        <v>39316.921389020004</v>
      </c>
      <c r="P522" s="23">
        <f t="shared" si="321"/>
        <v>31561.687688400001</v>
      </c>
      <c r="Q522" s="23">
        <f t="shared" si="321"/>
        <v>23502.89716108</v>
      </c>
      <c r="R522" s="100">
        <f>SUM(F522:Q522)</f>
        <v>388134.96593817993</v>
      </c>
    </row>
    <row r="523" spans="1:19" s="30" customFormat="1" x14ac:dyDescent="0.2">
      <c r="A523"/>
      <c r="B523"/>
      <c r="C523" t="s">
        <v>60</v>
      </c>
      <c r="D523">
        <v>86</v>
      </c>
      <c r="E523"/>
      <c r="F523" s="23">
        <f t="shared" ref="F523:N523" si="322">F499*F514</f>
        <v>16553.814663679997</v>
      </c>
      <c r="G523" s="23">
        <f t="shared" si="322"/>
        <v>14814.6871152</v>
      </c>
      <c r="H523" s="23">
        <f t="shared" si="322"/>
        <v>26516.648760000004</v>
      </c>
      <c r="I523" s="23">
        <f t="shared" si="322"/>
        <v>75951.914472000019</v>
      </c>
      <c r="J523" s="23">
        <f t="shared" si="322"/>
        <v>113306.9552944</v>
      </c>
      <c r="K523" s="23">
        <f t="shared" si="322"/>
        <v>146508.24013727999</v>
      </c>
      <c r="L523" s="23">
        <f t="shared" si="322"/>
        <v>143295.47027488</v>
      </c>
      <c r="M523" s="23">
        <f t="shared" si="322"/>
        <v>117132.01733184002</v>
      </c>
      <c r="N523" s="23">
        <f t="shared" si="322"/>
        <v>122187.96787904002</v>
      </c>
      <c r="O523" s="23">
        <f t="shared" ref="O523:Q523" si="323">O499*O514</f>
        <v>87765.006795200024</v>
      </c>
      <c r="P523" s="23">
        <f t="shared" si="323"/>
        <v>42834.776640320008</v>
      </c>
      <c r="Q523" s="23">
        <f t="shared" si="323"/>
        <v>25402.791863680006</v>
      </c>
      <c r="R523" s="100">
        <f>SUM(F523:Q523)</f>
        <v>932270.29122751998</v>
      </c>
    </row>
    <row r="524" spans="1:19" s="30" customFormat="1" x14ac:dyDescent="0.2">
      <c r="A524" t="s">
        <v>147</v>
      </c>
      <c r="B524"/>
      <c r="C524" t="s">
        <v>26</v>
      </c>
      <c r="D524"/>
      <c r="E524"/>
      <c r="F524" s="24">
        <f t="shared" ref="F524:N524" si="324">SUM(F522:F523)</f>
        <v>33437.346020240002</v>
      </c>
      <c r="G524" s="24">
        <f t="shared" si="324"/>
        <v>31126.560883279999</v>
      </c>
      <c r="H524" s="24">
        <f t="shared" si="324"/>
        <v>50845.371289479997</v>
      </c>
      <c r="I524" s="24">
        <f t="shared" si="324"/>
        <v>113557.18631866001</v>
      </c>
      <c r="J524" s="24">
        <f t="shared" si="324"/>
        <v>152112.70707462</v>
      </c>
      <c r="K524" s="24">
        <f t="shared" si="324"/>
        <v>187042.48597216001</v>
      </c>
      <c r="L524" s="24">
        <f t="shared" si="324"/>
        <v>183774.21277196001</v>
      </c>
      <c r="M524" s="24">
        <f t="shared" si="324"/>
        <v>154236.03854832001</v>
      </c>
      <c r="N524" s="24">
        <f t="shared" si="324"/>
        <v>163889.26674928001</v>
      </c>
      <c r="O524" s="24">
        <f t="shared" ref="O524:Q524" si="325">SUM(O522:O523)</f>
        <v>127081.92818422003</v>
      </c>
      <c r="P524" s="24">
        <f t="shared" si="325"/>
        <v>74396.464328720002</v>
      </c>
      <c r="Q524" s="24">
        <f t="shared" si="325"/>
        <v>48905.689024760009</v>
      </c>
      <c r="R524" s="24">
        <f>SUM(R522:R523)</f>
        <v>1320405.2571657</v>
      </c>
    </row>
    <row r="525" spans="1:19" x14ac:dyDescent="0.2">
      <c r="A525" s="30" t="s">
        <v>130</v>
      </c>
      <c r="B525" t="s">
        <v>306</v>
      </c>
      <c r="D525">
        <v>101</v>
      </c>
      <c r="F525" s="40">
        <f t="shared" ref="F525:N525" si="326">F500*F515</f>
        <v>55935.727145759993</v>
      </c>
      <c r="G525" s="40">
        <f t="shared" si="326"/>
        <v>51730.427484119995</v>
      </c>
      <c r="H525" s="40">
        <f t="shared" si="326"/>
        <v>85824.299326919994</v>
      </c>
      <c r="I525" s="40">
        <f t="shared" si="326"/>
        <v>201228.04119264</v>
      </c>
      <c r="J525" s="36">
        <f t="shared" si="326"/>
        <v>276152.71300847997</v>
      </c>
      <c r="K525" s="40">
        <f t="shared" si="326"/>
        <v>343665.67741043994</v>
      </c>
      <c r="L525" s="40">
        <f t="shared" si="326"/>
        <v>337288.06059563998</v>
      </c>
      <c r="M525" s="40">
        <f t="shared" si="326"/>
        <v>281288.05118568003</v>
      </c>
      <c r="N525" s="40">
        <f t="shared" si="326"/>
        <v>297594.54368951998</v>
      </c>
      <c r="O525" s="40">
        <f t="shared" ref="O525:Q525" si="327">O500*O515</f>
        <v>226773.93919488002</v>
      </c>
      <c r="P525" s="40">
        <f t="shared" si="327"/>
        <v>127880.96860308001</v>
      </c>
      <c r="Q525" s="40">
        <f t="shared" si="327"/>
        <v>82491.83541983999</v>
      </c>
      <c r="R525" s="97">
        <f>SUM(F525:Q525)</f>
        <v>2367854.2842570003</v>
      </c>
      <c r="S525"/>
    </row>
    <row r="526" spans="1:19" x14ac:dyDescent="0.2">
      <c r="A526" t="s">
        <v>147</v>
      </c>
      <c r="B526" t="s">
        <v>61</v>
      </c>
      <c r="D526" s="21"/>
      <c r="F526" s="40">
        <f t="shared" ref="F526:N526" si="328">F501*F515</f>
        <v>1893.3312629199997</v>
      </c>
      <c r="G526" s="40">
        <f t="shared" si="328"/>
        <v>1750.98886879</v>
      </c>
      <c r="H526" s="40">
        <f t="shared" si="328"/>
        <v>2905.0096838899999</v>
      </c>
      <c r="I526" s="40">
        <f t="shared" si="328"/>
        <v>6811.2342648800004</v>
      </c>
      <c r="J526" s="40">
        <f t="shared" si="328"/>
        <v>9347.3096991599996</v>
      </c>
      <c r="K526" s="40">
        <f t="shared" si="328"/>
        <v>11632.511173729999</v>
      </c>
      <c r="L526" s="40">
        <f t="shared" si="328"/>
        <v>11416.63945963</v>
      </c>
      <c r="M526" s="40">
        <f t="shared" si="328"/>
        <v>9521.1323490600007</v>
      </c>
      <c r="N526" s="40">
        <f t="shared" si="328"/>
        <v>10073.07997934</v>
      </c>
      <c r="O526" s="40">
        <f t="shared" ref="O526:Q526" si="329">O501*O515</f>
        <v>7675.9203929600008</v>
      </c>
      <c r="P526" s="40">
        <f t="shared" si="329"/>
        <v>4328.5579386100007</v>
      </c>
      <c r="Q526" s="40">
        <f t="shared" si="329"/>
        <v>2792.2113272800002</v>
      </c>
      <c r="R526" s="40">
        <f>SUM(F526:Q526)</f>
        <v>80147.926400249999</v>
      </c>
      <c r="S526"/>
    </row>
    <row r="527" spans="1:19" x14ac:dyDescent="0.2">
      <c r="A527" t="s">
        <v>551</v>
      </c>
      <c r="B527" t="s">
        <v>552</v>
      </c>
      <c r="D527" s="21">
        <v>149</v>
      </c>
      <c r="F527" s="40">
        <f>F502*F515</f>
        <v>866.29820739999991</v>
      </c>
      <c r="G527" s="40">
        <f t="shared" ref="G527:Q527" si="330">G502*G515</f>
        <v>801.16910754999992</v>
      </c>
      <c r="H527" s="40">
        <f t="shared" si="330"/>
        <v>1329.1940670500001</v>
      </c>
      <c r="I527" s="40">
        <f t="shared" si="330"/>
        <v>3116.4963836000002</v>
      </c>
      <c r="J527" s="40">
        <f t="shared" si="330"/>
        <v>4276.8837101999998</v>
      </c>
      <c r="K527" s="40">
        <f t="shared" si="330"/>
        <v>5322.4830618499991</v>
      </c>
      <c r="L527" s="40">
        <f t="shared" si="330"/>
        <v>5223.7104473500003</v>
      </c>
      <c r="M527" s="40">
        <f t="shared" si="330"/>
        <v>4356.4166757000003</v>
      </c>
      <c r="N527" s="40">
        <f t="shared" si="330"/>
        <v>4608.9616223000003</v>
      </c>
      <c r="O527" s="40">
        <f t="shared" si="330"/>
        <v>3512.1355712000004</v>
      </c>
      <c r="P527" s="40">
        <f t="shared" si="330"/>
        <v>1980.5419454500002</v>
      </c>
      <c r="Q527" s="40">
        <f t="shared" si="330"/>
        <v>1277.5829116</v>
      </c>
      <c r="R527" s="40">
        <f>SUM(F527:Q527)</f>
        <v>36671.873711250009</v>
      </c>
      <c r="S527"/>
    </row>
    <row r="528" spans="1:19" s="30" customFormat="1" x14ac:dyDescent="0.2">
      <c r="A528"/>
      <c r="B528" t="s">
        <v>18</v>
      </c>
      <c r="C528"/>
      <c r="D528"/>
      <c r="E528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100"/>
    </row>
    <row r="529" spans="1:18" s="30" customFormat="1" x14ac:dyDescent="0.2">
      <c r="A529" t="s">
        <v>147</v>
      </c>
      <c r="B529"/>
      <c r="C529" t="s">
        <v>19</v>
      </c>
      <c r="D529">
        <v>86</v>
      </c>
      <c r="E529"/>
      <c r="F529" s="23">
        <f t="shared" ref="F529:N529" si="331">F504*F516</f>
        <v>8117.6579600000005</v>
      </c>
      <c r="G529" s="23">
        <f t="shared" si="331"/>
        <v>8201.3706999999995</v>
      </c>
      <c r="H529" s="23">
        <f t="shared" si="331"/>
        <v>7773.6155199999994</v>
      </c>
      <c r="I529" s="23">
        <f t="shared" si="331"/>
        <v>8453.6923200000001</v>
      </c>
      <c r="J529" s="23">
        <f t="shared" si="331"/>
        <v>8281.8089600000003</v>
      </c>
      <c r="K529" s="23">
        <f t="shared" si="331"/>
        <v>8357.7063799999996</v>
      </c>
      <c r="L529" s="23">
        <f t="shared" si="331"/>
        <v>8163.6592799999999</v>
      </c>
      <c r="M529" s="23">
        <f t="shared" si="331"/>
        <v>7532.3556399999998</v>
      </c>
      <c r="N529" s="23">
        <f t="shared" si="331"/>
        <v>8888.2624200000009</v>
      </c>
      <c r="O529" s="23">
        <f t="shared" ref="O529:Q529" si="332">O504*O516</f>
        <v>8379.3137999999999</v>
      </c>
      <c r="P529" s="23">
        <f t="shared" si="332"/>
        <v>8146.4109200000003</v>
      </c>
      <c r="Q529" s="23">
        <f t="shared" si="332"/>
        <v>8004.2443199999998</v>
      </c>
      <c r="R529" s="100">
        <f>SUM(F529:Q529)</f>
        <v>98300.09822</v>
      </c>
    </row>
    <row r="530" spans="1:18" s="30" customFormat="1" x14ac:dyDescent="0.2">
      <c r="A530" s="30" t="s">
        <v>130</v>
      </c>
      <c r="C530" s="30" t="s">
        <v>20</v>
      </c>
      <c r="D530" s="30">
        <v>101</v>
      </c>
      <c r="F530" s="34">
        <f t="shared" ref="F530:N530" si="333">F505*F516</f>
        <v>6986.5089000000007</v>
      </c>
      <c r="G530" s="34">
        <f t="shared" si="333"/>
        <v>7058.5567500000006</v>
      </c>
      <c r="H530" s="34">
        <f t="shared" si="333"/>
        <v>6690.4067999999997</v>
      </c>
      <c r="I530" s="34">
        <f t="shared" si="333"/>
        <v>7275.7188000000006</v>
      </c>
      <c r="J530" s="34">
        <f t="shared" si="333"/>
        <v>7127.7864000000009</v>
      </c>
      <c r="K530" s="34">
        <f t="shared" si="333"/>
        <v>7193.1079499999996</v>
      </c>
      <c r="L530" s="34">
        <f t="shared" si="333"/>
        <v>7026.1002000000008</v>
      </c>
      <c r="M530" s="34">
        <f t="shared" si="333"/>
        <v>6482.7651000000005</v>
      </c>
      <c r="N530" s="34">
        <f t="shared" si="333"/>
        <v>7649.7340500000009</v>
      </c>
      <c r="O530" s="34">
        <f t="shared" ref="O530:Q530" si="334">O505*O516</f>
        <v>7211.7044999999998</v>
      </c>
      <c r="P530" s="34">
        <f t="shared" si="334"/>
        <v>7011.2553000000007</v>
      </c>
      <c r="Q530" s="34">
        <f t="shared" si="334"/>
        <v>6888.8987999999999</v>
      </c>
      <c r="R530" s="70">
        <f>SUM(F530:Q530)</f>
        <v>84602.543549999988</v>
      </c>
    </row>
    <row r="531" spans="1:18" s="30" customFormat="1" x14ac:dyDescent="0.2">
      <c r="C531" s="30" t="s">
        <v>23</v>
      </c>
      <c r="F531" s="35">
        <f t="shared" ref="F531:N531" si="335">SUM(F529:F530)</f>
        <v>15104.166860000001</v>
      </c>
      <c r="G531" s="35">
        <f t="shared" si="335"/>
        <v>15259.927449999999</v>
      </c>
      <c r="H531" s="35">
        <f t="shared" si="335"/>
        <v>14464.02232</v>
      </c>
      <c r="I531" s="35">
        <f t="shared" si="335"/>
        <v>15729.411120000001</v>
      </c>
      <c r="J531" s="35">
        <f t="shared" si="335"/>
        <v>15409.595360000001</v>
      </c>
      <c r="K531" s="35">
        <f t="shared" si="335"/>
        <v>15550.814329999999</v>
      </c>
      <c r="L531" s="35">
        <f t="shared" si="335"/>
        <v>15189.759480000001</v>
      </c>
      <c r="M531" s="35">
        <f t="shared" si="335"/>
        <v>14015.12074</v>
      </c>
      <c r="N531" s="35">
        <f t="shared" si="335"/>
        <v>16537.996470000002</v>
      </c>
      <c r="O531" s="35">
        <f t="shared" ref="O531:Q531" si="336">SUM(O529:O530)</f>
        <v>15591.0183</v>
      </c>
      <c r="P531" s="35">
        <f t="shared" si="336"/>
        <v>15157.666220000001</v>
      </c>
      <c r="Q531" s="35">
        <f t="shared" si="336"/>
        <v>14893.143120000001</v>
      </c>
      <c r="R531" s="35">
        <f>SUM(R529:R530)</f>
        <v>182902.64176999999</v>
      </c>
    </row>
    <row r="532" spans="1:18" s="30" customFormat="1" x14ac:dyDescent="0.2">
      <c r="A532" s="30" t="s">
        <v>147</v>
      </c>
      <c r="B532" s="30" t="s">
        <v>21</v>
      </c>
      <c r="D532" s="30">
        <v>86</v>
      </c>
      <c r="F532" s="74">
        <f>'(R) Data'!C63</f>
        <v>615.7399999999999</v>
      </c>
      <c r="G532" s="74">
        <f>'(R) Data'!D63</f>
        <v>17079.060000000001</v>
      </c>
      <c r="H532" s="74">
        <f>'(R) Data'!E63</f>
        <v>10533.02</v>
      </c>
      <c r="I532" s="74">
        <f>'(R) Data'!F63</f>
        <v>152.78</v>
      </c>
      <c r="J532" s="74">
        <f>'(R) Data'!G63</f>
        <v>0</v>
      </c>
      <c r="K532" s="74">
        <f>'(R) Data'!H63</f>
        <v>0</v>
      </c>
      <c r="L532" s="74">
        <f>'(R) Data'!I63</f>
        <v>0</v>
      </c>
      <c r="M532" s="74">
        <f>'(R) Data'!J63</f>
        <v>0</v>
      </c>
      <c r="N532" s="74">
        <f>'(R) Data'!K63</f>
        <v>0</v>
      </c>
      <c r="O532" s="74">
        <f>'(R) Data'!L63</f>
        <v>0</v>
      </c>
      <c r="P532" s="74">
        <f>'(R) Data'!M63</f>
        <v>0</v>
      </c>
      <c r="Q532" s="74">
        <f>'(R) Data'!N63</f>
        <v>0</v>
      </c>
      <c r="R532" s="70">
        <f>SUM(F532:Q532)</f>
        <v>28380.600000000002</v>
      </c>
    </row>
    <row r="533" spans="1:18" s="30" customFormat="1" x14ac:dyDescent="0.2">
      <c r="B533" s="30" t="s">
        <v>25</v>
      </c>
      <c r="F533" s="35">
        <f t="shared" ref="F533:N533" si="337">F525+F530</f>
        <v>62922.236045759993</v>
      </c>
      <c r="G533" s="35">
        <f t="shared" si="337"/>
        <v>58788.984234119998</v>
      </c>
      <c r="H533" s="35">
        <f t="shared" si="337"/>
        <v>92514.706126919991</v>
      </c>
      <c r="I533" s="35">
        <f t="shared" si="337"/>
        <v>208503.75999264</v>
      </c>
      <c r="J533" s="35">
        <f t="shared" si="337"/>
        <v>283280.49940847995</v>
      </c>
      <c r="K533" s="35">
        <f t="shared" si="337"/>
        <v>350858.78536043991</v>
      </c>
      <c r="L533" s="35">
        <f t="shared" si="337"/>
        <v>344314.16079563997</v>
      </c>
      <c r="M533" s="35">
        <f t="shared" si="337"/>
        <v>287770.81628568005</v>
      </c>
      <c r="N533" s="35">
        <f t="shared" si="337"/>
        <v>305244.27773952001</v>
      </c>
      <c r="O533" s="35">
        <f t="shared" ref="O533:Q533" si="338">O525+O530</f>
        <v>233985.64369488001</v>
      </c>
      <c r="P533" s="35">
        <f t="shared" si="338"/>
        <v>134892.22390308001</v>
      </c>
      <c r="Q533" s="35">
        <f t="shared" si="338"/>
        <v>89380.734219839986</v>
      </c>
      <c r="R533" s="35">
        <f>R525+R530</f>
        <v>2452456.8278070004</v>
      </c>
    </row>
    <row r="534" spans="1:18" s="30" customFormat="1" x14ac:dyDescent="0.2">
      <c r="B534" s="30" t="s">
        <v>24</v>
      </c>
      <c r="F534" s="35">
        <f>F520+F524+F525+F526+F527+F531+F532</f>
        <v>139222.45507226363</v>
      </c>
      <c r="G534" s="35">
        <f t="shared" ref="G534:R534" si="339">G520+G524+G525+G526+G527+G531+G532</f>
        <v>149169.00576192531</v>
      </c>
      <c r="H534" s="35">
        <f t="shared" si="339"/>
        <v>195878.76656105797</v>
      </c>
      <c r="I534" s="35">
        <f t="shared" si="339"/>
        <v>371685.53590644576</v>
      </c>
      <c r="J534" s="35">
        <f t="shared" si="339"/>
        <v>486920.26290115877</v>
      </c>
      <c r="K534" s="35">
        <f t="shared" si="339"/>
        <v>593949.55544657621</v>
      </c>
      <c r="L534" s="35">
        <f t="shared" si="339"/>
        <v>583694.3989729879</v>
      </c>
      <c r="M534" s="35">
        <f t="shared" si="339"/>
        <v>491573.93989611097</v>
      </c>
      <c r="N534" s="35">
        <f t="shared" si="339"/>
        <v>524628.48590468243</v>
      </c>
      <c r="O534" s="35">
        <f t="shared" si="339"/>
        <v>411759.21491262078</v>
      </c>
      <c r="P534" s="35">
        <f t="shared" si="339"/>
        <v>254583.30903586003</v>
      </c>
      <c r="Q534" s="35">
        <f t="shared" si="339"/>
        <v>179761.35180348001</v>
      </c>
      <c r="R534" s="35">
        <f t="shared" si="339"/>
        <v>4382826.2821751693</v>
      </c>
    </row>
    <row r="535" spans="1:18" s="30" customFormat="1" x14ac:dyDescent="0.2"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70"/>
    </row>
    <row r="536" spans="1:18" s="30" customFormat="1" x14ac:dyDescent="0.2">
      <c r="A536" s="30" t="s">
        <v>305</v>
      </c>
      <c r="B536" s="30" t="s">
        <v>304</v>
      </c>
      <c r="F536" s="34">
        <f t="shared" ref="F536:N536" si="340">F507*F515+F516*F508</f>
        <v>60047.012093679994</v>
      </c>
      <c r="G536" s="34">
        <f t="shared" si="340"/>
        <v>56101.479416659997</v>
      </c>
      <c r="H536" s="34">
        <f t="shared" si="340"/>
        <v>88295.010812060005</v>
      </c>
      <c r="I536" s="34">
        <f t="shared" si="340"/>
        <v>199010.56804752001</v>
      </c>
      <c r="J536" s="34">
        <f t="shared" si="340"/>
        <v>270388.68496264005</v>
      </c>
      <c r="K536" s="34">
        <f t="shared" si="340"/>
        <v>334895.08925542003</v>
      </c>
      <c r="L536" s="34">
        <f t="shared" si="340"/>
        <v>328648.30911401997</v>
      </c>
      <c r="M536" s="34">
        <f t="shared" si="340"/>
        <v>274676.29267724004</v>
      </c>
      <c r="N536" s="34">
        <f t="shared" si="340"/>
        <v>291352.97997636005</v>
      </c>
      <c r="O536" s="34">
        <f t="shared" ref="O536:Q536" si="341">O507*O515+O516*O508</f>
        <v>223334.32286784003</v>
      </c>
      <c r="P536" s="34">
        <f t="shared" si="341"/>
        <v>128745.58330294001</v>
      </c>
      <c r="Q536" s="34">
        <f t="shared" si="341"/>
        <v>85303.06253712</v>
      </c>
      <c r="R536" s="70">
        <f>SUM(F536:Q536)</f>
        <v>2340798.3950635004</v>
      </c>
    </row>
    <row r="537" spans="1:18" s="30" customFormat="1" x14ac:dyDescent="0.2"/>
    <row r="538" spans="1:18" s="30" customFormat="1" x14ac:dyDescent="0.2">
      <c r="A538"/>
      <c r="B538" s="15" t="s">
        <v>99</v>
      </c>
      <c r="C538" s="15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</row>
    <row r="539" spans="1:18" s="30" customFormat="1" x14ac:dyDescent="0.2">
      <c r="A539"/>
      <c r="B539" s="15" t="s">
        <v>7</v>
      </c>
      <c r="C539" s="15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</row>
    <row r="540" spans="1:18" s="30" customFormat="1" x14ac:dyDescent="0.2">
      <c r="A540"/>
      <c r="B540" t="s">
        <v>282</v>
      </c>
      <c r="C540"/>
      <c r="D540" s="21">
        <v>86</v>
      </c>
      <c r="E540" t="s">
        <v>5</v>
      </c>
      <c r="F540" s="17">
        <f t="shared" ref="F540:Q540" si="342">F496</f>
        <v>139.36000000000001</v>
      </c>
      <c r="G540" s="17">
        <f t="shared" si="342"/>
        <v>139.36000000000001</v>
      </c>
      <c r="H540" s="17">
        <f t="shared" si="342"/>
        <v>139.36000000000001</v>
      </c>
      <c r="I540" s="17">
        <f t="shared" si="342"/>
        <v>139.36000000000001</v>
      </c>
      <c r="J540" s="17">
        <f t="shared" si="342"/>
        <v>139.36000000000001</v>
      </c>
      <c r="K540" s="17">
        <f t="shared" si="342"/>
        <v>139.36000000000001</v>
      </c>
      <c r="L540" s="17">
        <f t="shared" si="342"/>
        <v>139.36000000000001</v>
      </c>
      <c r="M540" s="17">
        <f t="shared" si="342"/>
        <v>139.36000000000001</v>
      </c>
      <c r="N540" s="17">
        <f t="shared" si="342"/>
        <v>139.36000000000001</v>
      </c>
      <c r="O540" s="17">
        <f t="shared" si="342"/>
        <v>139.36000000000001</v>
      </c>
      <c r="P540" s="17">
        <f t="shared" si="342"/>
        <v>139.36000000000001</v>
      </c>
      <c r="Q540" s="17">
        <f t="shared" si="342"/>
        <v>139.36000000000001</v>
      </c>
      <c r="R540" s="26"/>
    </row>
    <row r="541" spans="1:18" s="30" customFormat="1" x14ac:dyDescent="0.2">
      <c r="A541"/>
      <c r="B541" t="s">
        <v>3</v>
      </c>
      <c r="C541"/>
      <c r="D541"/>
      <c r="E541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20"/>
    </row>
    <row r="542" spans="1:18" s="30" customFormat="1" x14ac:dyDescent="0.2">
      <c r="A542"/>
      <c r="B542"/>
      <c r="C542" t="s">
        <v>59</v>
      </c>
      <c r="D542" s="21">
        <v>86</v>
      </c>
      <c r="E542" t="s">
        <v>6</v>
      </c>
      <c r="F542" s="18">
        <f t="shared" ref="F542:Q542" si="343">F498</f>
        <v>0.19273999999999999</v>
      </c>
      <c r="G542" s="18">
        <f t="shared" si="343"/>
        <v>0.19273999999999999</v>
      </c>
      <c r="H542" s="18">
        <f t="shared" si="343"/>
        <v>0.19273999999999999</v>
      </c>
      <c r="I542" s="18">
        <f t="shared" si="343"/>
        <v>0.19273999999999999</v>
      </c>
      <c r="J542" s="18">
        <f t="shared" si="343"/>
        <v>0.19273999999999999</v>
      </c>
      <c r="K542" s="18">
        <f t="shared" si="343"/>
        <v>0.19273999999999999</v>
      </c>
      <c r="L542" s="18">
        <f t="shared" si="343"/>
        <v>0.19273999999999999</v>
      </c>
      <c r="M542" s="18">
        <f t="shared" si="343"/>
        <v>0.19273999999999999</v>
      </c>
      <c r="N542" s="18">
        <f t="shared" si="343"/>
        <v>0.19273999999999999</v>
      </c>
      <c r="O542" s="18">
        <f t="shared" si="343"/>
        <v>0.19273999999999999</v>
      </c>
      <c r="P542" s="18">
        <f t="shared" si="343"/>
        <v>0.19273999999999999</v>
      </c>
      <c r="Q542" s="18">
        <f t="shared" si="343"/>
        <v>0.19273999999999999</v>
      </c>
      <c r="R542" s="20"/>
    </row>
    <row r="543" spans="1:18" s="30" customFormat="1" x14ac:dyDescent="0.2">
      <c r="A543"/>
      <c r="B543"/>
      <c r="C543" t="s">
        <v>60</v>
      </c>
      <c r="D543" s="21">
        <v>86</v>
      </c>
      <c r="E543" t="s">
        <v>6</v>
      </c>
      <c r="F543" s="18">
        <f t="shared" ref="F543:Q543" si="344">F499</f>
        <v>0.13664000000000001</v>
      </c>
      <c r="G543" s="18">
        <f t="shared" si="344"/>
        <v>0.13664000000000001</v>
      </c>
      <c r="H543" s="18">
        <f t="shared" si="344"/>
        <v>0.13664000000000001</v>
      </c>
      <c r="I543" s="18">
        <f t="shared" si="344"/>
        <v>0.13664000000000001</v>
      </c>
      <c r="J543" s="18">
        <f t="shared" si="344"/>
        <v>0.13664000000000001</v>
      </c>
      <c r="K543" s="18">
        <f t="shared" si="344"/>
        <v>0.13664000000000001</v>
      </c>
      <c r="L543" s="18">
        <f t="shared" si="344"/>
        <v>0.13664000000000001</v>
      </c>
      <c r="M543" s="18">
        <f t="shared" si="344"/>
        <v>0.13664000000000001</v>
      </c>
      <c r="N543" s="18">
        <f t="shared" si="344"/>
        <v>0.13664000000000001</v>
      </c>
      <c r="O543" s="18">
        <f t="shared" si="344"/>
        <v>0.13664000000000001</v>
      </c>
      <c r="P543" s="18">
        <f t="shared" si="344"/>
        <v>0.13664000000000001</v>
      </c>
      <c r="Q543" s="18">
        <f t="shared" si="344"/>
        <v>0.13664000000000001</v>
      </c>
      <c r="R543" s="20"/>
    </row>
    <row r="544" spans="1:18" s="30" customFormat="1" x14ac:dyDescent="0.2">
      <c r="A544"/>
      <c r="B544" t="s">
        <v>303</v>
      </c>
      <c r="C544"/>
      <c r="D544">
        <v>101</v>
      </c>
      <c r="E544" t="s">
        <v>6</v>
      </c>
      <c r="F544" s="18">
        <f t="shared" ref="F544:Q544" si="345">F500</f>
        <v>0.26795999999999998</v>
      </c>
      <c r="G544" s="18">
        <f t="shared" si="345"/>
        <v>0.26795999999999998</v>
      </c>
      <c r="H544" s="18">
        <f t="shared" si="345"/>
        <v>0.26795999999999998</v>
      </c>
      <c r="I544" s="18">
        <f t="shared" si="345"/>
        <v>0.26795999999999998</v>
      </c>
      <c r="J544" s="18">
        <f t="shared" si="345"/>
        <v>0.26795999999999998</v>
      </c>
      <c r="K544" s="18">
        <f t="shared" si="345"/>
        <v>0.26795999999999998</v>
      </c>
      <c r="L544" s="18">
        <f t="shared" si="345"/>
        <v>0.26795999999999998</v>
      </c>
      <c r="M544" s="18">
        <f t="shared" si="345"/>
        <v>0.26795999999999998</v>
      </c>
      <c r="N544" s="18">
        <f t="shared" si="345"/>
        <v>0.26795999999999998</v>
      </c>
      <c r="O544" s="18">
        <f t="shared" si="345"/>
        <v>0.26795999999999998</v>
      </c>
      <c r="P544" s="18">
        <f t="shared" si="345"/>
        <v>0.26795999999999998</v>
      </c>
      <c r="Q544" s="18">
        <f t="shared" si="345"/>
        <v>0.26795999999999998</v>
      </c>
      <c r="R544" s="20"/>
    </row>
    <row r="545" spans="1:19" s="30" customFormat="1" x14ac:dyDescent="0.2">
      <c r="A545"/>
      <c r="B545" t="s">
        <v>61</v>
      </c>
      <c r="C545"/>
      <c r="D545" s="21">
        <v>86</v>
      </c>
      <c r="E545" t="s">
        <v>6</v>
      </c>
      <c r="F545" s="20">
        <f t="shared" ref="F545:Q546" si="346">F501</f>
        <v>9.0699999999999999E-3</v>
      </c>
      <c r="G545" s="20">
        <f t="shared" si="346"/>
        <v>9.0699999999999999E-3</v>
      </c>
      <c r="H545" s="20">
        <f t="shared" si="346"/>
        <v>9.0699999999999999E-3</v>
      </c>
      <c r="I545" s="20">
        <f t="shared" si="346"/>
        <v>9.0699999999999999E-3</v>
      </c>
      <c r="J545" s="20">
        <f t="shared" si="346"/>
        <v>9.0699999999999999E-3</v>
      </c>
      <c r="K545" s="20">
        <f t="shared" si="346"/>
        <v>9.0699999999999999E-3</v>
      </c>
      <c r="L545" s="20">
        <f t="shared" si="346"/>
        <v>9.0699999999999999E-3</v>
      </c>
      <c r="M545" s="20">
        <f t="shared" si="346"/>
        <v>9.0699999999999999E-3</v>
      </c>
      <c r="N545" s="20">
        <f t="shared" si="346"/>
        <v>9.0699999999999999E-3</v>
      </c>
      <c r="O545" s="20">
        <f t="shared" si="346"/>
        <v>9.0699999999999999E-3</v>
      </c>
      <c r="P545" s="20">
        <f t="shared" si="346"/>
        <v>9.0699999999999999E-3</v>
      </c>
      <c r="Q545" s="20">
        <f t="shared" si="346"/>
        <v>9.0699999999999999E-3</v>
      </c>
      <c r="R545" s="20"/>
    </row>
    <row r="546" spans="1:19" s="30" customFormat="1" x14ac:dyDescent="0.2">
      <c r="A546"/>
      <c r="B546" t="s">
        <v>550</v>
      </c>
      <c r="C546"/>
      <c r="D546" s="21">
        <v>149</v>
      </c>
      <c r="E546" t="s">
        <v>6</v>
      </c>
      <c r="F546" s="20">
        <f t="shared" si="346"/>
        <v>4.15E-3</v>
      </c>
      <c r="G546" s="20">
        <f t="shared" si="346"/>
        <v>4.15E-3</v>
      </c>
      <c r="H546" s="20">
        <f t="shared" si="346"/>
        <v>4.15E-3</v>
      </c>
      <c r="I546" s="20">
        <f t="shared" si="346"/>
        <v>4.15E-3</v>
      </c>
      <c r="J546" s="20">
        <f t="shared" si="346"/>
        <v>4.15E-3</v>
      </c>
      <c r="K546" s="20">
        <f t="shared" si="346"/>
        <v>4.15E-3</v>
      </c>
      <c r="L546" s="20">
        <f t="shared" si="346"/>
        <v>4.15E-3</v>
      </c>
      <c r="M546" s="20">
        <f t="shared" si="346"/>
        <v>4.15E-3</v>
      </c>
      <c r="N546" s="20">
        <f t="shared" si="346"/>
        <v>4.15E-3</v>
      </c>
      <c r="O546" s="20">
        <f t="shared" si="346"/>
        <v>4.15E-3</v>
      </c>
      <c r="P546" s="20">
        <f t="shared" si="346"/>
        <v>4.15E-3</v>
      </c>
      <c r="Q546" s="20">
        <f t="shared" si="346"/>
        <v>4.15E-3</v>
      </c>
      <c r="R546" s="20"/>
    </row>
    <row r="547" spans="1:19" s="30" customFormat="1" x14ac:dyDescent="0.2">
      <c r="A547"/>
      <c r="B547" t="s">
        <v>18</v>
      </c>
      <c r="C547"/>
      <c r="D547"/>
      <c r="E547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</row>
    <row r="548" spans="1:19" s="30" customFormat="1" x14ac:dyDescent="0.2">
      <c r="A548"/>
      <c r="B548"/>
      <c r="C548" t="s">
        <v>19</v>
      </c>
      <c r="D548">
        <v>101</v>
      </c>
      <c r="E548" t="s">
        <v>6</v>
      </c>
      <c r="F548" s="112">
        <f t="shared" ref="F548:Q548" si="347">F504</f>
        <v>1.22</v>
      </c>
      <c r="G548" s="112">
        <f t="shared" si="347"/>
        <v>1.22</v>
      </c>
      <c r="H548" s="112">
        <f t="shared" si="347"/>
        <v>1.22</v>
      </c>
      <c r="I548" s="112">
        <f t="shared" si="347"/>
        <v>1.22</v>
      </c>
      <c r="J548" s="112">
        <f t="shared" si="347"/>
        <v>1.22</v>
      </c>
      <c r="K548" s="112">
        <f t="shared" si="347"/>
        <v>1.22</v>
      </c>
      <c r="L548" s="112">
        <f t="shared" si="347"/>
        <v>1.22</v>
      </c>
      <c r="M548" s="112">
        <f t="shared" si="347"/>
        <v>1.22</v>
      </c>
      <c r="N548" s="112">
        <f t="shared" si="347"/>
        <v>1.22</v>
      </c>
      <c r="O548" s="112">
        <f t="shared" si="347"/>
        <v>1.22</v>
      </c>
      <c r="P548" s="112">
        <f t="shared" si="347"/>
        <v>1.22</v>
      </c>
      <c r="Q548" s="112">
        <f t="shared" si="347"/>
        <v>1.22</v>
      </c>
      <c r="R548" s="20"/>
    </row>
    <row r="549" spans="1:19" x14ac:dyDescent="0.2">
      <c r="A549" s="30"/>
      <c r="B549" s="30"/>
      <c r="C549" s="30" t="s">
        <v>20</v>
      </c>
      <c r="D549" s="30">
        <v>101</v>
      </c>
      <c r="E549" s="30" t="s">
        <v>6</v>
      </c>
      <c r="F549" s="113">
        <f t="shared" ref="F549:Q549" si="348">F505</f>
        <v>1.05</v>
      </c>
      <c r="G549" s="113">
        <f t="shared" si="348"/>
        <v>1.05</v>
      </c>
      <c r="H549" s="113">
        <f t="shared" si="348"/>
        <v>1.05</v>
      </c>
      <c r="I549" s="113">
        <f t="shared" si="348"/>
        <v>1.05</v>
      </c>
      <c r="J549" s="113">
        <f t="shared" si="348"/>
        <v>1.05</v>
      </c>
      <c r="K549" s="113">
        <f t="shared" si="348"/>
        <v>1.05</v>
      </c>
      <c r="L549" s="113">
        <f t="shared" si="348"/>
        <v>1.05</v>
      </c>
      <c r="M549" s="113">
        <f t="shared" si="348"/>
        <v>1.05</v>
      </c>
      <c r="N549" s="113">
        <f t="shared" si="348"/>
        <v>1.05</v>
      </c>
      <c r="O549" s="113">
        <f t="shared" si="348"/>
        <v>1.05</v>
      </c>
      <c r="P549" s="113">
        <f t="shared" si="348"/>
        <v>1.05</v>
      </c>
      <c r="Q549" s="113">
        <f t="shared" si="348"/>
        <v>1.05</v>
      </c>
      <c r="R549" s="65"/>
      <c r="S549"/>
    </row>
    <row r="550" spans="1:19" x14ac:dyDescent="0.2">
      <c r="A550" s="30"/>
      <c r="B550" s="30" t="s">
        <v>21</v>
      </c>
      <c r="C550" s="30"/>
      <c r="D550" s="47">
        <v>86</v>
      </c>
      <c r="E550" s="30" t="s">
        <v>22</v>
      </c>
      <c r="F550" s="49"/>
      <c r="G550" s="49"/>
      <c r="H550" s="49"/>
      <c r="I550" s="49"/>
      <c r="J550" s="49"/>
      <c r="K550" s="49"/>
      <c r="L550" s="49"/>
      <c r="M550" s="49"/>
      <c r="N550" s="49"/>
      <c r="O550" s="49"/>
      <c r="P550" s="49"/>
      <c r="Q550" s="49"/>
      <c r="R550" s="65"/>
      <c r="S550"/>
    </row>
    <row r="551" spans="1:19" s="30" customFormat="1" x14ac:dyDescent="0.2">
      <c r="B551" s="30" t="s">
        <v>304</v>
      </c>
      <c r="D551" s="47"/>
      <c r="F551" s="20">
        <f t="shared" ref="F551:Q551" si="349">F507</f>
        <v>0.25578000000000001</v>
      </c>
      <c r="G551" s="20">
        <f t="shared" si="349"/>
        <v>0.25578000000000001</v>
      </c>
      <c r="H551" s="20">
        <f t="shared" si="349"/>
        <v>0.25578000000000001</v>
      </c>
      <c r="I551" s="20">
        <f t="shared" si="349"/>
        <v>0.25578000000000001</v>
      </c>
      <c r="J551" s="20">
        <f t="shared" si="349"/>
        <v>0.25578000000000001</v>
      </c>
      <c r="K551" s="20">
        <f t="shared" si="349"/>
        <v>0.25578000000000001</v>
      </c>
      <c r="L551" s="20">
        <f t="shared" si="349"/>
        <v>0.25578000000000001</v>
      </c>
      <c r="M551" s="20">
        <f t="shared" si="349"/>
        <v>0.25578000000000001</v>
      </c>
      <c r="N551" s="20">
        <f t="shared" si="349"/>
        <v>0.25578000000000001</v>
      </c>
      <c r="O551" s="20">
        <f t="shared" si="349"/>
        <v>0.25578000000000001</v>
      </c>
      <c r="P551" s="20">
        <f t="shared" si="349"/>
        <v>0.25578000000000001</v>
      </c>
      <c r="Q551" s="20">
        <f t="shared" si="349"/>
        <v>0.25578000000000001</v>
      </c>
      <c r="R551" s="65"/>
    </row>
    <row r="552" spans="1:19" s="30" customFormat="1" x14ac:dyDescent="0.2">
      <c r="B552" s="30" t="s">
        <v>310</v>
      </c>
      <c r="D552" s="47"/>
      <c r="F552" s="112">
        <f t="shared" ref="F552:Q552" si="350">F508</f>
        <v>1</v>
      </c>
      <c r="G552" s="112">
        <f t="shared" si="350"/>
        <v>1</v>
      </c>
      <c r="H552" s="112">
        <f t="shared" si="350"/>
        <v>1</v>
      </c>
      <c r="I552" s="112">
        <f t="shared" si="350"/>
        <v>1</v>
      </c>
      <c r="J552" s="112">
        <f t="shared" si="350"/>
        <v>1</v>
      </c>
      <c r="K552" s="112">
        <f t="shared" si="350"/>
        <v>1</v>
      </c>
      <c r="L552" s="112">
        <f t="shared" si="350"/>
        <v>1</v>
      </c>
      <c r="M552" s="112">
        <f t="shared" si="350"/>
        <v>1</v>
      </c>
      <c r="N552" s="112">
        <f t="shared" si="350"/>
        <v>1</v>
      </c>
      <c r="O552" s="112">
        <f t="shared" si="350"/>
        <v>1</v>
      </c>
      <c r="P552" s="112">
        <f t="shared" si="350"/>
        <v>1</v>
      </c>
      <c r="Q552" s="112">
        <f t="shared" si="350"/>
        <v>1</v>
      </c>
      <c r="R552" s="65"/>
    </row>
    <row r="553" spans="1:19" s="30" customFormat="1" x14ac:dyDescent="0.2"/>
    <row r="554" spans="1:19" s="30" customFormat="1" x14ac:dyDescent="0.2">
      <c r="B554" s="29" t="s">
        <v>8</v>
      </c>
    </row>
    <row r="555" spans="1:19" s="30" customFormat="1" x14ac:dyDescent="0.2">
      <c r="B555" s="30" t="s">
        <v>22</v>
      </c>
      <c r="E555" s="30" t="s">
        <v>22</v>
      </c>
      <c r="F555" s="76">
        <f>'(R) Data'!C28</f>
        <v>4.1890043954510565</v>
      </c>
      <c r="G555" s="76">
        <f>'(R) Data'!D28</f>
        <v>4.0010465359659522</v>
      </c>
      <c r="H555" s="76">
        <f>'(R) Data'!E28</f>
        <v>3.9609990930021626</v>
      </c>
      <c r="I555" s="76">
        <f>'(R) Data'!F28</f>
        <v>4.0724202888439267</v>
      </c>
      <c r="J555" s="76">
        <f>'(R) Data'!G28</f>
        <v>3.9504639642782391</v>
      </c>
      <c r="K555" s="76">
        <f>'(R) Data'!H28</f>
        <v>4.0265456061345182</v>
      </c>
      <c r="L555" s="76">
        <f>'(R) Data'!I28</f>
        <v>4.0333153128801191</v>
      </c>
      <c r="M555" s="76">
        <f>'(R) Data'!J28</f>
        <v>3.8418705230436547</v>
      </c>
      <c r="N555" s="76">
        <f>'(R) Data'!K28</f>
        <v>4.0787944316799569</v>
      </c>
      <c r="O555" s="76">
        <f>'(R) Data'!L28</f>
        <v>4.0183808622786863</v>
      </c>
      <c r="P555" s="76">
        <f>'(R) Data'!M28</f>
        <v>4.0172933409873703</v>
      </c>
      <c r="Q555" s="76">
        <f>'(R) Data'!N28</f>
        <v>3.8964552238805967</v>
      </c>
      <c r="R555" s="107">
        <f>SUM(F555:Q555)</f>
        <v>48.086589578426235</v>
      </c>
    </row>
    <row r="556" spans="1:19" s="30" customFormat="1" x14ac:dyDescent="0.2">
      <c r="B556" s="30" t="s">
        <v>30</v>
      </c>
      <c r="F556" s="33"/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107"/>
    </row>
    <row r="557" spans="1:19" x14ac:dyDescent="0.2">
      <c r="A557" s="30"/>
      <c r="B557" s="30"/>
      <c r="C557" s="30" t="s">
        <v>59</v>
      </c>
      <c r="D557" s="30"/>
      <c r="E557" s="30" t="s">
        <v>10</v>
      </c>
      <c r="F557" s="161">
        <f>'(R) Therms By Block'!B71</f>
        <v>2802.0790000000002</v>
      </c>
      <c r="G557" s="170">
        <f>'(R) Therms By Block'!C71</f>
        <v>2546.2429999999999</v>
      </c>
      <c r="H557" s="170">
        <f>'(R) Therms By Block'!D71</f>
        <v>2989.864</v>
      </c>
      <c r="I557" s="170">
        <f>'(R) Therms By Block'!E71</f>
        <v>3829.4369999999999</v>
      </c>
      <c r="J557" s="170">
        <f>'(R) Therms By Block'!F71</f>
        <v>4170.4679999999998</v>
      </c>
      <c r="K557" s="170">
        <f>'(R) Therms By Block'!G71</f>
        <v>4091.895</v>
      </c>
      <c r="L557" s="170">
        <f>'(R) Therms By Block'!H71</f>
        <v>4058.5680000000002</v>
      </c>
      <c r="M557" s="170">
        <f>'(R) Therms By Block'!I71</f>
        <v>4688.7169999999996</v>
      </c>
      <c r="N557" s="170">
        <f>'(R) Therms By Block'!J71</f>
        <v>5155.1409999999996</v>
      </c>
      <c r="O557" s="170">
        <f>'(R) Therms By Block'!K71</f>
        <v>5215.2560000000003</v>
      </c>
      <c r="P557" s="170">
        <f>'(R) Therms By Block'!L71</f>
        <v>3869.3560000000002</v>
      </c>
      <c r="Q557" s="170">
        <f>'(R) Therms By Block'!M71</f>
        <v>3194.134</v>
      </c>
      <c r="R557" s="107">
        <f>SUM(F557:Q557)</f>
        <v>46611.157999999996</v>
      </c>
      <c r="S557"/>
    </row>
    <row r="558" spans="1:19" x14ac:dyDescent="0.2">
      <c r="A558" s="30"/>
      <c r="B558" s="30"/>
      <c r="C558" s="30" t="s">
        <v>60</v>
      </c>
      <c r="D558" s="30"/>
      <c r="E558" s="30" t="s">
        <v>10</v>
      </c>
      <c r="F558" s="107">
        <f t="shared" ref="F558:N558" si="351">F559-F557</f>
        <v>4248.6400000000012</v>
      </c>
      <c r="G558" s="107">
        <f t="shared" si="351"/>
        <v>4444.2209999999995</v>
      </c>
      <c r="H558" s="107">
        <f t="shared" si="351"/>
        <v>56483.425999999999</v>
      </c>
      <c r="I558" s="107">
        <f t="shared" si="351"/>
        <v>61449.167000000001</v>
      </c>
      <c r="J558" s="107">
        <f t="shared" si="351"/>
        <v>14082.380999999998</v>
      </c>
      <c r="K558" s="107">
        <f t="shared" si="351"/>
        <v>14404.418999999998</v>
      </c>
      <c r="L558" s="107">
        <f t="shared" si="351"/>
        <v>13643.699000000001</v>
      </c>
      <c r="M558" s="107">
        <f t="shared" si="351"/>
        <v>14034.593999999997</v>
      </c>
      <c r="N558" s="107">
        <f t="shared" si="351"/>
        <v>11875.316000000003</v>
      </c>
      <c r="O558" s="107">
        <f t="shared" ref="O558:Q558" si="352">O559-O557</f>
        <v>16755.670999999998</v>
      </c>
      <c r="P558" s="107">
        <f t="shared" si="352"/>
        <v>7262.5600000000013</v>
      </c>
      <c r="Q558" s="107">
        <f t="shared" si="352"/>
        <v>5377.2150000000001</v>
      </c>
      <c r="R558" s="107">
        <f>SUM(F558:Q558)</f>
        <v>224061.30899999995</v>
      </c>
      <c r="S558"/>
    </row>
    <row r="559" spans="1:19" x14ac:dyDescent="0.2">
      <c r="A559" s="30"/>
      <c r="B559" s="30"/>
      <c r="C559" s="30" t="s">
        <v>17</v>
      </c>
      <c r="D559" s="30"/>
      <c r="E559" s="30" t="s">
        <v>10</v>
      </c>
      <c r="F559" s="111">
        <f>'Weather Adj'!D189</f>
        <v>7050.719000000001</v>
      </c>
      <c r="G559" s="111">
        <f>'Weather Adj'!E189</f>
        <v>6990.4639999999999</v>
      </c>
      <c r="H559" s="111">
        <f>'Weather Adj'!F189</f>
        <v>59473.29</v>
      </c>
      <c r="I559" s="111">
        <f>'Weather Adj'!G189</f>
        <v>65278.603999999999</v>
      </c>
      <c r="J559" s="111">
        <f>'Weather Adj'!H189</f>
        <v>18252.848999999998</v>
      </c>
      <c r="K559" s="111">
        <f>'Weather Adj'!I189</f>
        <v>18496.313999999998</v>
      </c>
      <c r="L559" s="111">
        <f>'Weather Adj'!J189</f>
        <v>17702.267</v>
      </c>
      <c r="M559" s="111">
        <f>'Weather Adj'!K189</f>
        <v>18723.310999999998</v>
      </c>
      <c r="N559" s="111">
        <f>'Weather Adj'!L189</f>
        <v>17030.457000000002</v>
      </c>
      <c r="O559" s="111">
        <f>'Weather Adj'!M189</f>
        <v>21970.927</v>
      </c>
      <c r="P559" s="111">
        <f>'Weather Adj'!N189</f>
        <v>11131.916000000001</v>
      </c>
      <c r="Q559" s="111">
        <f>'Weather Adj'!O189</f>
        <v>8571.3490000000002</v>
      </c>
      <c r="R559" s="650">
        <f>SUM(R557:R558)</f>
        <v>270672.46699999995</v>
      </c>
      <c r="S559"/>
    </row>
    <row r="560" spans="1:19" x14ac:dyDescent="0.2">
      <c r="A560" s="30"/>
      <c r="B560" s="30" t="s">
        <v>29</v>
      </c>
      <c r="C560" s="30"/>
      <c r="D560" s="30"/>
      <c r="E560" s="30" t="s">
        <v>100</v>
      </c>
      <c r="F560" s="76">
        <f>'(R) Data'!C48</f>
        <v>138.94300000000001</v>
      </c>
      <c r="G560" s="76">
        <f>'(R) Data'!D48</f>
        <v>132.232</v>
      </c>
      <c r="H560" s="76">
        <f>'(R) Data'!E48</f>
        <v>128.99199999999999</v>
      </c>
      <c r="I560" s="76">
        <f>'(R) Data'!F48</f>
        <v>139.04499999999999</v>
      </c>
      <c r="J560" s="76">
        <f>'(R) Data'!G48</f>
        <v>127.645</v>
      </c>
      <c r="K560" s="76">
        <f>'(R) Data'!H48</f>
        <v>133.49100000000001</v>
      </c>
      <c r="L560" s="76">
        <f>'(R) Data'!I48</f>
        <v>136.14599999999999</v>
      </c>
      <c r="M560" s="76">
        <f>'(R) Data'!J48</f>
        <v>118.42700000000001</v>
      </c>
      <c r="N560" s="76">
        <f>'(R) Data'!K48</f>
        <v>135.71199999999999</v>
      </c>
      <c r="O560" s="76">
        <f>'(R) Data'!L48</f>
        <v>136.22900000000001</v>
      </c>
      <c r="P560" s="76">
        <f>'(R) Data'!M48</f>
        <v>132.31299999999999</v>
      </c>
      <c r="Q560" s="76">
        <f>'(R) Data'!N48</f>
        <v>128.92699999999999</v>
      </c>
      <c r="R560" s="107">
        <f>SUM(F560:Q560)</f>
        <v>1588.1019999999996</v>
      </c>
      <c r="S560"/>
    </row>
    <row r="561" spans="1:19" x14ac:dyDescent="0.2">
      <c r="A561" s="30"/>
      <c r="B561" s="30" t="s">
        <v>21</v>
      </c>
      <c r="C561" s="30"/>
      <c r="D561" s="30"/>
      <c r="E561" s="30"/>
      <c r="F561" s="33"/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107"/>
      <c r="S561"/>
    </row>
    <row r="562" spans="1:19" x14ac:dyDescent="0.2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96"/>
      <c r="S562"/>
    </row>
    <row r="563" spans="1:19" x14ac:dyDescent="0.2">
      <c r="A563" s="30"/>
      <c r="B563" s="29" t="s">
        <v>9</v>
      </c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96"/>
      <c r="S563"/>
    </row>
    <row r="564" spans="1:19" x14ac:dyDescent="0.2">
      <c r="A564" s="30" t="s">
        <v>147</v>
      </c>
      <c r="B564" s="30" t="s">
        <v>282</v>
      </c>
      <c r="C564" s="30"/>
      <c r="D564" s="30">
        <v>86</v>
      </c>
      <c r="E564" s="30"/>
      <c r="F564" s="34">
        <f t="shared" ref="F564:N564" si="353">F540*F555</f>
        <v>583.77965255005927</v>
      </c>
      <c r="G564" s="34">
        <f t="shared" si="353"/>
        <v>557.58584525221511</v>
      </c>
      <c r="H564" s="34">
        <f t="shared" si="353"/>
        <v>552.00483360078147</v>
      </c>
      <c r="I564" s="34">
        <f t="shared" si="353"/>
        <v>567.53249145328971</v>
      </c>
      <c r="J564" s="34">
        <f t="shared" si="353"/>
        <v>550.5366580618155</v>
      </c>
      <c r="K564" s="34">
        <f t="shared" si="353"/>
        <v>561.13939567090654</v>
      </c>
      <c r="L564" s="34">
        <f t="shared" si="353"/>
        <v>562.08282200297344</v>
      </c>
      <c r="M564" s="34">
        <f t="shared" si="353"/>
        <v>535.4030760913638</v>
      </c>
      <c r="N564" s="34">
        <f t="shared" si="353"/>
        <v>568.42079199891884</v>
      </c>
      <c r="O564" s="34">
        <f t="shared" ref="O564:Q564" si="354">O540*O555</f>
        <v>560.00155696715774</v>
      </c>
      <c r="P564" s="34">
        <f t="shared" si="354"/>
        <v>559.85</v>
      </c>
      <c r="Q564" s="34">
        <f t="shared" si="354"/>
        <v>543.01</v>
      </c>
      <c r="R564" s="70">
        <f>SUM(F564:Q564)</f>
        <v>6701.3471236494825</v>
      </c>
      <c r="S564"/>
    </row>
    <row r="565" spans="1:19" x14ac:dyDescent="0.2">
      <c r="A565" s="30"/>
      <c r="B565" s="30" t="s">
        <v>3</v>
      </c>
      <c r="C565" s="30"/>
      <c r="D565" s="30"/>
      <c r="E565" s="30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70"/>
      <c r="S565"/>
    </row>
    <row r="566" spans="1:19" s="30" customFormat="1" x14ac:dyDescent="0.2">
      <c r="C566" s="30" t="s">
        <v>59</v>
      </c>
      <c r="D566" s="30">
        <v>86</v>
      </c>
      <c r="F566" s="34">
        <f t="shared" ref="F566:N566" si="355">F542*F557</f>
        <v>540.07270646000006</v>
      </c>
      <c r="G566" s="34">
        <f t="shared" si="355"/>
        <v>490.76287581999998</v>
      </c>
      <c r="H566" s="34">
        <f t="shared" si="355"/>
        <v>576.26638735999995</v>
      </c>
      <c r="I566" s="34">
        <f t="shared" si="355"/>
        <v>738.08568737999997</v>
      </c>
      <c r="J566" s="34">
        <f t="shared" si="355"/>
        <v>803.81600231999994</v>
      </c>
      <c r="K566" s="34">
        <f t="shared" si="355"/>
        <v>788.67184229999998</v>
      </c>
      <c r="L566" s="34">
        <f t="shared" si="355"/>
        <v>782.24839631999998</v>
      </c>
      <c r="M566" s="34">
        <f t="shared" si="355"/>
        <v>903.70331457999987</v>
      </c>
      <c r="N566" s="34">
        <f t="shared" si="355"/>
        <v>993.60187633999988</v>
      </c>
      <c r="O566" s="34">
        <f t="shared" ref="O566:Q566" si="356">O542*O557</f>
        <v>1005.18844144</v>
      </c>
      <c r="P566" s="34">
        <f t="shared" si="356"/>
        <v>745.77967544000001</v>
      </c>
      <c r="Q566" s="34">
        <f t="shared" si="356"/>
        <v>615.63738716</v>
      </c>
      <c r="R566" s="70">
        <f t="shared" ref="R566:R577" si="357">SUM(F566:Q566)</f>
        <v>8983.8345929200004</v>
      </c>
    </row>
    <row r="567" spans="1:19" s="30" customFormat="1" x14ac:dyDescent="0.2">
      <c r="C567" s="30" t="s">
        <v>60</v>
      </c>
      <c r="D567" s="30">
        <v>86</v>
      </c>
      <c r="F567" s="34">
        <f t="shared" ref="F567:N567" si="358">F543*F558</f>
        <v>580.53416960000027</v>
      </c>
      <c r="G567" s="34">
        <f t="shared" si="358"/>
        <v>607.25835743999994</v>
      </c>
      <c r="H567" s="34">
        <f t="shared" si="358"/>
        <v>7717.895328640001</v>
      </c>
      <c r="I567" s="34">
        <f t="shared" si="358"/>
        <v>8396.4141788800007</v>
      </c>
      <c r="J567" s="34">
        <f t="shared" si="358"/>
        <v>1924.2165398399998</v>
      </c>
      <c r="K567" s="34">
        <f t="shared" si="358"/>
        <v>1968.2198121599999</v>
      </c>
      <c r="L567" s="34">
        <f t="shared" si="358"/>
        <v>1864.2750313600002</v>
      </c>
      <c r="M567" s="34">
        <f t="shared" si="358"/>
        <v>1917.6869241599998</v>
      </c>
      <c r="N567" s="34">
        <f t="shared" si="358"/>
        <v>1622.6431782400005</v>
      </c>
      <c r="O567" s="34">
        <f t="shared" ref="O567:Q567" si="359">O543*O558</f>
        <v>2289.49488544</v>
      </c>
      <c r="P567" s="34">
        <f t="shared" si="359"/>
        <v>992.35619840000027</v>
      </c>
      <c r="Q567" s="34">
        <f t="shared" si="359"/>
        <v>734.74265760000003</v>
      </c>
      <c r="R567" s="70">
        <f t="shared" si="357"/>
        <v>30615.737261760001</v>
      </c>
    </row>
    <row r="568" spans="1:19" s="30" customFormat="1" x14ac:dyDescent="0.2">
      <c r="A568" t="s">
        <v>147</v>
      </c>
      <c r="B568"/>
      <c r="C568" t="s">
        <v>26</v>
      </c>
      <c r="D568"/>
      <c r="E568"/>
      <c r="F568" s="24">
        <f t="shared" ref="F568:K568" si="360">SUM(F566:F567)</f>
        <v>1120.6068760600003</v>
      </c>
      <c r="G568" s="24">
        <f t="shared" si="360"/>
        <v>1098.0212332599999</v>
      </c>
      <c r="H568" s="24">
        <f t="shared" si="360"/>
        <v>8294.1617160000005</v>
      </c>
      <c r="I568" s="24">
        <f t="shared" si="360"/>
        <v>9134.499866260001</v>
      </c>
      <c r="J568" s="24">
        <f t="shared" si="360"/>
        <v>2728.0325421599996</v>
      </c>
      <c r="K568" s="24">
        <f t="shared" si="360"/>
        <v>2756.8916544599997</v>
      </c>
      <c r="L568" s="24">
        <f>SUM(L566:L567)</f>
        <v>2646.5234276800002</v>
      </c>
      <c r="M568" s="24">
        <f>SUM(M566:M567)</f>
        <v>2821.3902387399994</v>
      </c>
      <c r="N568" s="24">
        <f>SUM(N566:N567)</f>
        <v>2616.2450545800002</v>
      </c>
      <c r="O568" s="24">
        <f t="shared" ref="O568:Q568" si="361">SUM(O566:O567)</f>
        <v>3294.6833268800001</v>
      </c>
      <c r="P568" s="24">
        <f t="shared" si="361"/>
        <v>1738.1358738400004</v>
      </c>
      <c r="Q568" s="24">
        <f t="shared" si="361"/>
        <v>1350.3800447600001</v>
      </c>
      <c r="R568" s="684">
        <f t="shared" si="357"/>
        <v>39599.571854679998</v>
      </c>
    </row>
    <row r="569" spans="1:19" s="30" customFormat="1" x14ac:dyDescent="0.2">
      <c r="A569" s="30" t="s">
        <v>130</v>
      </c>
      <c r="B569" t="s">
        <v>306</v>
      </c>
      <c r="C569"/>
      <c r="D569">
        <v>101</v>
      </c>
      <c r="E569"/>
      <c r="F569" s="40">
        <f t="shared" ref="F569:N569" si="362">F544*F559</f>
        <v>1889.3106632400002</v>
      </c>
      <c r="G569" s="40">
        <f t="shared" si="362"/>
        <v>1873.1647334399997</v>
      </c>
      <c r="H569" s="40">
        <f t="shared" si="362"/>
        <v>15936.462788399998</v>
      </c>
      <c r="I569" s="40">
        <f t="shared" si="362"/>
        <v>17492.054727839997</v>
      </c>
      <c r="J569" s="36">
        <f t="shared" si="362"/>
        <v>4891.0334180399996</v>
      </c>
      <c r="K569" s="40">
        <f t="shared" si="362"/>
        <v>4956.2722994399992</v>
      </c>
      <c r="L569" s="40">
        <f t="shared" si="362"/>
        <v>4743.4994653199992</v>
      </c>
      <c r="M569" s="40">
        <f t="shared" si="362"/>
        <v>5017.098415559999</v>
      </c>
      <c r="N569" s="40">
        <f t="shared" si="362"/>
        <v>4563.48125772</v>
      </c>
      <c r="O569" s="40">
        <f t="shared" ref="O569:Q569" si="363">O544*O559</f>
        <v>5887.3295989199996</v>
      </c>
      <c r="P569" s="40">
        <f t="shared" si="363"/>
        <v>2982.9082113600002</v>
      </c>
      <c r="Q569" s="40">
        <f t="shared" si="363"/>
        <v>2296.7786780399997</v>
      </c>
      <c r="R569" s="97">
        <f t="shared" si="357"/>
        <v>72529.394257320004</v>
      </c>
    </row>
    <row r="570" spans="1:19" s="30" customFormat="1" x14ac:dyDescent="0.2">
      <c r="A570" t="s">
        <v>147</v>
      </c>
      <c r="B570" t="s">
        <v>61</v>
      </c>
      <c r="C570"/>
      <c r="D570" s="21"/>
      <c r="E570"/>
      <c r="F570" s="40">
        <f t="shared" ref="F570:N570" si="364">F545*F559</f>
        <v>63.950021330000006</v>
      </c>
      <c r="G570" s="40">
        <f t="shared" si="364"/>
        <v>63.403508479999999</v>
      </c>
      <c r="H570" s="40">
        <f t="shared" si="364"/>
        <v>539.42274029999999</v>
      </c>
      <c r="I570" s="40">
        <f t="shared" si="364"/>
        <v>592.07693828000004</v>
      </c>
      <c r="J570" s="40">
        <f t="shared" si="364"/>
        <v>165.55334042999999</v>
      </c>
      <c r="K570" s="40">
        <f t="shared" si="364"/>
        <v>167.76156798</v>
      </c>
      <c r="L570" s="40">
        <f t="shared" si="364"/>
        <v>160.55956169000001</v>
      </c>
      <c r="M570" s="40">
        <f t="shared" si="364"/>
        <v>169.82043076999997</v>
      </c>
      <c r="N570" s="40">
        <f t="shared" si="364"/>
        <v>154.46624499000001</v>
      </c>
      <c r="O570" s="40">
        <f t="shared" ref="O570:Q570" si="365">O545*O559</f>
        <v>199.27630789</v>
      </c>
      <c r="P570" s="40">
        <f t="shared" si="365"/>
        <v>100.96647812</v>
      </c>
      <c r="Q570" s="40">
        <f t="shared" si="365"/>
        <v>77.742135430000005</v>
      </c>
      <c r="R570" s="40">
        <f t="shared" si="357"/>
        <v>2454.9992756899996</v>
      </c>
    </row>
    <row r="571" spans="1:19" s="30" customFormat="1" x14ac:dyDescent="0.2">
      <c r="A571" t="s">
        <v>551</v>
      </c>
      <c r="B571" t="s">
        <v>552</v>
      </c>
      <c r="C571"/>
      <c r="D571" s="21">
        <v>149</v>
      </c>
      <c r="E571"/>
      <c r="F571" s="40">
        <f>F546*F559</f>
        <v>29.260483850000004</v>
      </c>
      <c r="G571" s="40">
        <f t="shared" ref="G571:Q571" si="366">G546*G559</f>
        <v>29.010425600000001</v>
      </c>
      <c r="H571" s="40">
        <f t="shared" si="366"/>
        <v>246.8141535</v>
      </c>
      <c r="I571" s="40">
        <f t="shared" si="366"/>
        <v>270.90620660000002</v>
      </c>
      <c r="J571" s="40">
        <f t="shared" si="366"/>
        <v>75.749323349999997</v>
      </c>
      <c r="K571" s="40">
        <f t="shared" si="366"/>
        <v>76.759703099999996</v>
      </c>
      <c r="L571" s="40">
        <f t="shared" si="366"/>
        <v>73.464408050000003</v>
      </c>
      <c r="M571" s="40">
        <f t="shared" si="366"/>
        <v>77.701740649999991</v>
      </c>
      <c r="N571" s="40">
        <f t="shared" si="366"/>
        <v>70.676396550000007</v>
      </c>
      <c r="O571" s="40">
        <f t="shared" si="366"/>
        <v>91.179347050000004</v>
      </c>
      <c r="P571" s="40">
        <f t="shared" si="366"/>
        <v>46.197451400000006</v>
      </c>
      <c r="Q571" s="40">
        <f t="shared" si="366"/>
        <v>35.57109835</v>
      </c>
      <c r="R571" s="40">
        <f t="shared" si="357"/>
        <v>1123.2907380500001</v>
      </c>
    </row>
    <row r="572" spans="1:19" s="30" customFormat="1" x14ac:dyDescent="0.2">
      <c r="A572"/>
      <c r="B572" t="s">
        <v>18</v>
      </c>
      <c r="C572"/>
      <c r="D572"/>
      <c r="E572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100">
        <f t="shared" si="357"/>
        <v>0</v>
      </c>
    </row>
    <row r="573" spans="1:19" s="30" customFormat="1" x14ac:dyDescent="0.2">
      <c r="A573" t="s">
        <v>147</v>
      </c>
      <c r="B573"/>
      <c r="C573" t="s">
        <v>19</v>
      </c>
      <c r="D573">
        <v>86</v>
      </c>
      <c r="E573"/>
      <c r="F573" s="23">
        <f t="shared" ref="F573:N573" si="367">F548*F560</f>
        <v>169.51046000000002</v>
      </c>
      <c r="G573" s="23">
        <f t="shared" si="367"/>
        <v>161.32303999999999</v>
      </c>
      <c r="H573" s="23">
        <f t="shared" si="367"/>
        <v>157.37024</v>
      </c>
      <c r="I573" s="23">
        <f t="shared" si="367"/>
        <v>169.63489999999999</v>
      </c>
      <c r="J573" s="23">
        <f t="shared" si="367"/>
        <v>155.7269</v>
      </c>
      <c r="K573" s="23">
        <f t="shared" si="367"/>
        <v>162.85902000000002</v>
      </c>
      <c r="L573" s="23">
        <f t="shared" si="367"/>
        <v>166.09811999999997</v>
      </c>
      <c r="M573" s="23">
        <f t="shared" si="367"/>
        <v>144.48094</v>
      </c>
      <c r="N573" s="23">
        <f t="shared" si="367"/>
        <v>165.56863999999999</v>
      </c>
      <c r="O573" s="23">
        <f t="shared" ref="O573:Q573" si="368">O548*O560</f>
        <v>166.19938000000002</v>
      </c>
      <c r="P573" s="23">
        <f t="shared" si="368"/>
        <v>161.42185999999998</v>
      </c>
      <c r="Q573" s="23">
        <f t="shared" si="368"/>
        <v>157.29093999999998</v>
      </c>
      <c r="R573" s="100">
        <f t="shared" si="357"/>
        <v>1937.4844399999997</v>
      </c>
    </row>
    <row r="574" spans="1:19" s="30" customFormat="1" x14ac:dyDescent="0.2">
      <c r="A574" s="30" t="s">
        <v>130</v>
      </c>
      <c r="B574"/>
      <c r="C574" t="s">
        <v>20</v>
      </c>
      <c r="D574">
        <v>101</v>
      </c>
      <c r="E574"/>
      <c r="F574" s="23">
        <f t="shared" ref="F574:N574" si="369">F549*F560</f>
        <v>145.89015000000001</v>
      </c>
      <c r="G574" s="23">
        <f t="shared" si="369"/>
        <v>138.84360000000001</v>
      </c>
      <c r="H574" s="23">
        <f t="shared" si="369"/>
        <v>135.44159999999999</v>
      </c>
      <c r="I574" s="23">
        <f t="shared" si="369"/>
        <v>145.99724999999998</v>
      </c>
      <c r="J574" s="34">
        <f t="shared" si="369"/>
        <v>134.02725000000001</v>
      </c>
      <c r="K574" s="23">
        <f t="shared" si="369"/>
        <v>140.16555000000002</v>
      </c>
      <c r="L574" s="23">
        <f t="shared" si="369"/>
        <v>142.95329999999998</v>
      </c>
      <c r="M574" s="23">
        <f t="shared" si="369"/>
        <v>124.34835000000001</v>
      </c>
      <c r="N574" s="23">
        <f t="shared" si="369"/>
        <v>142.49760000000001</v>
      </c>
      <c r="O574" s="23">
        <f t="shared" ref="O574:Q574" si="370">O549*O560</f>
        <v>143.04045000000002</v>
      </c>
      <c r="P574" s="23">
        <f t="shared" si="370"/>
        <v>138.92865</v>
      </c>
      <c r="Q574" s="23">
        <f t="shared" si="370"/>
        <v>135.37334999999999</v>
      </c>
      <c r="R574" s="100">
        <f t="shared" si="357"/>
        <v>1667.5071</v>
      </c>
    </row>
    <row r="575" spans="1:19" s="30" customFormat="1" x14ac:dyDescent="0.2">
      <c r="A575"/>
      <c r="B575"/>
      <c r="C575" t="s">
        <v>23</v>
      </c>
      <c r="D575"/>
      <c r="E575"/>
      <c r="F575" s="24">
        <f t="shared" ref="F575:K575" si="371">SUM(F573:F574)</f>
        <v>315.40061000000003</v>
      </c>
      <c r="G575" s="24">
        <f t="shared" si="371"/>
        <v>300.16664000000003</v>
      </c>
      <c r="H575" s="24">
        <f t="shared" si="371"/>
        <v>292.81183999999996</v>
      </c>
      <c r="I575" s="24">
        <f t="shared" si="371"/>
        <v>315.63214999999997</v>
      </c>
      <c r="J575" s="24">
        <f t="shared" si="371"/>
        <v>289.75414999999998</v>
      </c>
      <c r="K575" s="24">
        <f t="shared" si="371"/>
        <v>303.02457000000004</v>
      </c>
      <c r="L575" s="24">
        <f>SUM(L573:L574)</f>
        <v>309.05141999999995</v>
      </c>
      <c r="M575" s="24">
        <f>SUM(M573:M574)</f>
        <v>268.82929000000001</v>
      </c>
      <c r="N575" s="24">
        <f>SUM(N573:N574)</f>
        <v>308.06623999999999</v>
      </c>
      <c r="O575" s="24">
        <f t="shared" ref="O575:Q575" si="372">SUM(O573:O574)</f>
        <v>309.23983000000004</v>
      </c>
      <c r="P575" s="24">
        <f t="shared" si="372"/>
        <v>300.35050999999999</v>
      </c>
      <c r="Q575" s="24">
        <f t="shared" si="372"/>
        <v>292.66428999999994</v>
      </c>
      <c r="R575" s="684">
        <f t="shared" si="357"/>
        <v>3604.99154</v>
      </c>
    </row>
    <row r="576" spans="1:19" s="30" customFormat="1" x14ac:dyDescent="0.2">
      <c r="A576" s="30" t="s">
        <v>147</v>
      </c>
      <c r="B576" s="30" t="s">
        <v>21</v>
      </c>
      <c r="D576" s="30">
        <v>86</v>
      </c>
      <c r="F576" s="74">
        <f>'(R) Data'!C64</f>
        <v>265.83999999999997</v>
      </c>
      <c r="G576" s="74">
        <f>'(R) Data'!D64</f>
        <v>67.319999999999993</v>
      </c>
      <c r="H576" s="74">
        <f>'(R) Data'!E64</f>
        <v>0</v>
      </c>
      <c r="I576" s="74">
        <f>'(R) Data'!F64</f>
        <v>0</v>
      </c>
      <c r="J576" s="74">
        <f>'(R) Data'!G64</f>
        <v>0</v>
      </c>
      <c r="K576" s="74">
        <f>'(R) Data'!H64</f>
        <v>0</v>
      </c>
      <c r="L576" s="74">
        <f>'(R) Data'!I64</f>
        <v>0</v>
      </c>
      <c r="M576" s="74">
        <f>'(R) Data'!J64</f>
        <v>0</v>
      </c>
      <c r="N576" s="74">
        <f>'(R) Data'!K64</f>
        <v>0</v>
      </c>
      <c r="O576" s="74">
        <f>'(R) Data'!L64</f>
        <v>0</v>
      </c>
      <c r="P576" s="74">
        <f>'(R) Data'!M64</f>
        <v>0</v>
      </c>
      <c r="Q576" s="74">
        <f>'(R) Data'!N64</f>
        <v>0</v>
      </c>
      <c r="R576" s="70">
        <f t="shared" si="357"/>
        <v>333.15999999999997</v>
      </c>
    </row>
    <row r="577" spans="1:19" s="30" customFormat="1" x14ac:dyDescent="0.2">
      <c r="A577"/>
      <c r="B577" t="s">
        <v>25</v>
      </c>
      <c r="C577"/>
      <c r="D577"/>
      <c r="E577"/>
      <c r="F577" s="24">
        <f t="shared" ref="F577:K577" si="373">F569+F574</f>
        <v>2035.2008132400001</v>
      </c>
      <c r="G577" s="24">
        <f t="shared" si="373"/>
        <v>2012.0083334399997</v>
      </c>
      <c r="H577" s="24">
        <f t="shared" si="373"/>
        <v>16071.904388399998</v>
      </c>
      <c r="I577" s="24">
        <f t="shared" si="373"/>
        <v>17638.051977839998</v>
      </c>
      <c r="J577" s="24">
        <f t="shared" si="373"/>
        <v>5025.0606680399997</v>
      </c>
      <c r="K577" s="24">
        <f t="shared" si="373"/>
        <v>5096.4378494399989</v>
      </c>
      <c r="L577" s="24">
        <f>L569+L574</f>
        <v>4886.4527653199993</v>
      </c>
      <c r="M577" s="24">
        <f>M569+M574</f>
        <v>5141.4467655599992</v>
      </c>
      <c r="N577" s="24">
        <f>N569+N574</f>
        <v>4705.9788577199997</v>
      </c>
      <c r="O577" s="24">
        <f t="shared" ref="O577:Q577" si="374">O569+O574</f>
        <v>6030.37004892</v>
      </c>
      <c r="P577" s="24">
        <f t="shared" si="374"/>
        <v>3121.8368613600001</v>
      </c>
      <c r="Q577" s="24">
        <f t="shared" si="374"/>
        <v>2432.1520280399995</v>
      </c>
      <c r="R577" s="684">
        <f t="shared" si="357"/>
        <v>74196.901357320006</v>
      </c>
    </row>
    <row r="578" spans="1:19" s="30" customFormat="1" x14ac:dyDescent="0.2">
      <c r="A578"/>
      <c r="B578" t="s">
        <v>24</v>
      </c>
      <c r="C578"/>
      <c r="D578"/>
      <c r="E578"/>
      <c r="F578" s="24">
        <f>F564+F568+F569+F570+F571+F575+F576</f>
        <v>4268.1483070300592</v>
      </c>
      <c r="G578" s="24">
        <f t="shared" ref="G578:R578" si="375">G564+G568+G569+G570+G571+G575+G576</f>
        <v>3988.6723860322149</v>
      </c>
      <c r="H578" s="24">
        <f t="shared" si="375"/>
        <v>25861.678071800779</v>
      </c>
      <c r="I578" s="24">
        <f t="shared" si="375"/>
        <v>28372.702380433289</v>
      </c>
      <c r="J578" s="24">
        <f t="shared" si="375"/>
        <v>8700.6594320418171</v>
      </c>
      <c r="K578" s="24">
        <f t="shared" si="375"/>
        <v>8821.8491906509062</v>
      </c>
      <c r="L578" s="24">
        <f t="shared" si="375"/>
        <v>8495.1811047429728</v>
      </c>
      <c r="M578" s="24">
        <f t="shared" si="375"/>
        <v>8890.2431918113616</v>
      </c>
      <c r="N578" s="24">
        <f t="shared" si="375"/>
        <v>8281.3559858389199</v>
      </c>
      <c r="O578" s="24">
        <f t="shared" si="375"/>
        <v>10341.709967707158</v>
      </c>
      <c r="P578" s="24">
        <f t="shared" si="375"/>
        <v>5728.408524720001</v>
      </c>
      <c r="Q578" s="24">
        <f t="shared" si="375"/>
        <v>4596.1462465800005</v>
      </c>
      <c r="R578" s="24">
        <f t="shared" si="375"/>
        <v>126346.7547893895</v>
      </c>
    </row>
    <row r="579" spans="1:19" s="30" customFormat="1" x14ac:dyDescent="0.2">
      <c r="A579"/>
      <c r="B579"/>
      <c r="C579"/>
      <c r="D579"/>
      <c r="E579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100"/>
    </row>
    <row r="580" spans="1:19" s="30" customFormat="1" x14ac:dyDescent="0.2">
      <c r="A580" t="s">
        <v>305</v>
      </c>
      <c r="B580" t="s">
        <v>304</v>
      </c>
      <c r="C580"/>
      <c r="D580"/>
      <c r="E580"/>
      <c r="F580" s="23">
        <f t="shared" ref="F580:N580" si="376">F551*F559+F560*F552</f>
        <v>1942.3759058200003</v>
      </c>
      <c r="G580" s="23">
        <f t="shared" si="376"/>
        <v>1920.2528819199999</v>
      </c>
      <c r="H580" s="23">
        <f t="shared" si="376"/>
        <v>15341.0701162</v>
      </c>
      <c r="I580" s="23">
        <f t="shared" si="376"/>
        <v>16836.006331119999</v>
      </c>
      <c r="J580" s="23">
        <f t="shared" si="376"/>
        <v>4796.3587172200005</v>
      </c>
      <c r="K580" s="23">
        <f t="shared" si="376"/>
        <v>4864.4781949199996</v>
      </c>
      <c r="L580" s="23">
        <f t="shared" si="376"/>
        <v>4664.0318532599995</v>
      </c>
      <c r="M580" s="23">
        <f t="shared" si="376"/>
        <v>4907.475487579999</v>
      </c>
      <c r="N580" s="23">
        <f t="shared" si="376"/>
        <v>4491.7622914600015</v>
      </c>
      <c r="O580" s="23">
        <f t="shared" ref="O580:Q580" si="377">O551*O559+O560*O552</f>
        <v>5755.9527080600001</v>
      </c>
      <c r="P580" s="23">
        <f t="shared" si="377"/>
        <v>2979.6344744800003</v>
      </c>
      <c r="Q580" s="23">
        <f t="shared" si="377"/>
        <v>2321.3066472200003</v>
      </c>
      <c r="R580" s="100">
        <f>SUM(F580:Q580)</f>
        <v>70820.705609259996</v>
      </c>
    </row>
    <row r="582" spans="1:19" x14ac:dyDescent="0.2">
      <c r="B582" s="15" t="s">
        <v>318</v>
      </c>
      <c r="C582" s="15"/>
      <c r="S582"/>
    </row>
    <row r="583" spans="1:19" x14ac:dyDescent="0.2">
      <c r="B583" s="15" t="s">
        <v>7</v>
      </c>
      <c r="C583" s="15"/>
      <c r="S583"/>
    </row>
    <row r="584" spans="1:19" x14ac:dyDescent="0.2">
      <c r="B584" t="s">
        <v>282</v>
      </c>
      <c r="D584" s="21" t="s">
        <v>298</v>
      </c>
      <c r="E584" t="s">
        <v>5</v>
      </c>
      <c r="F584" s="159">
        <f>'Rate Design Int &amp; Trans'!$H$93</f>
        <v>443.44</v>
      </c>
      <c r="G584" s="159">
        <f>'Rate Design Int &amp; Trans'!$H$93</f>
        <v>443.44</v>
      </c>
      <c r="H584" s="159">
        <f>'Rate Design Int &amp; Trans'!$H$93</f>
        <v>443.44</v>
      </c>
      <c r="I584" s="159">
        <f>'Rate Design Int &amp; Trans'!$H$93</f>
        <v>443.44</v>
      </c>
      <c r="J584" s="159">
        <f>'Rate Design Int &amp; Trans'!$H$93</f>
        <v>443.44</v>
      </c>
      <c r="K584" s="159">
        <f>'Rate Design Int &amp; Trans'!$H$93</f>
        <v>443.44</v>
      </c>
      <c r="L584" s="159">
        <f>'Rate Design Int &amp; Trans'!$H$93</f>
        <v>443.44</v>
      </c>
      <c r="M584" s="159">
        <f>'Rate Design Int &amp; Trans'!$H$93</f>
        <v>443.44</v>
      </c>
      <c r="N584" s="159">
        <f>'Rate Design Int &amp; Trans'!$H$93</f>
        <v>443.44</v>
      </c>
      <c r="O584" s="159">
        <f>'Rate Design Int &amp; Trans'!$H$93</f>
        <v>443.44</v>
      </c>
      <c r="P584" s="159">
        <f>'Rate Design Int &amp; Trans'!$H$93</f>
        <v>443.44</v>
      </c>
      <c r="Q584" s="159">
        <f>'Rate Design Int &amp; Trans'!$H$93</f>
        <v>443.44</v>
      </c>
      <c r="R584" s="26"/>
      <c r="S584"/>
    </row>
    <row r="585" spans="1:19" x14ac:dyDescent="0.2">
      <c r="B585" t="s">
        <v>3</v>
      </c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20"/>
      <c r="S585"/>
    </row>
    <row r="586" spans="1:19" x14ac:dyDescent="0.2">
      <c r="C586" t="s">
        <v>59</v>
      </c>
      <c r="D586" s="21" t="s">
        <v>298</v>
      </c>
      <c r="E586" t="s">
        <v>6</v>
      </c>
      <c r="F586" s="160">
        <f>'Rate Design Int &amp; Trans'!$H$98</f>
        <v>0.19273999999999999</v>
      </c>
      <c r="G586" s="160">
        <f>'Rate Design Int &amp; Trans'!$H$98</f>
        <v>0.19273999999999999</v>
      </c>
      <c r="H586" s="160">
        <f>'Rate Design Int &amp; Trans'!$H$98</f>
        <v>0.19273999999999999</v>
      </c>
      <c r="I586" s="160">
        <f>'Rate Design Int &amp; Trans'!$H$98</f>
        <v>0.19273999999999999</v>
      </c>
      <c r="J586" s="160">
        <f>'Rate Design Int &amp; Trans'!$H$98</f>
        <v>0.19273999999999999</v>
      </c>
      <c r="K586" s="160">
        <f>'Rate Design Int &amp; Trans'!$H$98</f>
        <v>0.19273999999999999</v>
      </c>
      <c r="L586" s="160">
        <f>'Rate Design Int &amp; Trans'!$H$98</f>
        <v>0.19273999999999999</v>
      </c>
      <c r="M586" s="160">
        <f>'Rate Design Int &amp; Trans'!$H$98</f>
        <v>0.19273999999999999</v>
      </c>
      <c r="N586" s="160">
        <f>'Rate Design Int &amp; Trans'!$H$98</f>
        <v>0.19273999999999999</v>
      </c>
      <c r="O586" s="160">
        <f>'Rate Design Int &amp; Trans'!$H$98</f>
        <v>0.19273999999999999</v>
      </c>
      <c r="P586" s="160">
        <f>'Rate Design Int &amp; Trans'!$H$98</f>
        <v>0.19273999999999999</v>
      </c>
      <c r="Q586" s="160">
        <f>'Rate Design Int &amp; Trans'!$H$98</f>
        <v>0.19273999999999999</v>
      </c>
      <c r="R586" s="20"/>
      <c r="S586"/>
    </row>
    <row r="587" spans="1:19" x14ac:dyDescent="0.2">
      <c r="C587" t="s">
        <v>60</v>
      </c>
      <c r="D587" s="21" t="s">
        <v>298</v>
      </c>
      <c r="E587" t="s">
        <v>6</v>
      </c>
      <c r="F587" s="160">
        <f>'Rate Design Int &amp; Trans'!$H$99</f>
        <v>0.13664000000000001</v>
      </c>
      <c r="G587" s="160">
        <f>'Rate Design Int &amp; Trans'!$H$99</f>
        <v>0.13664000000000001</v>
      </c>
      <c r="H587" s="160">
        <f>'Rate Design Int &amp; Trans'!$H$99</f>
        <v>0.13664000000000001</v>
      </c>
      <c r="I587" s="160">
        <f>'Rate Design Int &amp; Trans'!$H$99</f>
        <v>0.13664000000000001</v>
      </c>
      <c r="J587" s="160">
        <f>'Rate Design Int &amp; Trans'!$H$99</f>
        <v>0.13664000000000001</v>
      </c>
      <c r="K587" s="160">
        <f>'Rate Design Int &amp; Trans'!$H$99</f>
        <v>0.13664000000000001</v>
      </c>
      <c r="L587" s="160">
        <f>'Rate Design Int &amp; Trans'!$H$99</f>
        <v>0.13664000000000001</v>
      </c>
      <c r="M587" s="160">
        <f>'Rate Design Int &amp; Trans'!$H$99</f>
        <v>0.13664000000000001</v>
      </c>
      <c r="N587" s="160">
        <f>'Rate Design Int &amp; Trans'!$H$99</f>
        <v>0.13664000000000001</v>
      </c>
      <c r="O587" s="160">
        <f>'Rate Design Int &amp; Trans'!$H$99</f>
        <v>0.13664000000000001</v>
      </c>
      <c r="P587" s="160">
        <f>'Rate Design Int &amp; Trans'!$H$99</f>
        <v>0.13664000000000001</v>
      </c>
      <c r="Q587" s="160">
        <f>'Rate Design Int &amp; Trans'!$H$99</f>
        <v>0.13664000000000001</v>
      </c>
      <c r="R587" s="20"/>
      <c r="S587"/>
    </row>
    <row r="588" spans="1:19" s="30" customFormat="1" x14ac:dyDescent="0.2">
      <c r="A588"/>
      <c r="B588" t="s">
        <v>301</v>
      </c>
      <c r="C588"/>
      <c r="D588" s="21" t="s">
        <v>298</v>
      </c>
      <c r="E588" t="s">
        <v>6</v>
      </c>
      <c r="F588" s="160">
        <f>'Rate Design Int &amp; Trans'!$H$102</f>
        <v>6.9999999999999999E-4</v>
      </c>
      <c r="G588" s="160">
        <f>'Rate Design Int &amp; Trans'!$H$102</f>
        <v>6.9999999999999999E-4</v>
      </c>
      <c r="H588" s="160">
        <f>'Rate Design Int &amp; Trans'!$H$102</f>
        <v>6.9999999999999999E-4</v>
      </c>
      <c r="I588" s="160">
        <f>'Rate Design Int &amp; Trans'!$H$102</f>
        <v>6.9999999999999999E-4</v>
      </c>
      <c r="J588" s="160">
        <f>'Rate Design Int &amp; Trans'!$H$102</f>
        <v>6.9999999999999999E-4</v>
      </c>
      <c r="K588" s="160">
        <f>'Rate Design Int &amp; Trans'!$H$102</f>
        <v>6.9999999999999999E-4</v>
      </c>
      <c r="L588" s="160">
        <f>'Rate Design Int &amp; Trans'!$H$102</f>
        <v>6.9999999999999999E-4</v>
      </c>
      <c r="M588" s="160">
        <f>'Rate Design Int &amp; Trans'!$H$102</f>
        <v>6.9999999999999999E-4</v>
      </c>
      <c r="N588" s="160">
        <f>'Rate Design Int &amp; Trans'!$H$102</f>
        <v>6.9999999999999999E-4</v>
      </c>
      <c r="O588" s="160">
        <f>'Rate Design Int &amp; Trans'!$H$102</f>
        <v>6.9999999999999999E-4</v>
      </c>
      <c r="P588" s="160">
        <f>'Rate Design Int &amp; Trans'!$H$102</f>
        <v>6.9999999999999999E-4</v>
      </c>
      <c r="Q588" s="160">
        <f>'Rate Design Int &amp; Trans'!$H$102</f>
        <v>6.9999999999999999E-4</v>
      </c>
      <c r="R588" s="20"/>
    </row>
    <row r="589" spans="1:19" s="30" customFormat="1" x14ac:dyDescent="0.2">
      <c r="A589"/>
      <c r="B589" t="s">
        <v>550</v>
      </c>
      <c r="C589"/>
      <c r="D589" s="21">
        <v>149</v>
      </c>
      <c r="E589" t="s">
        <v>6</v>
      </c>
      <c r="F589" s="773">
        <f>F502</f>
        <v>4.15E-3</v>
      </c>
      <c r="G589" s="773">
        <f t="shared" ref="G589:Q589" si="378">G502</f>
        <v>4.15E-3</v>
      </c>
      <c r="H589" s="773">
        <f t="shared" si="378"/>
        <v>4.15E-3</v>
      </c>
      <c r="I589" s="773">
        <f t="shared" si="378"/>
        <v>4.15E-3</v>
      </c>
      <c r="J589" s="773">
        <f t="shared" si="378"/>
        <v>4.15E-3</v>
      </c>
      <c r="K589" s="773">
        <f t="shared" si="378"/>
        <v>4.15E-3</v>
      </c>
      <c r="L589" s="773">
        <f t="shared" si="378"/>
        <v>4.15E-3</v>
      </c>
      <c r="M589" s="773">
        <f t="shared" si="378"/>
        <v>4.15E-3</v>
      </c>
      <c r="N589" s="773">
        <f t="shared" si="378"/>
        <v>4.15E-3</v>
      </c>
      <c r="O589" s="773">
        <f t="shared" si="378"/>
        <v>4.15E-3</v>
      </c>
      <c r="P589" s="773">
        <f t="shared" si="378"/>
        <v>4.15E-3</v>
      </c>
      <c r="Q589" s="773">
        <f t="shared" si="378"/>
        <v>4.15E-3</v>
      </c>
      <c r="R589" s="20"/>
    </row>
    <row r="590" spans="1:19" x14ac:dyDescent="0.2">
      <c r="B590" t="s">
        <v>19</v>
      </c>
      <c r="D590">
        <v>101</v>
      </c>
      <c r="E590" t="s">
        <v>6</v>
      </c>
      <c r="F590" s="159">
        <f>'Rate Design Int &amp; Trans'!$H$94</f>
        <v>1.22</v>
      </c>
      <c r="G590" s="159">
        <f>'Rate Design Int &amp; Trans'!$H$94</f>
        <v>1.22</v>
      </c>
      <c r="H590" s="159">
        <f>'Rate Design Int &amp; Trans'!$H$94</f>
        <v>1.22</v>
      </c>
      <c r="I590" s="159">
        <f>'Rate Design Int &amp; Trans'!$H$94</f>
        <v>1.22</v>
      </c>
      <c r="J590" s="159">
        <f>'Rate Design Int &amp; Trans'!$H$94</f>
        <v>1.22</v>
      </c>
      <c r="K590" s="159">
        <f>'Rate Design Int &amp; Trans'!$H$94</f>
        <v>1.22</v>
      </c>
      <c r="L590" s="159">
        <f>'Rate Design Int &amp; Trans'!$H$94</f>
        <v>1.22</v>
      </c>
      <c r="M590" s="159">
        <f>'Rate Design Int &amp; Trans'!$H$94</f>
        <v>1.22</v>
      </c>
      <c r="N590" s="159">
        <f>'Rate Design Int &amp; Trans'!$H$94</f>
        <v>1.22</v>
      </c>
      <c r="O590" s="159">
        <f>'Rate Design Int &amp; Trans'!$H$94</f>
        <v>1.22</v>
      </c>
      <c r="P590" s="159">
        <f>'Rate Design Int &amp; Trans'!$H$94</f>
        <v>1.22</v>
      </c>
      <c r="Q590" s="159">
        <f>'Rate Design Int &amp; Trans'!$H$94</f>
        <v>1.22</v>
      </c>
      <c r="R590" s="20"/>
      <c r="S590"/>
    </row>
    <row r="591" spans="1:19" x14ac:dyDescent="0.2">
      <c r="A591" s="30"/>
      <c r="B591" s="30" t="s">
        <v>21</v>
      </c>
      <c r="C591" s="30"/>
      <c r="D591" s="21" t="s">
        <v>298</v>
      </c>
      <c r="E591" s="30" t="s">
        <v>22</v>
      </c>
      <c r="F591" s="49"/>
      <c r="G591" s="49"/>
      <c r="H591" s="49"/>
      <c r="I591" s="49"/>
      <c r="J591" s="49"/>
      <c r="K591" s="49"/>
      <c r="L591" s="49"/>
      <c r="M591" s="49"/>
      <c r="N591" s="49"/>
      <c r="O591" s="49"/>
      <c r="P591" s="49"/>
      <c r="Q591" s="49"/>
      <c r="R591" s="65"/>
      <c r="S591"/>
    </row>
    <row r="592" spans="1:19" x14ac:dyDescent="0.2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/>
    </row>
    <row r="593" spans="1:19" x14ac:dyDescent="0.2">
      <c r="A593" s="30"/>
      <c r="B593" s="29" t="s">
        <v>8</v>
      </c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/>
    </row>
    <row r="594" spans="1:19" x14ac:dyDescent="0.2">
      <c r="A594" s="30"/>
      <c r="B594" s="30" t="s">
        <v>22</v>
      </c>
      <c r="C594" s="30"/>
      <c r="D594" s="30"/>
      <c r="E594" s="30" t="s">
        <v>22</v>
      </c>
      <c r="F594" s="76">
        <f>'(R) Data'!C29</f>
        <v>4</v>
      </c>
      <c r="G594" s="76">
        <f>'(R) Data'!D29</f>
        <v>4</v>
      </c>
      <c r="H594" s="76">
        <f>'(R) Data'!E29</f>
        <v>4</v>
      </c>
      <c r="I594" s="76">
        <f>'(R) Data'!F29</f>
        <v>4</v>
      </c>
      <c r="J594" s="76">
        <f>'(R) Data'!G29</f>
        <v>2</v>
      </c>
      <c r="K594" s="76">
        <f>'(R) Data'!H29</f>
        <v>1.9999719301096293</v>
      </c>
      <c r="L594" s="76">
        <f>'(R) Data'!I29</f>
        <v>2</v>
      </c>
      <c r="M594" s="76">
        <f>'(R) Data'!J29</f>
        <v>2</v>
      </c>
      <c r="N594" s="76">
        <f>'(R) Data'!K29</f>
        <v>2</v>
      </c>
      <c r="O594" s="76">
        <f>'(R) Data'!L29</f>
        <v>2</v>
      </c>
      <c r="P594" s="76">
        <f>'(R) Data'!M29</f>
        <v>2</v>
      </c>
      <c r="Q594" s="76">
        <f>'(R) Data'!N29</f>
        <v>2</v>
      </c>
      <c r="R594" s="107">
        <f>SUM(F594:Q594)</f>
        <v>31.999971930109631</v>
      </c>
      <c r="S594"/>
    </row>
    <row r="595" spans="1:19" x14ac:dyDescent="0.2">
      <c r="A595" s="30"/>
      <c r="B595" s="30" t="s">
        <v>30</v>
      </c>
      <c r="C595" s="30"/>
      <c r="D595" s="30"/>
      <c r="E595" s="30"/>
      <c r="F595" s="33"/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107"/>
      <c r="S595"/>
    </row>
    <row r="596" spans="1:19" x14ac:dyDescent="0.2">
      <c r="A596" s="30"/>
      <c r="B596" s="30"/>
      <c r="C596" s="30" t="s">
        <v>59</v>
      </c>
      <c r="D596" s="30"/>
      <c r="E596" s="30" t="s">
        <v>10</v>
      </c>
      <c r="F596" s="161">
        <f>'(R) Therms By Block'!B77</f>
        <v>2000</v>
      </c>
      <c r="G596" s="170">
        <f>'(R) Therms By Block'!C77</f>
        <v>2000</v>
      </c>
      <c r="H596" s="170">
        <f>'(R) Therms By Block'!D77</f>
        <v>2000</v>
      </c>
      <c r="I596" s="170">
        <f>'(R) Therms By Block'!E77</f>
        <v>2000</v>
      </c>
      <c r="J596" s="170">
        <f>'(R) Therms By Block'!F77</f>
        <v>2000</v>
      </c>
      <c r="K596" s="170">
        <f>'(R) Therms By Block'!G77</f>
        <v>2000</v>
      </c>
      <c r="L596" s="170">
        <f>'(R) Therms By Block'!H77</f>
        <v>2000</v>
      </c>
      <c r="M596" s="170">
        <f>'(R) Therms By Block'!I77</f>
        <v>2000</v>
      </c>
      <c r="N596" s="170">
        <f>'(R) Therms By Block'!J77</f>
        <v>2000</v>
      </c>
      <c r="O596" s="170">
        <f>'(R) Therms By Block'!K77</f>
        <v>2000</v>
      </c>
      <c r="P596" s="170">
        <f>'(R) Therms By Block'!L77</f>
        <v>2000</v>
      </c>
      <c r="Q596" s="170">
        <f>'(R) Therms By Block'!M77</f>
        <v>1930.91</v>
      </c>
      <c r="R596" s="107">
        <f>SUM(F596:Q596)</f>
        <v>23930.91</v>
      </c>
      <c r="S596"/>
    </row>
    <row r="597" spans="1:19" x14ac:dyDescent="0.2">
      <c r="A597" s="30"/>
      <c r="B597" s="30"/>
      <c r="C597" s="30" t="s">
        <v>60</v>
      </c>
      <c r="D597" s="30"/>
      <c r="E597" s="30" t="s">
        <v>10</v>
      </c>
      <c r="F597" s="107">
        <f t="shared" ref="F597:N597" si="379">F598-F596</f>
        <v>22835.61</v>
      </c>
      <c r="G597" s="107">
        <f t="shared" si="379"/>
        <v>16950.099999999999</v>
      </c>
      <c r="H597" s="107">
        <f t="shared" si="379"/>
        <v>12249</v>
      </c>
      <c r="I597" s="107">
        <f t="shared" si="379"/>
        <v>29358.14</v>
      </c>
      <c r="J597" s="107">
        <f t="shared" si="379"/>
        <v>26587.62</v>
      </c>
      <c r="K597" s="107">
        <f t="shared" si="379"/>
        <v>27791.48</v>
      </c>
      <c r="L597" s="107">
        <f t="shared" si="379"/>
        <v>47343.94</v>
      </c>
      <c r="M597" s="107">
        <f t="shared" si="379"/>
        <v>50603.87</v>
      </c>
      <c r="N597" s="107">
        <f t="shared" si="379"/>
        <v>38825.67</v>
      </c>
      <c r="O597" s="107">
        <f t="shared" ref="O597:Q597" si="380">O598-O596</f>
        <v>22785.5</v>
      </c>
      <c r="P597" s="107">
        <f t="shared" si="380"/>
        <v>16363.18</v>
      </c>
      <c r="Q597" s="107">
        <f t="shared" si="380"/>
        <v>19011.68</v>
      </c>
      <c r="R597" s="107">
        <f>SUM(F597:Q597)</f>
        <v>330705.78999999998</v>
      </c>
      <c r="S597"/>
    </row>
    <row r="598" spans="1:19" x14ac:dyDescent="0.2">
      <c r="A598" s="30"/>
      <c r="B598" s="30"/>
      <c r="C598" s="30" t="s">
        <v>17</v>
      </c>
      <c r="D598" s="30"/>
      <c r="E598" s="30" t="s">
        <v>10</v>
      </c>
      <c r="F598" s="111">
        <f>'Weather Adj'!D193</f>
        <v>24835.61</v>
      </c>
      <c r="G598" s="111">
        <f>'Weather Adj'!E193</f>
        <v>18950.099999999999</v>
      </c>
      <c r="H598" s="111">
        <f>'Weather Adj'!F193</f>
        <v>14249</v>
      </c>
      <c r="I598" s="111">
        <f>'Weather Adj'!G193</f>
        <v>31358.14</v>
      </c>
      <c r="J598" s="111">
        <f>'Weather Adj'!H193</f>
        <v>28587.62</v>
      </c>
      <c r="K598" s="111">
        <f>'Weather Adj'!I193</f>
        <v>29791.48</v>
      </c>
      <c r="L598" s="111">
        <f>'Weather Adj'!J193</f>
        <v>49343.94</v>
      </c>
      <c r="M598" s="111">
        <f>'Weather Adj'!K193</f>
        <v>52603.87</v>
      </c>
      <c r="N598" s="111">
        <f>'Weather Adj'!L193</f>
        <v>40825.67</v>
      </c>
      <c r="O598" s="111">
        <f>'Weather Adj'!M193</f>
        <v>24785.5</v>
      </c>
      <c r="P598" s="111">
        <f>'Weather Adj'!N193</f>
        <v>18363.18</v>
      </c>
      <c r="Q598" s="111">
        <f>'Weather Adj'!O193</f>
        <v>20942.59</v>
      </c>
      <c r="R598" s="109">
        <f>SUM(R596:R597)</f>
        <v>354636.69999999995</v>
      </c>
      <c r="S598"/>
    </row>
    <row r="599" spans="1:19" x14ac:dyDescent="0.2">
      <c r="A599" s="30"/>
      <c r="B599" s="30" t="s">
        <v>29</v>
      </c>
      <c r="C599" s="30"/>
      <c r="D599" s="30"/>
      <c r="E599" s="30" t="s">
        <v>100</v>
      </c>
      <c r="F599" s="76">
        <f>'(R) Data'!C49</f>
        <v>750</v>
      </c>
      <c r="G599" s="76">
        <f>'(R) Data'!D49</f>
        <v>750</v>
      </c>
      <c r="H599" s="76">
        <f>'(R) Data'!E49</f>
        <v>750</v>
      </c>
      <c r="I599" s="76">
        <f>'(R) Data'!F49</f>
        <v>750</v>
      </c>
      <c r="J599" s="76">
        <f>'(R) Data'!G49</f>
        <v>750</v>
      </c>
      <c r="K599" s="76">
        <f>'(R) Data'!H49</f>
        <v>750</v>
      </c>
      <c r="L599" s="76">
        <f>'(R) Data'!I49</f>
        <v>750</v>
      </c>
      <c r="M599" s="76">
        <f>'(R) Data'!J49</f>
        <v>750</v>
      </c>
      <c r="N599" s="76">
        <f>'(R) Data'!K49</f>
        <v>750</v>
      </c>
      <c r="O599" s="76">
        <f>'(R) Data'!L49</f>
        <v>750</v>
      </c>
      <c r="P599" s="76">
        <f>'(R) Data'!M49</f>
        <v>1500</v>
      </c>
      <c r="Q599" s="76">
        <f>'(R) Data'!N49</f>
        <v>750</v>
      </c>
      <c r="R599" s="107">
        <f>SUM(F599:Q599)</f>
        <v>9750</v>
      </c>
      <c r="S599"/>
    </row>
    <row r="600" spans="1:19" x14ac:dyDescent="0.2">
      <c r="A600" s="30"/>
      <c r="B600" s="30" t="s">
        <v>21</v>
      </c>
      <c r="C600" s="30"/>
      <c r="D600" s="30"/>
      <c r="E600" s="30"/>
      <c r="F600" s="74"/>
      <c r="G600" s="74"/>
      <c r="H600" s="74"/>
      <c r="I600" s="74"/>
      <c r="J600" s="74"/>
      <c r="K600" s="74"/>
      <c r="L600" s="74"/>
      <c r="M600" s="74"/>
      <c r="N600" s="74"/>
      <c r="O600" s="74"/>
      <c r="P600" s="74"/>
      <c r="Q600" s="74"/>
      <c r="R600" s="40"/>
      <c r="S600"/>
    </row>
    <row r="601" spans="1:19" x14ac:dyDescent="0.2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96"/>
      <c r="S601"/>
    </row>
    <row r="602" spans="1:19" s="30" customFormat="1" x14ac:dyDescent="0.2">
      <c r="B602" s="29" t="s">
        <v>9</v>
      </c>
      <c r="R602" s="96"/>
    </row>
    <row r="603" spans="1:19" s="30" customFormat="1" x14ac:dyDescent="0.2">
      <c r="A603" s="30" t="s">
        <v>147</v>
      </c>
      <c r="B603" s="30" t="s">
        <v>282</v>
      </c>
      <c r="D603" s="21" t="s">
        <v>298</v>
      </c>
      <c r="F603" s="34">
        <f t="shared" ref="F603:N603" si="381">F584*F594</f>
        <v>1773.76</v>
      </c>
      <c r="G603" s="34">
        <f t="shared" si="381"/>
        <v>1773.76</v>
      </c>
      <c r="H603" s="34">
        <f t="shared" si="381"/>
        <v>1773.76</v>
      </c>
      <c r="I603" s="34">
        <f t="shared" si="381"/>
        <v>1773.76</v>
      </c>
      <c r="J603" s="34">
        <f t="shared" si="381"/>
        <v>886.88</v>
      </c>
      <c r="K603" s="34">
        <f t="shared" si="381"/>
        <v>886.86755268781394</v>
      </c>
      <c r="L603" s="34">
        <f t="shared" si="381"/>
        <v>886.88</v>
      </c>
      <c r="M603" s="34">
        <f t="shared" si="381"/>
        <v>886.88</v>
      </c>
      <c r="N603" s="34">
        <f t="shared" si="381"/>
        <v>886.88</v>
      </c>
      <c r="O603" s="34">
        <f t="shared" ref="O603:Q603" si="382">O584*O594</f>
        <v>886.88</v>
      </c>
      <c r="P603" s="34">
        <f t="shared" si="382"/>
        <v>886.88</v>
      </c>
      <c r="Q603" s="34">
        <f t="shared" si="382"/>
        <v>886.88</v>
      </c>
      <c r="R603" s="107">
        <f>SUM(F603:Q603)</f>
        <v>14190.067552687809</v>
      </c>
    </row>
    <row r="604" spans="1:19" s="30" customFormat="1" x14ac:dyDescent="0.2">
      <c r="B604" s="30" t="s">
        <v>3</v>
      </c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</row>
    <row r="605" spans="1:19" s="30" customFormat="1" x14ac:dyDescent="0.2">
      <c r="C605" s="30" t="s">
        <v>59</v>
      </c>
      <c r="D605" s="21" t="s">
        <v>298</v>
      </c>
      <c r="F605" s="34">
        <f t="shared" ref="F605:N605" si="383">F586*F596</f>
        <v>385.47999999999996</v>
      </c>
      <c r="G605" s="34">
        <f t="shared" si="383"/>
        <v>385.47999999999996</v>
      </c>
      <c r="H605" s="34">
        <f t="shared" si="383"/>
        <v>385.47999999999996</v>
      </c>
      <c r="I605" s="34">
        <f t="shared" si="383"/>
        <v>385.47999999999996</v>
      </c>
      <c r="J605" s="34">
        <f t="shared" si="383"/>
        <v>385.47999999999996</v>
      </c>
      <c r="K605" s="34">
        <f t="shared" si="383"/>
        <v>385.47999999999996</v>
      </c>
      <c r="L605" s="34">
        <f t="shared" si="383"/>
        <v>385.47999999999996</v>
      </c>
      <c r="M605" s="34">
        <f t="shared" si="383"/>
        <v>385.47999999999996</v>
      </c>
      <c r="N605" s="34">
        <f t="shared" si="383"/>
        <v>385.47999999999996</v>
      </c>
      <c r="O605" s="34">
        <f t="shared" ref="O605:Q605" si="384">O586*O596</f>
        <v>385.47999999999996</v>
      </c>
      <c r="P605" s="34">
        <f t="shared" si="384"/>
        <v>385.47999999999996</v>
      </c>
      <c r="Q605" s="34">
        <f t="shared" si="384"/>
        <v>372.16359340000002</v>
      </c>
      <c r="R605" s="107">
        <f>SUM(F605:Q605)</f>
        <v>4612.4435933999994</v>
      </c>
    </row>
    <row r="606" spans="1:19" s="30" customFormat="1" x14ac:dyDescent="0.2">
      <c r="C606" s="30" t="s">
        <v>60</v>
      </c>
      <c r="D606" s="21" t="s">
        <v>298</v>
      </c>
      <c r="F606" s="34">
        <f t="shared" ref="F606:N606" si="385">F587*F597</f>
        <v>3120.2577504000005</v>
      </c>
      <c r="G606" s="34">
        <f t="shared" si="385"/>
        <v>2316.0616639999998</v>
      </c>
      <c r="H606" s="34">
        <f t="shared" si="385"/>
        <v>1673.7033600000002</v>
      </c>
      <c r="I606" s="34">
        <f t="shared" si="385"/>
        <v>4011.4962496000003</v>
      </c>
      <c r="J606" s="34">
        <f t="shared" si="385"/>
        <v>3632.9323968000003</v>
      </c>
      <c r="K606" s="34">
        <f t="shared" si="385"/>
        <v>3797.4278272000001</v>
      </c>
      <c r="L606" s="34">
        <f t="shared" si="385"/>
        <v>6469.0759616000005</v>
      </c>
      <c r="M606" s="34">
        <f t="shared" si="385"/>
        <v>6914.5127968000006</v>
      </c>
      <c r="N606" s="34">
        <f t="shared" si="385"/>
        <v>5305.1395487999998</v>
      </c>
      <c r="O606" s="34">
        <f t="shared" ref="O606:Q606" si="386">O587*O597</f>
        <v>3113.4107200000003</v>
      </c>
      <c r="P606" s="34">
        <f t="shared" si="386"/>
        <v>2235.8649152000003</v>
      </c>
      <c r="Q606" s="34">
        <f t="shared" si="386"/>
        <v>2597.7559552000002</v>
      </c>
      <c r="R606" s="107">
        <f>SUM(F606:Q606)</f>
        <v>45187.639145600006</v>
      </c>
    </row>
    <row r="607" spans="1:19" s="30" customFormat="1" x14ac:dyDescent="0.2">
      <c r="A607" t="s">
        <v>147</v>
      </c>
      <c r="B607"/>
      <c r="C607" t="s">
        <v>26</v>
      </c>
      <c r="D607"/>
      <c r="E607"/>
      <c r="F607" s="24">
        <f t="shared" ref="F607:N607" si="387">SUM(F605:F606)</f>
        <v>3505.7377504000006</v>
      </c>
      <c r="G607" s="24">
        <f t="shared" si="387"/>
        <v>2701.5416639999999</v>
      </c>
      <c r="H607" s="24">
        <f t="shared" si="387"/>
        <v>2059.18336</v>
      </c>
      <c r="I607" s="24">
        <f t="shared" si="387"/>
        <v>4396.9762496000003</v>
      </c>
      <c r="J607" s="24">
        <f t="shared" si="387"/>
        <v>4018.4123968000004</v>
      </c>
      <c r="K607" s="24">
        <f t="shared" si="387"/>
        <v>4182.9078271999997</v>
      </c>
      <c r="L607" s="24">
        <f t="shared" si="387"/>
        <v>6854.5559616</v>
      </c>
      <c r="M607" s="24">
        <f t="shared" si="387"/>
        <v>7299.9927968000002</v>
      </c>
      <c r="N607" s="24">
        <f t="shared" si="387"/>
        <v>5690.6195487999994</v>
      </c>
      <c r="O607" s="24">
        <f t="shared" ref="O607:Q607" si="388">SUM(O605:O606)</f>
        <v>3498.8907200000003</v>
      </c>
      <c r="P607" s="24">
        <f t="shared" si="388"/>
        <v>2621.3449152000003</v>
      </c>
      <c r="Q607" s="24">
        <f t="shared" si="388"/>
        <v>2969.9195486000003</v>
      </c>
      <c r="R607" s="24">
        <f>SUM(R605:R606)</f>
        <v>49800.082739000005</v>
      </c>
    </row>
    <row r="608" spans="1:19" s="30" customFormat="1" x14ac:dyDescent="0.2">
      <c r="A608" t="s">
        <v>130</v>
      </c>
      <c r="B608" t="s">
        <v>319</v>
      </c>
      <c r="C608"/>
      <c r="D608" s="21"/>
      <c r="E608"/>
      <c r="F608" s="40">
        <f t="shared" ref="F608:N608" si="389">F588*F598</f>
        <v>17.384927000000001</v>
      </c>
      <c r="G608" s="40">
        <f t="shared" si="389"/>
        <v>13.26507</v>
      </c>
      <c r="H608" s="40">
        <f t="shared" si="389"/>
        <v>9.9742999999999995</v>
      </c>
      <c r="I608" s="40">
        <f t="shared" si="389"/>
        <v>21.950697999999999</v>
      </c>
      <c r="J608" s="40">
        <f t="shared" si="389"/>
        <v>20.011333999999998</v>
      </c>
      <c r="K608" s="40">
        <f t="shared" si="389"/>
        <v>20.854036000000001</v>
      </c>
      <c r="L608" s="40">
        <f t="shared" si="389"/>
        <v>34.540758000000004</v>
      </c>
      <c r="M608" s="40">
        <f t="shared" si="389"/>
        <v>36.822709000000003</v>
      </c>
      <c r="N608" s="40">
        <f t="shared" si="389"/>
        <v>28.577969</v>
      </c>
      <c r="O608" s="40">
        <f t="shared" ref="O608:Q608" si="390">O588*O598</f>
        <v>17.34985</v>
      </c>
      <c r="P608" s="40">
        <f t="shared" si="390"/>
        <v>12.854226000000001</v>
      </c>
      <c r="Q608" s="40">
        <f t="shared" si="390"/>
        <v>14.659813</v>
      </c>
      <c r="R608" s="729">
        <f>SUM(F608:Q608)</f>
        <v>248.24569000000002</v>
      </c>
    </row>
    <row r="609" spans="1:19" s="30" customFormat="1" x14ac:dyDescent="0.2">
      <c r="A609" t="s">
        <v>551</v>
      </c>
      <c r="B609" t="s">
        <v>552</v>
      </c>
      <c r="C609"/>
      <c r="D609" s="21">
        <v>149</v>
      </c>
      <c r="E609"/>
      <c r="F609" s="40">
        <f>F589*F598</f>
        <v>103.06778150000001</v>
      </c>
      <c r="G609" s="40">
        <f t="shared" ref="G609:Q609" si="391">G589*G598</f>
        <v>78.642914999999988</v>
      </c>
      <c r="H609" s="40">
        <f t="shared" si="391"/>
        <v>59.13335</v>
      </c>
      <c r="I609" s="40">
        <f t="shared" si="391"/>
        <v>130.136281</v>
      </c>
      <c r="J609" s="40">
        <f t="shared" si="391"/>
        <v>118.638623</v>
      </c>
      <c r="K609" s="40">
        <f t="shared" si="391"/>
        <v>123.634642</v>
      </c>
      <c r="L609" s="40">
        <f t="shared" si="391"/>
        <v>204.77735100000001</v>
      </c>
      <c r="M609" s="40">
        <f t="shared" si="391"/>
        <v>218.3060605</v>
      </c>
      <c r="N609" s="40">
        <f t="shared" si="391"/>
        <v>169.42653049999998</v>
      </c>
      <c r="O609" s="40">
        <f t="shared" si="391"/>
        <v>102.859825</v>
      </c>
      <c r="P609" s="40">
        <f t="shared" si="391"/>
        <v>76.207197000000008</v>
      </c>
      <c r="Q609" s="40">
        <f t="shared" si="391"/>
        <v>86.911748500000002</v>
      </c>
      <c r="R609" s="729">
        <f>SUM(F609:Q609)</f>
        <v>1471.7423049999998</v>
      </c>
    </row>
    <row r="610" spans="1:19" s="30" customFormat="1" x14ac:dyDescent="0.2">
      <c r="A610" t="s">
        <v>147</v>
      </c>
      <c r="B610" t="s">
        <v>19</v>
      </c>
      <c r="C610"/>
      <c r="D610" s="21" t="s">
        <v>298</v>
      </c>
      <c r="E610"/>
      <c r="F610" s="23">
        <f t="shared" ref="F610:N610" si="392">F590*F599</f>
        <v>915</v>
      </c>
      <c r="G610" s="23">
        <f t="shared" si="392"/>
        <v>915</v>
      </c>
      <c r="H610" s="23">
        <f t="shared" si="392"/>
        <v>915</v>
      </c>
      <c r="I610" s="23">
        <f t="shared" si="392"/>
        <v>915</v>
      </c>
      <c r="J610" s="23">
        <f t="shared" si="392"/>
        <v>915</v>
      </c>
      <c r="K610" s="23">
        <f t="shared" si="392"/>
        <v>915</v>
      </c>
      <c r="L610" s="23">
        <f t="shared" si="392"/>
        <v>915</v>
      </c>
      <c r="M610" s="23">
        <f t="shared" si="392"/>
        <v>915</v>
      </c>
      <c r="N610" s="23">
        <f t="shared" si="392"/>
        <v>915</v>
      </c>
      <c r="O610" s="23">
        <f t="shared" ref="O610:Q610" si="393">O590*O599</f>
        <v>915</v>
      </c>
      <c r="P610" s="23">
        <f t="shared" si="393"/>
        <v>1830</v>
      </c>
      <c r="Q610" s="23">
        <f t="shared" si="393"/>
        <v>915</v>
      </c>
      <c r="R610" s="107">
        <f>SUM(F610:Q610)</f>
        <v>11895</v>
      </c>
    </row>
    <row r="611" spans="1:19" s="30" customFormat="1" x14ac:dyDescent="0.2">
      <c r="A611" s="30" t="s">
        <v>147</v>
      </c>
      <c r="B611" s="30" t="s">
        <v>21</v>
      </c>
      <c r="D611" s="21" t="s">
        <v>298</v>
      </c>
      <c r="F611" s="74">
        <f>'(R) Data'!C65</f>
        <v>2626.2999999999997</v>
      </c>
      <c r="G611" s="74">
        <f>'(R) Data'!D65</f>
        <v>0</v>
      </c>
      <c r="H611" s="74">
        <f>'(R) Data'!E65</f>
        <v>2626.2999999999997</v>
      </c>
      <c r="I611" s="74">
        <f>'(R) Data'!F65</f>
        <v>3270.99</v>
      </c>
      <c r="J611" s="74">
        <f>'(R) Data'!G65</f>
        <v>0</v>
      </c>
      <c r="K611" s="74">
        <f>'(R) Data'!H65</f>
        <v>0</v>
      </c>
      <c r="L611" s="74">
        <f>'(R) Data'!I65</f>
        <v>0</v>
      </c>
      <c r="M611" s="74">
        <f>'(R) Data'!J65</f>
        <v>0</v>
      </c>
      <c r="N611" s="74">
        <f>'(R) Data'!K65</f>
        <v>0</v>
      </c>
      <c r="O611" s="74">
        <f>'(R) Data'!L65</f>
        <v>0</v>
      </c>
      <c r="P611" s="74">
        <f>'(R) Data'!M65</f>
        <v>0</v>
      </c>
      <c r="Q611" s="74">
        <f>'(R) Data'!N65</f>
        <v>0</v>
      </c>
      <c r="R611" s="107">
        <f>SUM(F611:Q611)</f>
        <v>8523.59</v>
      </c>
    </row>
    <row r="612" spans="1:19" s="30" customFormat="1" x14ac:dyDescent="0.2">
      <c r="A612"/>
      <c r="B612" t="s">
        <v>24</v>
      </c>
      <c r="C612"/>
      <c r="D612"/>
      <c r="E612"/>
      <c r="F612" s="24">
        <f>F603+F607+F608+F609+F610+F611</f>
        <v>8941.2504589</v>
      </c>
      <c r="G612" s="24">
        <f t="shared" ref="G612:R612" si="394">G603+G607+G608+G609+G610+G611</f>
        <v>5482.2096490000004</v>
      </c>
      <c r="H612" s="24">
        <f t="shared" si="394"/>
        <v>7443.3510100000003</v>
      </c>
      <c r="I612" s="24">
        <f t="shared" si="394"/>
        <v>10508.8132286</v>
      </c>
      <c r="J612" s="24">
        <f t="shared" si="394"/>
        <v>5958.9423538000001</v>
      </c>
      <c r="K612" s="24">
        <f t="shared" si="394"/>
        <v>6129.2640578878136</v>
      </c>
      <c r="L612" s="24">
        <f t="shared" si="394"/>
        <v>8895.7540706</v>
      </c>
      <c r="M612" s="24">
        <f t="shared" si="394"/>
        <v>9357.0015662999995</v>
      </c>
      <c r="N612" s="24">
        <f t="shared" si="394"/>
        <v>7690.5040482999993</v>
      </c>
      <c r="O612" s="24">
        <f t="shared" si="394"/>
        <v>5420.9803950000005</v>
      </c>
      <c r="P612" s="24">
        <f t="shared" si="394"/>
        <v>5427.2863382000005</v>
      </c>
      <c r="Q612" s="24">
        <f t="shared" si="394"/>
        <v>4873.3711101000008</v>
      </c>
      <c r="R612" s="24">
        <f t="shared" si="394"/>
        <v>86128.728286687809</v>
      </c>
    </row>
    <row r="613" spans="1:19" s="30" customFormat="1" x14ac:dyDescent="0.2">
      <c r="A613"/>
      <c r="B613"/>
      <c r="C613"/>
      <c r="D613"/>
      <c r="E613"/>
      <c r="F613" s="23"/>
      <c r="G613" s="23"/>
      <c r="H613" s="23"/>
      <c r="I613" s="23"/>
      <c r="J613" s="23"/>
      <c r="K613" s="23"/>
      <c r="L613" s="23"/>
      <c r="M613" s="23"/>
      <c r="N613" s="23"/>
      <c r="O613" s="23"/>
      <c r="P613" s="23"/>
      <c r="Q613" s="23"/>
      <c r="R613" s="23"/>
    </row>
    <row r="614" spans="1:19" s="30" customFormat="1" x14ac:dyDescent="0.2">
      <c r="A614" t="s">
        <v>305</v>
      </c>
      <c r="B614" t="s">
        <v>304</v>
      </c>
      <c r="C614"/>
      <c r="D614"/>
      <c r="E614"/>
      <c r="F614" s="23">
        <f t="shared" ref="F614:N614" si="395">F608</f>
        <v>17.384927000000001</v>
      </c>
      <c r="G614" s="23">
        <f t="shared" si="395"/>
        <v>13.26507</v>
      </c>
      <c r="H614" s="23">
        <f t="shared" si="395"/>
        <v>9.9742999999999995</v>
      </c>
      <c r="I614" s="23">
        <f t="shared" si="395"/>
        <v>21.950697999999999</v>
      </c>
      <c r="J614" s="23">
        <f t="shared" si="395"/>
        <v>20.011333999999998</v>
      </c>
      <c r="K614" s="23">
        <f t="shared" si="395"/>
        <v>20.854036000000001</v>
      </c>
      <c r="L614" s="23">
        <f t="shared" si="395"/>
        <v>34.540758000000004</v>
      </c>
      <c r="M614" s="23">
        <f t="shared" si="395"/>
        <v>36.822709000000003</v>
      </c>
      <c r="N614" s="23">
        <f t="shared" si="395"/>
        <v>28.577969</v>
      </c>
      <c r="O614" s="23">
        <f t="shared" ref="O614:Q614" si="396">O608</f>
        <v>17.34985</v>
      </c>
      <c r="P614" s="23">
        <f t="shared" si="396"/>
        <v>12.854226000000001</v>
      </c>
      <c r="Q614" s="23">
        <f t="shared" si="396"/>
        <v>14.659813</v>
      </c>
      <c r="R614" s="107">
        <f>SUM(F614:Q614)</f>
        <v>248.24569000000002</v>
      </c>
    </row>
    <row r="615" spans="1:19" s="30" customFormat="1" x14ac:dyDescent="0.2"/>
    <row r="616" spans="1:19" s="30" customFormat="1" x14ac:dyDescent="0.2">
      <c r="B616" s="29" t="s">
        <v>90</v>
      </c>
      <c r="C616" s="29"/>
    </row>
    <row r="617" spans="1:19" s="30" customFormat="1" x14ac:dyDescent="0.2">
      <c r="B617" s="29" t="s">
        <v>7</v>
      </c>
      <c r="C617" s="29"/>
    </row>
    <row r="618" spans="1:19" s="30" customFormat="1" x14ac:dyDescent="0.2">
      <c r="B618" s="30" t="s">
        <v>282</v>
      </c>
      <c r="D618" s="30">
        <v>87</v>
      </c>
      <c r="E618" s="30" t="s">
        <v>5</v>
      </c>
      <c r="F618" s="130">
        <f>'Rate Design Int &amp; Trans'!$H$130</f>
        <v>557.39</v>
      </c>
      <c r="G618" s="130">
        <f>'Rate Design Int &amp; Trans'!$H$130</f>
        <v>557.39</v>
      </c>
      <c r="H618" s="130">
        <f>'Rate Design Int &amp; Trans'!$H$130</f>
        <v>557.39</v>
      </c>
      <c r="I618" s="130">
        <f>'Rate Design Int &amp; Trans'!$H$130</f>
        <v>557.39</v>
      </c>
      <c r="J618" s="130">
        <f>'Rate Design Int &amp; Trans'!$H$130</f>
        <v>557.39</v>
      </c>
      <c r="K618" s="130">
        <f>'Rate Design Int &amp; Trans'!$H$130</f>
        <v>557.39</v>
      </c>
      <c r="L618" s="130">
        <f>'Rate Design Int &amp; Trans'!$H$130</f>
        <v>557.39</v>
      </c>
      <c r="M618" s="130">
        <f>'Rate Design Int &amp; Trans'!$H$130</f>
        <v>557.39</v>
      </c>
      <c r="N618" s="130">
        <f>'Rate Design Int &amp; Trans'!$H$130</f>
        <v>557.39</v>
      </c>
      <c r="O618" s="130">
        <f>'Rate Design Int &amp; Trans'!$H$130</f>
        <v>557.39</v>
      </c>
      <c r="P618" s="130">
        <f>'Rate Design Int &amp; Trans'!$H$130</f>
        <v>557.39</v>
      </c>
      <c r="Q618" s="130">
        <f>'Rate Design Int &amp; Trans'!$H$130</f>
        <v>557.39</v>
      </c>
      <c r="R618" s="32"/>
    </row>
    <row r="619" spans="1:19" x14ac:dyDescent="0.2">
      <c r="A619" s="30"/>
      <c r="B619" s="30" t="s">
        <v>3</v>
      </c>
      <c r="C619" s="30"/>
      <c r="D619" s="30"/>
      <c r="E619" s="30"/>
      <c r="F619" s="131"/>
      <c r="G619" s="131"/>
      <c r="H619" s="131"/>
      <c r="I619" s="131"/>
      <c r="J619" s="131"/>
      <c r="K619" s="131"/>
      <c r="L619" s="131"/>
      <c r="M619" s="131"/>
      <c r="N619" s="131"/>
      <c r="O619" s="131"/>
      <c r="P619" s="131"/>
      <c r="Q619" s="131"/>
      <c r="R619" s="65"/>
      <c r="S619"/>
    </row>
    <row r="620" spans="1:19" x14ac:dyDescent="0.2">
      <c r="A620" s="30"/>
      <c r="B620" s="30"/>
      <c r="C620" s="30" t="s">
        <v>56</v>
      </c>
      <c r="D620" s="30">
        <v>87</v>
      </c>
      <c r="E620" s="30" t="s">
        <v>6</v>
      </c>
      <c r="F620" s="131">
        <f>'Rate Design Int &amp; Trans'!$H$136</f>
        <v>0.1391</v>
      </c>
      <c r="G620" s="131">
        <f>'Rate Design Int &amp; Trans'!$H$136</f>
        <v>0.1391</v>
      </c>
      <c r="H620" s="131">
        <f>'Rate Design Int &amp; Trans'!$H$136</f>
        <v>0.1391</v>
      </c>
      <c r="I620" s="131">
        <f>'Rate Design Int &amp; Trans'!$H$136</f>
        <v>0.1391</v>
      </c>
      <c r="J620" s="131">
        <f>'Rate Design Int &amp; Trans'!$H$136</f>
        <v>0.1391</v>
      </c>
      <c r="K620" s="131">
        <f>'Rate Design Int &amp; Trans'!$H$136</f>
        <v>0.1391</v>
      </c>
      <c r="L620" s="131">
        <f>'Rate Design Int &amp; Trans'!$H$136</f>
        <v>0.1391</v>
      </c>
      <c r="M620" s="131">
        <f>'Rate Design Int &amp; Trans'!$H$136</f>
        <v>0.1391</v>
      </c>
      <c r="N620" s="131">
        <f>'Rate Design Int &amp; Trans'!$H$136</f>
        <v>0.1391</v>
      </c>
      <c r="O620" s="131">
        <f>'Rate Design Int &amp; Trans'!$H$136</f>
        <v>0.1391</v>
      </c>
      <c r="P620" s="131">
        <f>'Rate Design Int &amp; Trans'!$H$136</f>
        <v>0.1391</v>
      </c>
      <c r="Q620" s="131">
        <f>'Rate Design Int &amp; Trans'!$H$136</f>
        <v>0.1391</v>
      </c>
      <c r="R620" s="65"/>
      <c r="S620"/>
    </row>
    <row r="621" spans="1:19" x14ac:dyDescent="0.2">
      <c r="A621" s="30"/>
      <c r="B621" s="30"/>
      <c r="C621" s="30" t="s">
        <v>57</v>
      </c>
      <c r="D621" s="30">
        <v>87</v>
      </c>
      <c r="E621" s="30" t="s">
        <v>6</v>
      </c>
      <c r="F621" s="131">
        <f>'Rate Design Int &amp; Trans'!$H$137</f>
        <v>8.4059999999999996E-2</v>
      </c>
      <c r="G621" s="131">
        <f>'Rate Design Int &amp; Trans'!$H$137</f>
        <v>8.4059999999999996E-2</v>
      </c>
      <c r="H621" s="131">
        <f>'Rate Design Int &amp; Trans'!$H$137</f>
        <v>8.4059999999999996E-2</v>
      </c>
      <c r="I621" s="131">
        <f>'Rate Design Int &amp; Trans'!$H$137</f>
        <v>8.4059999999999996E-2</v>
      </c>
      <c r="J621" s="131">
        <f>'Rate Design Int &amp; Trans'!$H$137</f>
        <v>8.4059999999999996E-2</v>
      </c>
      <c r="K621" s="131">
        <f>'Rate Design Int &amp; Trans'!$H$137</f>
        <v>8.4059999999999996E-2</v>
      </c>
      <c r="L621" s="131">
        <f>'Rate Design Int &amp; Trans'!$H$137</f>
        <v>8.4059999999999996E-2</v>
      </c>
      <c r="M621" s="131">
        <f>'Rate Design Int &amp; Trans'!$H$137</f>
        <v>8.4059999999999996E-2</v>
      </c>
      <c r="N621" s="131">
        <f>'Rate Design Int &amp; Trans'!$H$137</f>
        <v>8.4059999999999996E-2</v>
      </c>
      <c r="O621" s="131">
        <f>'Rate Design Int &amp; Trans'!$H$137</f>
        <v>8.4059999999999996E-2</v>
      </c>
      <c r="P621" s="131">
        <f>'Rate Design Int &amp; Trans'!$H$137</f>
        <v>8.4059999999999996E-2</v>
      </c>
      <c r="Q621" s="131">
        <f>'Rate Design Int &amp; Trans'!$H$137</f>
        <v>8.4059999999999996E-2</v>
      </c>
      <c r="R621" s="65"/>
      <c r="S621"/>
    </row>
    <row r="622" spans="1:19" s="30" customFormat="1" x14ac:dyDescent="0.2">
      <c r="C622" s="30" t="s">
        <v>62</v>
      </c>
      <c r="D622" s="30">
        <v>87</v>
      </c>
      <c r="E622" s="30" t="s">
        <v>6</v>
      </c>
      <c r="F622" s="131">
        <f>'Rate Design Int &amp; Trans'!$H$138</f>
        <v>5.3490000000000003E-2</v>
      </c>
      <c r="G622" s="131">
        <f>'Rate Design Int &amp; Trans'!$H$138</f>
        <v>5.3490000000000003E-2</v>
      </c>
      <c r="H622" s="131">
        <f>'Rate Design Int &amp; Trans'!$H$138</f>
        <v>5.3490000000000003E-2</v>
      </c>
      <c r="I622" s="131">
        <f>'Rate Design Int &amp; Trans'!$H$138</f>
        <v>5.3490000000000003E-2</v>
      </c>
      <c r="J622" s="131">
        <f>'Rate Design Int &amp; Trans'!$H$138</f>
        <v>5.3490000000000003E-2</v>
      </c>
      <c r="K622" s="131">
        <f>'Rate Design Int &amp; Trans'!$H$138</f>
        <v>5.3490000000000003E-2</v>
      </c>
      <c r="L622" s="131">
        <f>'Rate Design Int &amp; Trans'!$H$138</f>
        <v>5.3490000000000003E-2</v>
      </c>
      <c r="M622" s="131">
        <f>'Rate Design Int &amp; Trans'!$H$138</f>
        <v>5.3490000000000003E-2</v>
      </c>
      <c r="N622" s="131">
        <f>'Rate Design Int &amp; Trans'!$H$138</f>
        <v>5.3490000000000003E-2</v>
      </c>
      <c r="O622" s="131">
        <f>'Rate Design Int &amp; Trans'!$H$138</f>
        <v>5.3490000000000003E-2</v>
      </c>
      <c r="P622" s="131">
        <f>'Rate Design Int &amp; Trans'!$H$138</f>
        <v>5.3490000000000003E-2</v>
      </c>
      <c r="Q622" s="131">
        <f>'Rate Design Int &amp; Trans'!$H$138</f>
        <v>5.3490000000000003E-2</v>
      </c>
      <c r="R622" s="65"/>
    </row>
    <row r="623" spans="1:19" x14ac:dyDescent="0.2">
      <c r="A623" s="30"/>
      <c r="B623" s="30"/>
      <c r="C623" s="30" t="s">
        <v>63</v>
      </c>
      <c r="D623" s="30">
        <v>87</v>
      </c>
      <c r="E623" s="30" t="s">
        <v>6</v>
      </c>
      <c r="F623" s="131">
        <f>'Rate Design Int &amp; Trans'!$H$139</f>
        <v>3.4299999999999997E-2</v>
      </c>
      <c r="G623" s="131">
        <f>'Rate Design Int &amp; Trans'!$H$139</f>
        <v>3.4299999999999997E-2</v>
      </c>
      <c r="H623" s="131">
        <f>'Rate Design Int &amp; Trans'!$H$139</f>
        <v>3.4299999999999997E-2</v>
      </c>
      <c r="I623" s="131">
        <f>'Rate Design Int &amp; Trans'!$H$139</f>
        <v>3.4299999999999997E-2</v>
      </c>
      <c r="J623" s="131">
        <f>'Rate Design Int &amp; Trans'!$H$139</f>
        <v>3.4299999999999997E-2</v>
      </c>
      <c r="K623" s="131">
        <f>'Rate Design Int &amp; Trans'!$H$139</f>
        <v>3.4299999999999997E-2</v>
      </c>
      <c r="L623" s="131">
        <f>'Rate Design Int &amp; Trans'!$H$139</f>
        <v>3.4299999999999997E-2</v>
      </c>
      <c r="M623" s="131">
        <f>'Rate Design Int &amp; Trans'!$H$139</f>
        <v>3.4299999999999997E-2</v>
      </c>
      <c r="N623" s="131">
        <f>'Rate Design Int &amp; Trans'!$H$139</f>
        <v>3.4299999999999997E-2</v>
      </c>
      <c r="O623" s="131">
        <f>'Rate Design Int &amp; Trans'!$H$139</f>
        <v>3.4299999999999997E-2</v>
      </c>
      <c r="P623" s="131">
        <f>'Rate Design Int &amp; Trans'!$H$139</f>
        <v>3.4299999999999997E-2</v>
      </c>
      <c r="Q623" s="131">
        <f>'Rate Design Int &amp; Trans'!$H$139</f>
        <v>3.4299999999999997E-2</v>
      </c>
      <c r="R623" s="65"/>
      <c r="S623"/>
    </row>
    <row r="624" spans="1:19" x14ac:dyDescent="0.2">
      <c r="A624" s="30"/>
      <c r="B624" s="30"/>
      <c r="C624" s="30" t="s">
        <v>64</v>
      </c>
      <c r="D624" s="30">
        <v>87</v>
      </c>
      <c r="E624" s="30" t="s">
        <v>6</v>
      </c>
      <c r="F624" s="131">
        <f>'Rate Design Int &amp; Trans'!$H$140</f>
        <v>2.4680000000000001E-2</v>
      </c>
      <c r="G624" s="131">
        <f>'Rate Design Int &amp; Trans'!$H$140</f>
        <v>2.4680000000000001E-2</v>
      </c>
      <c r="H624" s="131">
        <f>'Rate Design Int &amp; Trans'!$H$140</f>
        <v>2.4680000000000001E-2</v>
      </c>
      <c r="I624" s="131">
        <f>'Rate Design Int &amp; Trans'!$H$140</f>
        <v>2.4680000000000001E-2</v>
      </c>
      <c r="J624" s="131">
        <f>'Rate Design Int &amp; Trans'!$H$140</f>
        <v>2.4680000000000001E-2</v>
      </c>
      <c r="K624" s="131">
        <f>'Rate Design Int &amp; Trans'!$H$140</f>
        <v>2.4680000000000001E-2</v>
      </c>
      <c r="L624" s="131">
        <f>'Rate Design Int &amp; Trans'!$H$140</f>
        <v>2.4680000000000001E-2</v>
      </c>
      <c r="M624" s="131">
        <f>'Rate Design Int &amp; Trans'!$H$140</f>
        <v>2.4680000000000001E-2</v>
      </c>
      <c r="N624" s="131">
        <f>'Rate Design Int &amp; Trans'!$H$140</f>
        <v>2.4680000000000001E-2</v>
      </c>
      <c r="O624" s="131">
        <f>'Rate Design Int &amp; Trans'!$H$140</f>
        <v>2.4680000000000001E-2</v>
      </c>
      <c r="P624" s="131">
        <f>'Rate Design Int &amp; Trans'!$H$140</f>
        <v>2.4680000000000001E-2</v>
      </c>
      <c r="Q624" s="131">
        <f>'Rate Design Int &amp; Trans'!$H$140</f>
        <v>2.4680000000000001E-2</v>
      </c>
      <c r="R624" s="65"/>
      <c r="S624"/>
    </row>
    <row r="625" spans="1:19" x14ac:dyDescent="0.2">
      <c r="A625" s="30"/>
      <c r="B625" s="30"/>
      <c r="C625" s="30" t="s">
        <v>65</v>
      </c>
      <c r="D625" s="30">
        <v>87</v>
      </c>
      <c r="E625" s="30" t="s">
        <v>6</v>
      </c>
      <c r="F625" s="131">
        <f>'Rate Design Int &amp; Trans'!$H$141</f>
        <v>1.9029999999999998E-2</v>
      </c>
      <c r="G625" s="131">
        <f>'Rate Design Int &amp; Trans'!$H$141</f>
        <v>1.9029999999999998E-2</v>
      </c>
      <c r="H625" s="131">
        <f>'Rate Design Int &amp; Trans'!$H$141</f>
        <v>1.9029999999999998E-2</v>
      </c>
      <c r="I625" s="131">
        <f>'Rate Design Int &amp; Trans'!$H$141</f>
        <v>1.9029999999999998E-2</v>
      </c>
      <c r="J625" s="131">
        <f>'Rate Design Int &amp; Trans'!$H$141</f>
        <v>1.9029999999999998E-2</v>
      </c>
      <c r="K625" s="131">
        <f>'Rate Design Int &amp; Trans'!$H$141</f>
        <v>1.9029999999999998E-2</v>
      </c>
      <c r="L625" s="131">
        <f>'Rate Design Int &amp; Trans'!$H$141</f>
        <v>1.9029999999999998E-2</v>
      </c>
      <c r="M625" s="131">
        <f>'Rate Design Int &amp; Trans'!$H$141</f>
        <v>1.9029999999999998E-2</v>
      </c>
      <c r="N625" s="131">
        <f>'Rate Design Int &amp; Trans'!$H$141</f>
        <v>1.9029999999999998E-2</v>
      </c>
      <c r="O625" s="131">
        <f>'Rate Design Int &amp; Trans'!$H$141</f>
        <v>1.9029999999999998E-2</v>
      </c>
      <c r="P625" s="131">
        <f>'Rate Design Int &amp; Trans'!$H$141</f>
        <v>1.9029999999999998E-2</v>
      </c>
      <c r="Q625" s="131">
        <f>'Rate Design Int &amp; Trans'!$H$141</f>
        <v>1.9029999999999998E-2</v>
      </c>
      <c r="R625" s="65"/>
      <c r="S625"/>
    </row>
    <row r="626" spans="1:19" x14ac:dyDescent="0.2">
      <c r="A626" s="30"/>
      <c r="B626" s="30" t="s">
        <v>303</v>
      </c>
      <c r="C626" s="30"/>
      <c r="D626" s="30">
        <v>101</v>
      </c>
      <c r="E626" s="30" t="s">
        <v>6</v>
      </c>
      <c r="F626" s="181">
        <v>0.27044000000000001</v>
      </c>
      <c r="G626" s="181">
        <v>0.27044000000000001</v>
      </c>
      <c r="H626" s="181">
        <v>0.27044000000000001</v>
      </c>
      <c r="I626" s="181">
        <v>0.27044000000000001</v>
      </c>
      <c r="J626" s="181">
        <v>0.27044000000000001</v>
      </c>
      <c r="K626" s="181">
        <v>0.27044000000000001</v>
      </c>
      <c r="L626" s="181">
        <v>0.27044000000000001</v>
      </c>
      <c r="M626" s="181">
        <v>0.27044000000000001</v>
      </c>
      <c r="N626" s="181">
        <v>0.27044000000000001</v>
      </c>
      <c r="O626" s="181">
        <v>0.27044000000000001</v>
      </c>
      <c r="P626" s="181">
        <v>0.27044000000000001</v>
      </c>
      <c r="Q626" s="181">
        <v>0.27044000000000001</v>
      </c>
      <c r="R626" s="65"/>
      <c r="S626"/>
    </row>
    <row r="627" spans="1:19" x14ac:dyDescent="0.2">
      <c r="A627" s="30"/>
      <c r="B627" s="30" t="s">
        <v>61</v>
      </c>
      <c r="C627" s="30"/>
      <c r="D627" s="47">
        <v>85</v>
      </c>
      <c r="E627" s="30" t="s">
        <v>6</v>
      </c>
      <c r="F627" s="131">
        <f>'Rate Design Int &amp; Trans'!$H$132</f>
        <v>5.94E-3</v>
      </c>
      <c r="G627" s="131">
        <f>'Rate Design Int &amp; Trans'!$H$132</f>
        <v>5.94E-3</v>
      </c>
      <c r="H627" s="131">
        <f>'Rate Design Int &amp; Trans'!$H$132</f>
        <v>5.94E-3</v>
      </c>
      <c r="I627" s="131">
        <f>'Rate Design Int &amp; Trans'!$H$132</f>
        <v>5.94E-3</v>
      </c>
      <c r="J627" s="131">
        <f>'Rate Design Int &amp; Trans'!$H$132</f>
        <v>5.94E-3</v>
      </c>
      <c r="K627" s="131">
        <f>'Rate Design Int &amp; Trans'!$H$132</f>
        <v>5.94E-3</v>
      </c>
      <c r="L627" s="131">
        <f>'Rate Design Int &amp; Trans'!$H$132</f>
        <v>5.94E-3</v>
      </c>
      <c r="M627" s="131">
        <f>'Rate Design Int &amp; Trans'!$H$132</f>
        <v>5.94E-3</v>
      </c>
      <c r="N627" s="131">
        <f>'Rate Design Int &amp; Trans'!$H$132</f>
        <v>5.94E-3</v>
      </c>
      <c r="O627" s="131">
        <f>'Rate Design Int &amp; Trans'!$H$132</f>
        <v>5.94E-3</v>
      </c>
      <c r="P627" s="131">
        <f>'Rate Design Int &amp; Trans'!$H$132</f>
        <v>5.94E-3</v>
      </c>
      <c r="Q627" s="131">
        <f>'Rate Design Int &amp; Trans'!$H$132</f>
        <v>5.94E-3</v>
      </c>
      <c r="R627" s="65"/>
      <c r="S627"/>
    </row>
    <row r="628" spans="1:19" x14ac:dyDescent="0.2">
      <c r="A628" s="30"/>
      <c r="B628" s="30" t="s">
        <v>550</v>
      </c>
      <c r="C628" s="30"/>
      <c r="D628" s="47">
        <v>149</v>
      </c>
      <c r="E628" s="30" t="s">
        <v>6</v>
      </c>
      <c r="F628" s="181">
        <v>2.0200000000000001E-3</v>
      </c>
      <c r="G628" s="181">
        <v>2.0200000000000001E-3</v>
      </c>
      <c r="H628" s="181">
        <v>2.0200000000000001E-3</v>
      </c>
      <c r="I628" s="181">
        <v>2.0200000000000001E-3</v>
      </c>
      <c r="J628" s="181">
        <v>2.0200000000000001E-3</v>
      </c>
      <c r="K628" s="181">
        <v>2.0200000000000001E-3</v>
      </c>
      <c r="L628" s="181">
        <v>2.0200000000000001E-3</v>
      </c>
      <c r="M628" s="181">
        <v>2.0200000000000001E-3</v>
      </c>
      <c r="N628" s="181">
        <v>2.0200000000000001E-3</v>
      </c>
      <c r="O628" s="181">
        <v>2.0200000000000001E-3</v>
      </c>
      <c r="P628" s="181">
        <v>2.0200000000000001E-3</v>
      </c>
      <c r="Q628" s="181">
        <v>2.0200000000000001E-3</v>
      </c>
      <c r="R628" s="65"/>
      <c r="S628"/>
    </row>
    <row r="629" spans="1:19" x14ac:dyDescent="0.2">
      <c r="A629" s="30"/>
      <c r="B629" s="30" t="s">
        <v>18</v>
      </c>
      <c r="C629" s="30"/>
      <c r="D629" s="30"/>
      <c r="E629" s="30"/>
      <c r="F629" s="65"/>
      <c r="G629" s="65"/>
      <c r="H629" s="65"/>
      <c r="I629" s="65"/>
      <c r="J629" s="65"/>
      <c r="K629" s="65"/>
      <c r="L629" s="65"/>
      <c r="M629" s="65"/>
      <c r="N629" s="65"/>
      <c r="O629" s="65"/>
      <c r="P629" s="65"/>
      <c r="Q629" s="65"/>
      <c r="R629" s="65"/>
      <c r="S629"/>
    </row>
    <row r="630" spans="1:19" x14ac:dyDescent="0.2">
      <c r="A630" s="30"/>
      <c r="B630" s="30"/>
      <c r="C630" s="30" t="s">
        <v>19</v>
      </c>
      <c r="D630" s="30">
        <v>101</v>
      </c>
      <c r="E630" s="30" t="s">
        <v>6</v>
      </c>
      <c r="F630" s="130">
        <f>'Rate Design Int &amp; Trans'!$H$131</f>
        <v>1.38</v>
      </c>
      <c r="G630" s="130">
        <f>'Rate Design Int &amp; Trans'!$H$131</f>
        <v>1.38</v>
      </c>
      <c r="H630" s="130">
        <f>'Rate Design Int &amp; Trans'!$H$131</f>
        <v>1.38</v>
      </c>
      <c r="I630" s="130">
        <f>'Rate Design Int &amp; Trans'!$H$131</f>
        <v>1.38</v>
      </c>
      <c r="J630" s="130">
        <f>'Rate Design Int &amp; Trans'!$H$131</f>
        <v>1.38</v>
      </c>
      <c r="K630" s="130">
        <f>'Rate Design Int &amp; Trans'!$H$131</f>
        <v>1.38</v>
      </c>
      <c r="L630" s="130">
        <f>'Rate Design Int &amp; Trans'!$H$131</f>
        <v>1.38</v>
      </c>
      <c r="M630" s="130">
        <f>'Rate Design Int &amp; Trans'!$H$131</f>
        <v>1.38</v>
      </c>
      <c r="N630" s="130">
        <f>'Rate Design Int &amp; Trans'!$H$131</f>
        <v>1.38</v>
      </c>
      <c r="O630" s="130">
        <f>'Rate Design Int &amp; Trans'!$H$131</f>
        <v>1.38</v>
      </c>
      <c r="P630" s="130">
        <f>'Rate Design Int &amp; Trans'!$H$131</f>
        <v>1.38</v>
      </c>
      <c r="Q630" s="130">
        <f>'Rate Design Int &amp; Trans'!$H$131</f>
        <v>1.38</v>
      </c>
      <c r="R630" s="65"/>
      <c r="S630"/>
    </row>
    <row r="631" spans="1:19" x14ac:dyDescent="0.2">
      <c r="A631" s="30"/>
      <c r="B631" s="30"/>
      <c r="C631" s="30" t="s">
        <v>20</v>
      </c>
      <c r="D631" s="30">
        <v>101</v>
      </c>
      <c r="E631" s="30" t="s">
        <v>6</v>
      </c>
      <c r="F631" s="645">
        <v>1.05</v>
      </c>
      <c r="G631" s="645">
        <v>1.05</v>
      </c>
      <c r="H631" s="645">
        <v>1.05</v>
      </c>
      <c r="I631" s="645">
        <v>1.05</v>
      </c>
      <c r="J631" s="645">
        <v>1.05</v>
      </c>
      <c r="K631" s="645">
        <v>1.05</v>
      </c>
      <c r="L631" s="645">
        <v>1.05</v>
      </c>
      <c r="M631" s="645">
        <v>1.05</v>
      </c>
      <c r="N631" s="645">
        <v>1.05</v>
      </c>
      <c r="O631" s="645">
        <v>1.05</v>
      </c>
      <c r="P631" s="645">
        <v>1.05</v>
      </c>
      <c r="Q631" s="645">
        <v>1.05</v>
      </c>
      <c r="R631" s="65"/>
      <c r="S631"/>
    </row>
    <row r="632" spans="1:19" x14ac:dyDescent="0.2">
      <c r="A632" s="30"/>
      <c r="B632" s="30" t="s">
        <v>21</v>
      </c>
      <c r="C632" s="30"/>
      <c r="D632" s="30">
        <v>85</v>
      </c>
      <c r="E632" s="30" t="s">
        <v>22</v>
      </c>
      <c r="F632" s="49"/>
      <c r="G632" s="49"/>
      <c r="H632" s="49"/>
      <c r="I632" s="49"/>
      <c r="J632" s="49"/>
      <c r="K632" s="49"/>
      <c r="L632" s="49"/>
      <c r="M632" s="49"/>
      <c r="N632" s="49"/>
      <c r="O632" s="49"/>
      <c r="P632" s="49"/>
      <c r="Q632" s="49"/>
      <c r="R632" s="65"/>
      <c r="S632"/>
    </row>
    <row r="633" spans="1:19" x14ac:dyDescent="0.2">
      <c r="A633" s="30"/>
      <c r="B633" s="30" t="s">
        <v>304</v>
      </c>
      <c r="C633" s="30"/>
      <c r="D633" s="30"/>
      <c r="E633" s="30"/>
      <c r="F633" s="181">
        <v>0.25814999999999999</v>
      </c>
      <c r="G633" s="181">
        <v>0.25814999999999999</v>
      </c>
      <c r="H633" s="181">
        <v>0.25814999999999999</v>
      </c>
      <c r="I633" s="181">
        <v>0.25814999999999999</v>
      </c>
      <c r="J633" s="181">
        <v>0.25814999999999999</v>
      </c>
      <c r="K633" s="181">
        <v>0.25814999999999999</v>
      </c>
      <c r="L633" s="181">
        <v>0.25814999999999999</v>
      </c>
      <c r="M633" s="181">
        <v>0.25814999999999999</v>
      </c>
      <c r="N633" s="181">
        <v>0.25814999999999999</v>
      </c>
      <c r="O633" s="181">
        <v>0.25814999999999999</v>
      </c>
      <c r="P633" s="181">
        <v>0.25814999999999999</v>
      </c>
      <c r="Q633" s="181">
        <v>0.25814999999999999</v>
      </c>
      <c r="R633" s="65"/>
      <c r="S633"/>
    </row>
    <row r="634" spans="1:19" x14ac:dyDescent="0.2">
      <c r="A634" s="30"/>
      <c r="B634" s="30" t="s">
        <v>310</v>
      </c>
      <c r="C634" s="30"/>
      <c r="D634" s="30"/>
      <c r="E634" s="30"/>
      <c r="F634" s="645">
        <v>1</v>
      </c>
      <c r="G634" s="645">
        <v>1</v>
      </c>
      <c r="H634" s="645">
        <v>1</v>
      </c>
      <c r="I634" s="645">
        <v>1</v>
      </c>
      <c r="J634" s="645">
        <v>1</v>
      </c>
      <c r="K634" s="645">
        <v>1</v>
      </c>
      <c r="L634" s="645">
        <v>1</v>
      </c>
      <c r="M634" s="645">
        <v>1</v>
      </c>
      <c r="N634" s="645">
        <v>1</v>
      </c>
      <c r="O634" s="645">
        <v>1</v>
      </c>
      <c r="P634" s="645">
        <v>1</v>
      </c>
      <c r="Q634" s="645">
        <v>1</v>
      </c>
      <c r="R634" s="65"/>
      <c r="S634"/>
    </row>
    <row r="635" spans="1:19" x14ac:dyDescent="0.2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/>
    </row>
    <row r="636" spans="1:19" x14ac:dyDescent="0.2">
      <c r="B636" s="15" t="s">
        <v>8</v>
      </c>
      <c r="S636"/>
    </row>
    <row r="637" spans="1:19" x14ac:dyDescent="0.2">
      <c r="B637" t="s">
        <v>22</v>
      </c>
      <c r="E637" t="s">
        <v>22</v>
      </c>
      <c r="F637" s="63">
        <f>'(R) Data'!C30</f>
        <v>5.0130693501152717</v>
      </c>
      <c r="G637" s="63">
        <f>'(R) Data'!D30</f>
        <v>5.1748862857498912</v>
      </c>
      <c r="H637" s="63">
        <f>'(R) Data'!E30</f>
        <v>4.901177643466883</v>
      </c>
      <c r="I637" s="63">
        <f>'(R) Data'!F30</f>
        <v>4.975668265935572</v>
      </c>
      <c r="J637" s="63">
        <f>'(R) Data'!G30</f>
        <v>5.1083556607888339</v>
      </c>
      <c r="K637" s="63">
        <f>'(R) Data'!H30</f>
        <v>5.1238280397033344</v>
      </c>
      <c r="L637" s="63">
        <f>'(R) Data'!I30</f>
        <v>5.0417959266253032</v>
      </c>
      <c r="M637" s="63">
        <f>'(R) Data'!J30</f>
        <v>4.8582074453736173</v>
      </c>
      <c r="N637" s="63">
        <f>'(R) Data'!K30</f>
        <v>5</v>
      </c>
      <c r="O637" s="63">
        <f>'(R) Data'!L30</f>
        <v>4.9655044510385755</v>
      </c>
      <c r="P637" s="63">
        <f>'(R) Data'!M30</f>
        <v>5.101185884210337</v>
      </c>
      <c r="Q637" s="63">
        <f>'(R) Data'!N30</f>
        <v>4.8688171657187969</v>
      </c>
      <c r="R637" s="107">
        <f>SUM(F637:Q637)</f>
        <v>60.132496118726415</v>
      </c>
      <c r="S637"/>
    </row>
    <row r="638" spans="1:19" x14ac:dyDescent="0.2">
      <c r="A638" s="30"/>
      <c r="B638" s="30" t="s">
        <v>30</v>
      </c>
      <c r="C638" s="30"/>
      <c r="D638" s="30"/>
      <c r="E638" s="30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107"/>
      <c r="S638"/>
    </row>
    <row r="639" spans="1:19" x14ac:dyDescent="0.2">
      <c r="A639" s="30"/>
      <c r="B639" s="30"/>
      <c r="C639" s="30" t="s">
        <v>56</v>
      </c>
      <c r="D639" s="30"/>
      <c r="E639" s="30" t="s">
        <v>10</v>
      </c>
      <c r="F639" s="161">
        <f>'(R) Therms By Block'!B83</f>
        <v>125326.542</v>
      </c>
      <c r="G639" s="170">
        <f>'(R) Therms By Block'!C83</f>
        <v>129371.92</v>
      </c>
      <c r="H639" s="170">
        <f>'(R) Therms By Block'!D83</f>
        <v>122529.114</v>
      </c>
      <c r="I639" s="170">
        <f>'(R) Therms By Block'!E83</f>
        <v>124392</v>
      </c>
      <c r="J639" s="170">
        <f>'(R) Therms By Block'!F83</f>
        <v>127709.428</v>
      </c>
      <c r="K639" s="170">
        <f>'(R) Therms By Block'!G83</f>
        <v>128095.38800000001</v>
      </c>
      <c r="L639" s="170">
        <f>'(R) Therms By Block'!H83</f>
        <v>126044.556</v>
      </c>
      <c r="M639" s="170">
        <f>'(R) Therms By Block'!I83</f>
        <v>121455.628</v>
      </c>
      <c r="N639" s="170">
        <f>'(R) Therms By Block'!J83</f>
        <v>125000</v>
      </c>
      <c r="O639" s="170">
        <f>'(R) Therms By Block'!K83</f>
        <v>124138</v>
      </c>
      <c r="P639" s="170">
        <f>'(R) Therms By Block'!L83</f>
        <v>127528.666</v>
      </c>
      <c r="Q639" s="170">
        <f>'(R) Therms By Block'!M83</f>
        <v>121720.43</v>
      </c>
      <c r="R639" s="107">
        <f t="shared" ref="R639:R644" si="397">SUM(F639:Q639)</f>
        <v>1503311.6719999998</v>
      </c>
      <c r="S639"/>
    </row>
    <row r="640" spans="1:19" s="30" customFormat="1" x14ac:dyDescent="0.2">
      <c r="C640" s="30" t="s">
        <v>57</v>
      </c>
      <c r="E640" s="30" t="s">
        <v>10</v>
      </c>
      <c r="F640" s="170">
        <f>'(R) Therms By Block'!B84</f>
        <v>114592.44500000001</v>
      </c>
      <c r="G640" s="170">
        <f>'(R) Therms By Block'!C84</f>
        <v>109307.538</v>
      </c>
      <c r="H640" s="170">
        <f>'(R) Therms By Block'!D84</f>
        <v>114463.791</v>
      </c>
      <c r="I640" s="170">
        <f>'(R) Therms By Block'!E84</f>
        <v>124390</v>
      </c>
      <c r="J640" s="170">
        <f>'(R) Therms By Block'!F84</f>
        <v>127709.428</v>
      </c>
      <c r="K640" s="170">
        <f>'(R) Therms By Block'!G84</f>
        <v>128094.939</v>
      </c>
      <c r="L640" s="170">
        <f>'(R) Therms By Block'!H84</f>
        <v>126044.005</v>
      </c>
      <c r="M640" s="170">
        <f>'(R) Therms By Block'!I84</f>
        <v>121455.628</v>
      </c>
      <c r="N640" s="170">
        <f>'(R) Therms By Block'!J84</f>
        <v>125000</v>
      </c>
      <c r="O640" s="170">
        <f>'(R) Therms By Block'!K84</f>
        <v>124138</v>
      </c>
      <c r="P640" s="170">
        <f>'(R) Therms By Block'!L84</f>
        <v>127528.666</v>
      </c>
      <c r="Q640" s="170">
        <f>'(R) Therms By Block'!M84</f>
        <v>112863.99</v>
      </c>
      <c r="R640" s="107">
        <f t="shared" si="397"/>
        <v>1455588.43</v>
      </c>
    </row>
    <row r="641" spans="1:20" s="30" customFormat="1" x14ac:dyDescent="0.2">
      <c r="C641" s="30" t="s">
        <v>62</v>
      </c>
      <c r="E641" s="30" t="s">
        <v>10</v>
      </c>
      <c r="F641" s="170">
        <f>'(R) Therms By Block'!B85</f>
        <v>180356.14300000001</v>
      </c>
      <c r="G641" s="170">
        <f>'(R) Therms By Block'!C85</f>
        <v>176480.61199999999</v>
      </c>
      <c r="H641" s="170">
        <f>'(R) Therms By Block'!D85</f>
        <v>173372.95800000001</v>
      </c>
      <c r="I641" s="170">
        <f>'(R) Therms By Block'!E85</f>
        <v>232697.61600000001</v>
      </c>
      <c r="J641" s="170">
        <f>'(R) Therms By Block'!F85</f>
        <v>255418.85800000001</v>
      </c>
      <c r="K641" s="170">
        <f>'(R) Therms By Block'!G85</f>
        <v>256190.77499999999</v>
      </c>
      <c r="L641" s="170">
        <f>'(R) Therms By Block'!H85</f>
        <v>252089.111</v>
      </c>
      <c r="M641" s="170">
        <f>'(R) Therms By Block'!I85</f>
        <v>242911.25599999999</v>
      </c>
      <c r="N641" s="170">
        <f>'(R) Therms By Block'!J85</f>
        <v>250000</v>
      </c>
      <c r="O641" s="170">
        <f>'(R) Therms By Block'!K85</f>
        <v>248276</v>
      </c>
      <c r="P641" s="170">
        <f>'(R) Therms By Block'!L85</f>
        <v>197462.139</v>
      </c>
      <c r="Q641" s="170">
        <f>'(R) Therms By Block'!M85</f>
        <v>175211.476</v>
      </c>
      <c r="R641" s="107">
        <f t="shared" si="397"/>
        <v>2640466.9439999997</v>
      </c>
    </row>
    <row r="642" spans="1:20" s="30" customFormat="1" x14ac:dyDescent="0.2">
      <c r="C642" s="30" t="s">
        <v>63</v>
      </c>
      <c r="E642" s="30" t="s">
        <v>10</v>
      </c>
      <c r="F642" s="170">
        <f>'(R) Therms By Block'!B86</f>
        <v>114768.774</v>
      </c>
      <c r="G642" s="170">
        <f>'(R) Therms By Block'!C86</f>
        <v>103785.11</v>
      </c>
      <c r="H642" s="170">
        <f>'(R) Therms By Block'!D86</f>
        <v>126069.992</v>
      </c>
      <c r="I642" s="170">
        <f>'(R) Therms By Block'!E86</f>
        <v>242950.46100000001</v>
      </c>
      <c r="J642" s="170">
        <f>'(R) Therms By Block'!F86</f>
        <v>336625.147</v>
      </c>
      <c r="K642" s="170">
        <f>'(R) Therms By Block'!G86</f>
        <v>422860.33600000001</v>
      </c>
      <c r="L642" s="170">
        <f>'(R) Therms By Block'!H86</f>
        <v>394483.83799999999</v>
      </c>
      <c r="M642" s="170">
        <f>'(R) Therms By Block'!I86</f>
        <v>439683.32199999999</v>
      </c>
      <c r="N642" s="170">
        <f>'(R) Therms By Block'!J86</f>
        <v>443482.08899999998</v>
      </c>
      <c r="O642" s="170">
        <f>'(R) Therms By Block'!K86</f>
        <v>318372.07799999998</v>
      </c>
      <c r="P642" s="170">
        <f>'(R) Therms By Block'!L86</f>
        <v>167686.50099999999</v>
      </c>
      <c r="Q642" s="170">
        <f>'(R) Therms By Block'!M86</f>
        <v>115520.219</v>
      </c>
      <c r="R642" s="107">
        <f t="shared" si="397"/>
        <v>3226287.8670000001</v>
      </c>
    </row>
    <row r="643" spans="1:20" s="30" customFormat="1" x14ac:dyDescent="0.2">
      <c r="C643" s="30" t="s">
        <v>64</v>
      </c>
      <c r="E643" s="30" t="s">
        <v>10</v>
      </c>
      <c r="F643" s="170">
        <f>'(R) Therms By Block'!B87</f>
        <v>300000</v>
      </c>
      <c r="G643" s="170">
        <f>'(R) Therms By Block'!C87</f>
        <v>300000</v>
      </c>
      <c r="H643" s="170">
        <f>'(R) Therms By Block'!D87</f>
        <v>300000</v>
      </c>
      <c r="I643" s="170">
        <f>'(R) Therms By Block'!E87</f>
        <v>300000</v>
      </c>
      <c r="J643" s="170">
        <f>'(R) Therms By Block'!F87</f>
        <v>331027.71000000002</v>
      </c>
      <c r="K643" s="170">
        <f>'(R) Therms By Block'!G87</f>
        <v>360007.41399999999</v>
      </c>
      <c r="L643" s="170">
        <f>'(R) Therms By Block'!H87</f>
        <v>336549.57699999999</v>
      </c>
      <c r="M643" s="170">
        <f>'(R) Therms By Block'!I87</f>
        <v>311044.71799999999</v>
      </c>
      <c r="N643" s="170">
        <f>'(R) Therms By Block'!J87</f>
        <v>310532.62800000003</v>
      </c>
      <c r="O643" s="170">
        <f>'(R) Therms By Block'!K87</f>
        <v>310431.10800000001</v>
      </c>
      <c r="P643" s="170">
        <f>'(R) Therms By Block'!L87</f>
        <v>300000</v>
      </c>
      <c r="Q643" s="170">
        <f>'(R) Therms By Block'!M87</f>
        <v>300000</v>
      </c>
      <c r="R643" s="107">
        <f t="shared" si="397"/>
        <v>3759593.1549999998</v>
      </c>
    </row>
    <row r="644" spans="1:20" s="30" customFormat="1" x14ac:dyDescent="0.2">
      <c r="C644" s="30" t="s">
        <v>65</v>
      </c>
      <c r="E644" s="30" t="s">
        <v>10</v>
      </c>
      <c r="F644" s="107">
        <f t="shared" ref="F644:N644" si="398">F645-SUM(F639:F643)</f>
        <v>370119.2300000001</v>
      </c>
      <c r="G644" s="107">
        <f t="shared" si="398"/>
        <v>372287.80000000005</v>
      </c>
      <c r="H644" s="107">
        <f t="shared" si="398"/>
        <v>461018.16999999993</v>
      </c>
      <c r="I644" s="107">
        <f t="shared" si="398"/>
        <v>932432.81999999983</v>
      </c>
      <c r="J644" s="107">
        <f t="shared" si="398"/>
        <v>1167560.7799999998</v>
      </c>
      <c r="K644" s="107">
        <f t="shared" si="398"/>
        <v>1522228.63</v>
      </c>
      <c r="L644" s="107">
        <f t="shared" si="398"/>
        <v>1346884.32</v>
      </c>
      <c r="M644" s="107">
        <f t="shared" si="398"/>
        <v>1217319.21</v>
      </c>
      <c r="N644" s="107">
        <f t="shared" si="398"/>
        <v>1178005.6599999999</v>
      </c>
      <c r="O644" s="107">
        <f t="shared" ref="O644:Q644" si="399">O645-SUM(O639:O643)</f>
        <v>949314.73</v>
      </c>
      <c r="P644" s="107">
        <f t="shared" si="399"/>
        <v>565504.23</v>
      </c>
      <c r="Q644" s="107">
        <f t="shared" si="399"/>
        <v>605234.98</v>
      </c>
      <c r="R644" s="107">
        <f t="shared" si="397"/>
        <v>10687910.560000001</v>
      </c>
    </row>
    <row r="645" spans="1:20" s="30" customFormat="1" x14ac:dyDescent="0.2">
      <c r="C645" s="30" t="s">
        <v>17</v>
      </c>
      <c r="E645" s="30" t="s">
        <v>10</v>
      </c>
      <c r="F645" s="111">
        <f>'Weather Adj'!D178</f>
        <v>1205163.1340000001</v>
      </c>
      <c r="G645" s="111">
        <f>'Weather Adj'!E178</f>
        <v>1191232.98</v>
      </c>
      <c r="H645" s="111">
        <f>'Weather Adj'!F178</f>
        <v>1297454.0249999999</v>
      </c>
      <c r="I645" s="111">
        <f>'Weather Adj'!G178</f>
        <v>1956862.8969999999</v>
      </c>
      <c r="J645" s="111">
        <f>'Weather Adj'!H178</f>
        <v>2346051.3509999998</v>
      </c>
      <c r="K645" s="111">
        <f>'Weather Adj'!I178</f>
        <v>2817477.4819999998</v>
      </c>
      <c r="L645" s="111">
        <f>'Weather Adj'!J178</f>
        <v>2582095.4070000001</v>
      </c>
      <c r="M645" s="111">
        <f>'Weather Adj'!K178</f>
        <v>2453869.7620000001</v>
      </c>
      <c r="N645" s="111">
        <f>'Weather Adj'!L178</f>
        <v>2432020.3769999999</v>
      </c>
      <c r="O645" s="111">
        <f>'Weather Adj'!M178</f>
        <v>2074669.916</v>
      </c>
      <c r="P645" s="111">
        <f>'Weather Adj'!N178</f>
        <v>1485710.202</v>
      </c>
      <c r="Q645" s="111">
        <f>'Weather Adj'!O178</f>
        <v>1430551.095</v>
      </c>
      <c r="R645" s="109">
        <f>SUM(R639:R644)</f>
        <v>23273158.627999999</v>
      </c>
      <c r="S645" s="46"/>
    </row>
    <row r="646" spans="1:20" s="30" customFormat="1" x14ac:dyDescent="0.2">
      <c r="B646" s="30" t="s">
        <v>29</v>
      </c>
      <c r="E646" s="30" t="s">
        <v>100</v>
      </c>
      <c r="F646" s="76">
        <f>'(R) Data'!C50</f>
        <v>0</v>
      </c>
      <c r="G646" s="76">
        <f>'(R) Data'!D50</f>
        <v>0</v>
      </c>
      <c r="H646" s="76">
        <f>'(R) Data'!E50</f>
        <v>0</v>
      </c>
      <c r="I646" s="76">
        <f>'(R) Data'!F50</f>
        <v>0</v>
      </c>
      <c r="J646" s="76">
        <f>'(R) Data'!G50</f>
        <v>0</v>
      </c>
      <c r="K646" s="76">
        <f>'(R) Data'!H50</f>
        <v>0</v>
      </c>
      <c r="L646" s="76">
        <f>'(R) Data'!I50</f>
        <v>0</v>
      </c>
      <c r="M646" s="76">
        <f>'(R) Data'!J50</f>
        <v>0</v>
      </c>
      <c r="N646" s="76">
        <f>'(R) Data'!K50</f>
        <v>0</v>
      </c>
      <c r="O646" s="76">
        <f>'(R) Data'!L50</f>
        <v>0</v>
      </c>
      <c r="P646" s="76">
        <f>'(R) Data'!M50</f>
        <v>0</v>
      </c>
      <c r="Q646" s="76">
        <f>'(R) Data'!N50</f>
        <v>0</v>
      </c>
      <c r="R646" s="107">
        <f>SUM(F646:Q646)</f>
        <v>0</v>
      </c>
      <c r="S646" s="46"/>
    </row>
    <row r="647" spans="1:20" s="30" customFormat="1" x14ac:dyDescent="0.2">
      <c r="B647" s="30" t="s">
        <v>21</v>
      </c>
      <c r="F647" s="33"/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107"/>
      <c r="S647" s="46"/>
    </row>
    <row r="648" spans="1:20" s="30" customFormat="1" x14ac:dyDescent="0.2">
      <c r="R648" s="96"/>
      <c r="S648" s="46"/>
    </row>
    <row r="649" spans="1:20" s="30" customFormat="1" x14ac:dyDescent="0.2">
      <c r="B649" s="29" t="s">
        <v>9</v>
      </c>
      <c r="R649" s="96"/>
      <c r="S649" s="46"/>
    </row>
    <row r="650" spans="1:20" s="30" customFormat="1" x14ac:dyDescent="0.2">
      <c r="A650" s="30" t="s">
        <v>147</v>
      </c>
      <c r="B650" s="30" t="s">
        <v>282</v>
      </c>
      <c r="D650" s="30">
        <v>85</v>
      </c>
      <c r="F650" s="34">
        <f t="shared" ref="F650:N650" si="400">F618*F637</f>
        <v>2794.2347250607513</v>
      </c>
      <c r="G650" s="34">
        <f t="shared" si="400"/>
        <v>2884.4298668141319</v>
      </c>
      <c r="H650" s="34">
        <f t="shared" si="400"/>
        <v>2731.8674066920057</v>
      </c>
      <c r="I650" s="34">
        <f t="shared" si="400"/>
        <v>2773.3877347498283</v>
      </c>
      <c r="J650" s="34">
        <f t="shared" si="400"/>
        <v>2847.3463617670882</v>
      </c>
      <c r="K650" s="34">
        <f t="shared" si="400"/>
        <v>2855.9705110502414</v>
      </c>
      <c r="L650" s="34">
        <f t="shared" si="400"/>
        <v>2810.2466315416777</v>
      </c>
      <c r="M650" s="34">
        <f t="shared" si="400"/>
        <v>2707.9162479768006</v>
      </c>
      <c r="N650" s="34">
        <f t="shared" si="400"/>
        <v>2786.95</v>
      </c>
      <c r="O650" s="34">
        <f t="shared" ref="O650:Q650" si="401">O618*O637</f>
        <v>2767.7225259643915</v>
      </c>
      <c r="P650" s="34">
        <f t="shared" si="401"/>
        <v>2843.35</v>
      </c>
      <c r="Q650" s="34">
        <f t="shared" si="401"/>
        <v>2713.83</v>
      </c>
      <c r="R650" s="70">
        <f>SUM(F650:Q650)</f>
        <v>33517.252011616918</v>
      </c>
      <c r="S650" s="46"/>
    </row>
    <row r="651" spans="1:20" s="30" customFormat="1" x14ac:dyDescent="0.2">
      <c r="B651" s="30" t="s">
        <v>3</v>
      </c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70"/>
      <c r="S651" s="46"/>
    </row>
    <row r="652" spans="1:20" s="30" customFormat="1" x14ac:dyDescent="0.2">
      <c r="C652" s="30" t="s">
        <v>56</v>
      </c>
      <c r="D652" s="30">
        <v>87</v>
      </c>
      <c r="F652" s="34">
        <f t="shared" ref="F652:N652" si="402">F620*F639</f>
        <v>17432.921992200001</v>
      </c>
      <c r="G652" s="34">
        <f t="shared" si="402"/>
        <v>17995.634072000001</v>
      </c>
      <c r="H652" s="34">
        <f t="shared" si="402"/>
        <v>17043.7997574</v>
      </c>
      <c r="I652" s="34">
        <f t="shared" si="402"/>
        <v>17302.927200000002</v>
      </c>
      <c r="J652" s="34">
        <f t="shared" si="402"/>
        <v>17764.381434800001</v>
      </c>
      <c r="K652" s="34">
        <f t="shared" si="402"/>
        <v>17818.068470800001</v>
      </c>
      <c r="L652" s="34">
        <f t="shared" si="402"/>
        <v>17532.797739599999</v>
      </c>
      <c r="M652" s="34">
        <f t="shared" si="402"/>
        <v>16894.477854799999</v>
      </c>
      <c r="N652" s="34">
        <f t="shared" si="402"/>
        <v>17387.5</v>
      </c>
      <c r="O652" s="34">
        <f t="shared" ref="O652:Q652" si="403">O620*O639</f>
        <v>17267.595799999999</v>
      </c>
      <c r="P652" s="34">
        <f t="shared" si="403"/>
        <v>17739.237440599998</v>
      </c>
      <c r="Q652" s="34">
        <f t="shared" si="403"/>
        <v>16931.311813</v>
      </c>
      <c r="R652" s="70">
        <f t="shared" ref="R652:R657" si="404">SUM(F652:Q652)</f>
        <v>209110.65357520003</v>
      </c>
      <c r="S652" s="46"/>
      <c r="T652" s="46"/>
    </row>
    <row r="653" spans="1:20" s="30" customFormat="1" x14ac:dyDescent="0.2">
      <c r="C653" s="30" t="s">
        <v>57</v>
      </c>
      <c r="D653" s="30">
        <v>87</v>
      </c>
      <c r="F653" s="34">
        <f t="shared" ref="F653:N653" si="405">F621*F640</f>
        <v>9632.6409266999999</v>
      </c>
      <c r="G653" s="34">
        <f t="shared" si="405"/>
        <v>9188.39164428</v>
      </c>
      <c r="H653" s="34">
        <f t="shared" si="405"/>
        <v>9621.8262714599987</v>
      </c>
      <c r="I653" s="34">
        <f t="shared" si="405"/>
        <v>10456.223399999999</v>
      </c>
      <c r="J653" s="34">
        <f t="shared" si="405"/>
        <v>10735.254517679999</v>
      </c>
      <c r="K653" s="34">
        <f t="shared" si="405"/>
        <v>10767.660572339999</v>
      </c>
      <c r="L653" s="34">
        <f t="shared" si="405"/>
        <v>10595.259060299999</v>
      </c>
      <c r="M653" s="34">
        <f t="shared" si="405"/>
        <v>10209.560089679999</v>
      </c>
      <c r="N653" s="34">
        <f t="shared" si="405"/>
        <v>10507.5</v>
      </c>
      <c r="O653" s="34">
        <f t="shared" ref="O653:Q653" si="406">O621*O640</f>
        <v>10435.040279999999</v>
      </c>
      <c r="P653" s="34">
        <f t="shared" si="406"/>
        <v>10720.059663959999</v>
      </c>
      <c r="Q653" s="34">
        <f t="shared" si="406"/>
        <v>9487.3469994000006</v>
      </c>
      <c r="R653" s="70">
        <f t="shared" si="404"/>
        <v>122356.7634258</v>
      </c>
    </row>
    <row r="654" spans="1:20" s="30" customFormat="1" x14ac:dyDescent="0.2">
      <c r="C654" s="30" t="s">
        <v>62</v>
      </c>
      <c r="D654" s="30">
        <v>87</v>
      </c>
      <c r="F654" s="34">
        <f t="shared" ref="F654:N654" si="407">F622*F641</f>
        <v>9647.2500890700012</v>
      </c>
      <c r="G654" s="34">
        <f t="shared" si="407"/>
        <v>9439.9479358799999</v>
      </c>
      <c r="H654" s="34">
        <f t="shared" si="407"/>
        <v>9273.7195234200008</v>
      </c>
      <c r="I654" s="34">
        <f t="shared" si="407"/>
        <v>12446.995479840001</v>
      </c>
      <c r="J654" s="34">
        <f t="shared" si="407"/>
        <v>13662.354714420002</v>
      </c>
      <c r="K654" s="34">
        <f t="shared" si="407"/>
        <v>13703.644554750001</v>
      </c>
      <c r="L654" s="34">
        <f t="shared" si="407"/>
        <v>13484.246547390001</v>
      </c>
      <c r="M654" s="34">
        <f t="shared" si="407"/>
        <v>12993.32308344</v>
      </c>
      <c r="N654" s="34">
        <f t="shared" si="407"/>
        <v>13372.5</v>
      </c>
      <c r="O654" s="34">
        <f t="shared" ref="O654:Q654" si="408">O622*O641</f>
        <v>13280.283240000001</v>
      </c>
      <c r="P654" s="34">
        <f t="shared" si="408"/>
        <v>10562.249815110001</v>
      </c>
      <c r="Q654" s="34">
        <f t="shared" si="408"/>
        <v>9372.0618512399997</v>
      </c>
      <c r="R654" s="70">
        <f t="shared" si="404"/>
        <v>141238.57683456002</v>
      </c>
    </row>
    <row r="655" spans="1:20" s="30" customFormat="1" x14ac:dyDescent="0.2">
      <c r="A655"/>
      <c r="B655"/>
      <c r="C655" t="s">
        <v>63</v>
      </c>
      <c r="D655">
        <v>87</v>
      </c>
      <c r="E655"/>
      <c r="F655" s="23">
        <f t="shared" ref="F655:N655" si="409">F623*F642</f>
        <v>3936.5689481999998</v>
      </c>
      <c r="G655" s="23">
        <f t="shared" si="409"/>
        <v>3559.8292729999998</v>
      </c>
      <c r="H655" s="23">
        <f t="shared" si="409"/>
        <v>4324.2007255999997</v>
      </c>
      <c r="I655" s="23">
        <f t="shared" si="409"/>
        <v>8333.2008122999996</v>
      </c>
      <c r="J655" s="23">
        <f t="shared" si="409"/>
        <v>11546.242542099999</v>
      </c>
      <c r="K655" s="23">
        <f t="shared" si="409"/>
        <v>14504.109524799998</v>
      </c>
      <c r="L655" s="23">
        <f t="shared" si="409"/>
        <v>13530.795643399999</v>
      </c>
      <c r="M655" s="23">
        <f t="shared" si="409"/>
        <v>15081.137944599997</v>
      </c>
      <c r="N655" s="23">
        <f t="shared" si="409"/>
        <v>15211.435652699998</v>
      </c>
      <c r="O655" s="23">
        <f t="shared" ref="O655:Q655" si="410">O623*O642</f>
        <v>10920.162275399998</v>
      </c>
      <c r="P655" s="23">
        <f t="shared" si="410"/>
        <v>5751.6469842999995</v>
      </c>
      <c r="Q655" s="23">
        <f t="shared" si="410"/>
        <v>3962.3435116999995</v>
      </c>
      <c r="R655" s="100">
        <f t="shared" si="404"/>
        <v>110661.67383809999</v>
      </c>
    </row>
    <row r="656" spans="1:20" s="30" customFormat="1" x14ac:dyDescent="0.2">
      <c r="A656"/>
      <c r="B656"/>
      <c r="C656" t="s">
        <v>64</v>
      </c>
      <c r="D656">
        <v>87</v>
      </c>
      <c r="E656"/>
      <c r="F656" s="23">
        <f t="shared" ref="F656:N656" si="411">F624*F643</f>
        <v>7404</v>
      </c>
      <c r="G656" s="23">
        <f t="shared" si="411"/>
        <v>7404</v>
      </c>
      <c r="H656" s="23">
        <f t="shared" si="411"/>
        <v>7404</v>
      </c>
      <c r="I656" s="23">
        <f t="shared" si="411"/>
        <v>7404</v>
      </c>
      <c r="J656" s="23">
        <f t="shared" si="411"/>
        <v>8169.7638828000008</v>
      </c>
      <c r="K656" s="23">
        <f t="shared" si="411"/>
        <v>8884.9829775199996</v>
      </c>
      <c r="L656" s="23">
        <f t="shared" si="411"/>
        <v>8306.0435603599999</v>
      </c>
      <c r="M656" s="23">
        <f t="shared" si="411"/>
        <v>7676.58364024</v>
      </c>
      <c r="N656" s="23">
        <f t="shared" si="411"/>
        <v>7663.9452590400006</v>
      </c>
      <c r="O656" s="23">
        <f t="shared" ref="O656:Q656" si="412">O624*O643</f>
        <v>7661.4397454400005</v>
      </c>
      <c r="P656" s="23">
        <f t="shared" si="412"/>
        <v>7404</v>
      </c>
      <c r="Q656" s="23">
        <f t="shared" si="412"/>
        <v>7404</v>
      </c>
      <c r="R656" s="100">
        <f t="shared" si="404"/>
        <v>92786.759065399994</v>
      </c>
      <c r="S656" s="34"/>
    </row>
    <row r="657" spans="1:22" s="30" customFormat="1" x14ac:dyDescent="0.2">
      <c r="A657"/>
      <c r="B657"/>
      <c r="C657" t="s">
        <v>65</v>
      </c>
      <c r="D657">
        <v>87</v>
      </c>
      <c r="E657"/>
      <c r="F657" s="23">
        <f t="shared" ref="F657:N657" si="413">F625*F644</f>
        <v>7043.368946900001</v>
      </c>
      <c r="G657" s="23">
        <f t="shared" si="413"/>
        <v>7084.6368339999999</v>
      </c>
      <c r="H657" s="23">
        <f t="shared" si="413"/>
        <v>8773.1757750999986</v>
      </c>
      <c r="I657" s="23">
        <f t="shared" si="413"/>
        <v>17744.196564599995</v>
      </c>
      <c r="J657" s="23">
        <f t="shared" si="413"/>
        <v>22218.681643399996</v>
      </c>
      <c r="K657" s="23">
        <f t="shared" si="413"/>
        <v>28968.010828899995</v>
      </c>
      <c r="L657" s="23">
        <f t="shared" si="413"/>
        <v>25631.208609599998</v>
      </c>
      <c r="M657" s="23">
        <f t="shared" si="413"/>
        <v>23165.584566299996</v>
      </c>
      <c r="N657" s="23">
        <f t="shared" si="413"/>
        <v>22417.447709799995</v>
      </c>
      <c r="O657" s="23">
        <f t="shared" ref="O657:Q657" si="414">O625*O644</f>
        <v>18065.459311899998</v>
      </c>
      <c r="P657" s="23">
        <f t="shared" si="414"/>
        <v>10761.545496899998</v>
      </c>
      <c r="Q657" s="23">
        <f t="shared" si="414"/>
        <v>11517.6216694</v>
      </c>
      <c r="R657" s="100">
        <f t="shared" si="404"/>
        <v>203390.93795679996</v>
      </c>
    </row>
    <row r="658" spans="1:22" x14ac:dyDescent="0.2">
      <c r="A658" t="s">
        <v>147</v>
      </c>
      <c r="C658" t="s">
        <v>26</v>
      </c>
      <c r="F658" s="24">
        <f t="shared" ref="F658:N658" si="415">SUM(F652:F657)</f>
        <v>55096.750903070009</v>
      </c>
      <c r="G658" s="24">
        <f t="shared" si="415"/>
        <v>54672.439759159999</v>
      </c>
      <c r="H658" s="24">
        <f t="shared" si="415"/>
        <v>56440.722052979996</v>
      </c>
      <c r="I658" s="24">
        <f t="shared" si="415"/>
        <v>73687.543456739993</v>
      </c>
      <c r="J658" s="24">
        <f t="shared" si="415"/>
        <v>84096.678735199996</v>
      </c>
      <c r="K658" s="24">
        <f t="shared" si="415"/>
        <v>94646.476929109995</v>
      </c>
      <c r="L658" s="24">
        <f t="shared" si="415"/>
        <v>89080.351160649996</v>
      </c>
      <c r="M658" s="24">
        <f t="shared" si="415"/>
        <v>86020.667179059994</v>
      </c>
      <c r="N658" s="24">
        <f t="shared" si="415"/>
        <v>86560.32862154</v>
      </c>
      <c r="O658" s="24">
        <f t="shared" ref="O658:Q658" si="416">SUM(O652:O657)</f>
        <v>77629.980652739992</v>
      </c>
      <c r="P658" s="24">
        <f t="shared" si="416"/>
        <v>62938.739400869999</v>
      </c>
      <c r="Q658" s="24">
        <f t="shared" si="416"/>
        <v>58674.685844740001</v>
      </c>
      <c r="R658" s="24">
        <f>SUM(R652:R657)</f>
        <v>879545.36469585996</v>
      </c>
      <c r="S658" s="34"/>
    </row>
    <row r="659" spans="1:22" x14ac:dyDescent="0.2">
      <c r="A659" s="30" t="s">
        <v>130</v>
      </c>
      <c r="B659" t="s">
        <v>306</v>
      </c>
      <c r="D659">
        <v>101</v>
      </c>
      <c r="F659" s="40">
        <f t="shared" ref="F659:N659" si="417">F626*F645</f>
        <v>325924.31795896002</v>
      </c>
      <c r="G659" s="40">
        <f t="shared" si="417"/>
        <v>322157.04711119999</v>
      </c>
      <c r="H659" s="40">
        <f t="shared" si="417"/>
        <v>350883.46652099997</v>
      </c>
      <c r="I659" s="40">
        <f t="shared" si="417"/>
        <v>529214.00186467997</v>
      </c>
      <c r="J659" s="36">
        <f t="shared" si="417"/>
        <v>634466.12736444001</v>
      </c>
      <c r="K659" s="40">
        <f t="shared" si="417"/>
        <v>761958.61023207998</v>
      </c>
      <c r="L659" s="40">
        <f t="shared" si="417"/>
        <v>698301.88186908001</v>
      </c>
      <c r="M659" s="40">
        <f t="shared" si="417"/>
        <v>663624.53843528009</v>
      </c>
      <c r="N659" s="40">
        <f t="shared" si="417"/>
        <v>657715.59075588</v>
      </c>
      <c r="O659" s="40">
        <f t="shared" ref="O659:Q659" si="418">O626*O645</f>
        <v>561073.73208304006</v>
      </c>
      <c r="P659" s="40">
        <f t="shared" si="418"/>
        <v>401795.46702888003</v>
      </c>
      <c r="Q659" s="40">
        <f t="shared" si="418"/>
        <v>386878.23813180003</v>
      </c>
      <c r="R659" s="97">
        <f>SUM(F659:Q659)</f>
        <v>6293993.0193563206</v>
      </c>
      <c r="S659" s="34"/>
    </row>
    <row r="660" spans="1:22" x14ac:dyDescent="0.2">
      <c r="A660" t="s">
        <v>147</v>
      </c>
      <c r="B660" t="s">
        <v>61</v>
      </c>
      <c r="D660" s="21">
        <v>87</v>
      </c>
      <c r="F660" s="40">
        <f t="shared" ref="F660:N660" si="419">F627*F645</f>
        <v>7158.6690159600003</v>
      </c>
      <c r="G660" s="40">
        <f t="shared" si="419"/>
        <v>7075.9239011999998</v>
      </c>
      <c r="H660" s="40">
        <f t="shared" si="419"/>
        <v>7706.8769084999994</v>
      </c>
      <c r="I660" s="40">
        <f t="shared" si="419"/>
        <v>11623.76560818</v>
      </c>
      <c r="J660" s="40">
        <f t="shared" si="419"/>
        <v>13935.545024939998</v>
      </c>
      <c r="K660" s="40">
        <f t="shared" si="419"/>
        <v>16735.81624308</v>
      </c>
      <c r="L660" s="40">
        <f t="shared" si="419"/>
        <v>15337.646717580001</v>
      </c>
      <c r="M660" s="40">
        <f t="shared" si="419"/>
        <v>14575.986386280001</v>
      </c>
      <c r="N660" s="40">
        <f t="shared" si="419"/>
        <v>14446.201039379999</v>
      </c>
      <c r="O660" s="40">
        <f t="shared" ref="O660:Q660" si="420">O627*O645</f>
        <v>12323.53930104</v>
      </c>
      <c r="P660" s="40">
        <f t="shared" si="420"/>
        <v>8825.1185998800011</v>
      </c>
      <c r="Q660" s="40">
        <f t="shared" si="420"/>
        <v>8497.4735043000001</v>
      </c>
      <c r="R660" s="97">
        <f>SUM(F660:Q660)</f>
        <v>138242.56225032001</v>
      </c>
      <c r="S660" s="34"/>
    </row>
    <row r="661" spans="1:22" x14ac:dyDescent="0.2">
      <c r="A661" t="s">
        <v>551</v>
      </c>
      <c r="B661" t="s">
        <v>552</v>
      </c>
      <c r="D661" s="21">
        <v>149</v>
      </c>
      <c r="F661" s="40">
        <f>F628*F645</f>
        <v>2434.4295306800004</v>
      </c>
      <c r="G661" s="40">
        <f t="shared" ref="G661:Q661" si="421">G628*G645</f>
        <v>2406.2906195999999</v>
      </c>
      <c r="H661" s="40">
        <f t="shared" si="421"/>
        <v>2620.8571305</v>
      </c>
      <c r="I661" s="40">
        <f t="shared" si="421"/>
        <v>3952.8630519399999</v>
      </c>
      <c r="J661" s="40">
        <f t="shared" si="421"/>
        <v>4739.0237290200002</v>
      </c>
      <c r="K661" s="40">
        <f t="shared" si="421"/>
        <v>5691.3045136399996</v>
      </c>
      <c r="L661" s="40">
        <f t="shared" si="421"/>
        <v>5215.8327221400004</v>
      </c>
      <c r="M661" s="40">
        <f t="shared" si="421"/>
        <v>4956.8169192400001</v>
      </c>
      <c r="N661" s="40">
        <f t="shared" si="421"/>
        <v>4912.6811615400002</v>
      </c>
      <c r="O661" s="40">
        <f t="shared" si="421"/>
        <v>4190.8332303200004</v>
      </c>
      <c r="P661" s="40">
        <f t="shared" si="421"/>
        <v>3001.1346080400003</v>
      </c>
      <c r="Q661" s="40">
        <f t="shared" si="421"/>
        <v>2889.7132119000003</v>
      </c>
      <c r="R661" s="97">
        <f>SUM(F661:Q661)</f>
        <v>47011.780428560007</v>
      </c>
      <c r="S661" s="34"/>
    </row>
    <row r="662" spans="1:22" x14ac:dyDescent="0.2">
      <c r="B662" t="s">
        <v>18</v>
      </c>
      <c r="F662" s="23"/>
      <c r="G662" s="23"/>
      <c r="H662" s="23"/>
      <c r="I662" s="23"/>
      <c r="J662" s="23"/>
      <c r="K662" s="23"/>
      <c r="L662" s="23"/>
      <c r="M662" s="23"/>
      <c r="N662" s="23"/>
      <c r="O662" s="23"/>
      <c r="P662" s="23"/>
      <c r="Q662" s="23"/>
      <c r="R662" s="100"/>
      <c r="S662" s="34"/>
    </row>
    <row r="663" spans="1:22" x14ac:dyDescent="0.2">
      <c r="A663" t="s">
        <v>147</v>
      </c>
      <c r="C663" t="s">
        <v>19</v>
      </c>
      <c r="D663" s="21">
        <v>87</v>
      </c>
      <c r="F663" s="23">
        <f t="shared" ref="F663:N663" si="422">F630*F646</f>
        <v>0</v>
      </c>
      <c r="G663" s="23">
        <f t="shared" si="422"/>
        <v>0</v>
      </c>
      <c r="H663" s="23">
        <f t="shared" si="422"/>
        <v>0</v>
      </c>
      <c r="I663" s="23">
        <f t="shared" si="422"/>
        <v>0</v>
      </c>
      <c r="J663" s="23">
        <f t="shared" si="422"/>
        <v>0</v>
      </c>
      <c r="K663" s="23">
        <f t="shared" si="422"/>
        <v>0</v>
      </c>
      <c r="L663" s="23">
        <f t="shared" si="422"/>
        <v>0</v>
      </c>
      <c r="M663" s="23">
        <f t="shared" si="422"/>
        <v>0</v>
      </c>
      <c r="N663" s="23">
        <f t="shared" si="422"/>
        <v>0</v>
      </c>
      <c r="O663" s="23">
        <f t="shared" ref="O663:Q663" si="423">O630*O646</f>
        <v>0</v>
      </c>
      <c r="P663" s="23">
        <f t="shared" si="423"/>
        <v>0</v>
      </c>
      <c r="Q663" s="23">
        <f t="shared" si="423"/>
        <v>0</v>
      </c>
      <c r="R663" s="100">
        <f>SUM(F663:Q663)</f>
        <v>0</v>
      </c>
      <c r="S663" s="34"/>
    </row>
    <row r="664" spans="1:22" x14ac:dyDescent="0.2">
      <c r="A664" s="30" t="s">
        <v>130</v>
      </c>
      <c r="C664" t="s">
        <v>20</v>
      </c>
      <c r="D664">
        <v>101</v>
      </c>
      <c r="F664" s="23">
        <f t="shared" ref="F664:N664" si="424">F631*F646</f>
        <v>0</v>
      </c>
      <c r="G664" s="23">
        <f t="shared" si="424"/>
        <v>0</v>
      </c>
      <c r="H664" s="23">
        <f t="shared" si="424"/>
        <v>0</v>
      </c>
      <c r="I664" s="23">
        <f t="shared" si="424"/>
        <v>0</v>
      </c>
      <c r="J664" s="34">
        <f t="shared" si="424"/>
        <v>0</v>
      </c>
      <c r="K664" s="23">
        <f t="shared" si="424"/>
        <v>0</v>
      </c>
      <c r="L664" s="23">
        <f t="shared" si="424"/>
        <v>0</v>
      </c>
      <c r="M664" s="23">
        <f t="shared" si="424"/>
        <v>0</v>
      </c>
      <c r="N664" s="23">
        <f t="shared" si="424"/>
        <v>0</v>
      </c>
      <c r="O664" s="23">
        <f t="shared" ref="O664:Q664" si="425">O631*O646</f>
        <v>0</v>
      </c>
      <c r="P664" s="23">
        <f t="shared" si="425"/>
        <v>0</v>
      </c>
      <c r="Q664" s="23">
        <f t="shared" si="425"/>
        <v>0</v>
      </c>
      <c r="R664" s="100">
        <f>SUM(F664:Q664)</f>
        <v>0</v>
      </c>
      <c r="S664" s="34"/>
    </row>
    <row r="665" spans="1:22" x14ac:dyDescent="0.2">
      <c r="A665" s="30"/>
      <c r="B665" s="30"/>
      <c r="C665" s="30" t="s">
        <v>23</v>
      </c>
      <c r="D665" s="30"/>
      <c r="E665" s="30"/>
      <c r="F665" s="35">
        <f t="shared" ref="F665:N665" si="426">SUM(F663:F664)</f>
        <v>0</v>
      </c>
      <c r="G665" s="35">
        <f t="shared" si="426"/>
        <v>0</v>
      </c>
      <c r="H665" s="35">
        <f t="shared" si="426"/>
        <v>0</v>
      </c>
      <c r="I665" s="35">
        <f t="shared" si="426"/>
        <v>0</v>
      </c>
      <c r="J665" s="35">
        <f t="shared" si="426"/>
        <v>0</v>
      </c>
      <c r="K665" s="35">
        <f t="shared" si="426"/>
        <v>0</v>
      </c>
      <c r="L665" s="35">
        <f t="shared" si="426"/>
        <v>0</v>
      </c>
      <c r="M665" s="35">
        <f t="shared" si="426"/>
        <v>0</v>
      </c>
      <c r="N665" s="35">
        <f t="shared" si="426"/>
        <v>0</v>
      </c>
      <c r="O665" s="35">
        <f t="shared" ref="O665:Q665" si="427">SUM(O663:O664)</f>
        <v>0</v>
      </c>
      <c r="P665" s="35">
        <f t="shared" si="427"/>
        <v>0</v>
      </c>
      <c r="Q665" s="35">
        <f t="shared" si="427"/>
        <v>0</v>
      </c>
      <c r="R665" s="35">
        <f>SUM(R663:R664)</f>
        <v>0</v>
      </c>
      <c r="S665" s="34"/>
    </row>
    <row r="666" spans="1:22" x14ac:dyDescent="0.2">
      <c r="A666" s="30" t="s">
        <v>147</v>
      </c>
      <c r="B666" s="30" t="s">
        <v>21</v>
      </c>
      <c r="C666" s="30"/>
      <c r="D666" s="47">
        <v>87</v>
      </c>
      <c r="E666" s="30"/>
      <c r="F666" s="74">
        <f>'(R) Data'!C66</f>
        <v>0</v>
      </c>
      <c r="G666" s="74">
        <f>'(R) Data'!D66</f>
        <v>0</v>
      </c>
      <c r="H666" s="74">
        <f>'(R) Data'!E66</f>
        <v>42191.22</v>
      </c>
      <c r="I666" s="74">
        <f>'(R) Data'!F66</f>
        <v>0</v>
      </c>
      <c r="J666" s="74">
        <f>'(R) Data'!G66</f>
        <v>0</v>
      </c>
      <c r="K666" s="74">
        <f>'(R) Data'!H66</f>
        <v>0</v>
      </c>
      <c r="L666" s="74">
        <f>'(R) Data'!I66</f>
        <v>0</v>
      </c>
      <c r="M666" s="74">
        <f>'(R) Data'!J66</f>
        <v>0</v>
      </c>
      <c r="N666" s="74">
        <f>'(R) Data'!K66</f>
        <v>0</v>
      </c>
      <c r="O666" s="74">
        <f>'(R) Data'!L66</f>
        <v>0</v>
      </c>
      <c r="P666" s="74">
        <f>'(R) Data'!M66</f>
        <v>0</v>
      </c>
      <c r="Q666" s="74">
        <f>'(R) Data'!N66</f>
        <v>0</v>
      </c>
      <c r="R666" s="70">
        <f>SUM(F666:Q666)</f>
        <v>42191.22</v>
      </c>
      <c r="S666" s="34"/>
    </row>
    <row r="667" spans="1:22" x14ac:dyDescent="0.2">
      <c r="A667" s="30"/>
      <c r="B667" s="30" t="s">
        <v>25</v>
      </c>
      <c r="C667" s="30"/>
      <c r="D667" s="30"/>
      <c r="E667" s="30"/>
      <c r="F667" s="35">
        <f t="shared" ref="F667:N667" si="428">F659+F664</f>
        <v>325924.31795896002</v>
      </c>
      <c r="G667" s="35">
        <f t="shared" si="428"/>
        <v>322157.04711119999</v>
      </c>
      <c r="H667" s="35">
        <f t="shared" si="428"/>
        <v>350883.46652099997</v>
      </c>
      <c r="I667" s="35">
        <f t="shared" si="428"/>
        <v>529214.00186467997</v>
      </c>
      <c r="J667" s="35">
        <f t="shared" si="428"/>
        <v>634466.12736444001</v>
      </c>
      <c r="K667" s="35">
        <f t="shared" si="428"/>
        <v>761958.61023207998</v>
      </c>
      <c r="L667" s="35">
        <f t="shared" si="428"/>
        <v>698301.88186908001</v>
      </c>
      <c r="M667" s="35">
        <f t="shared" si="428"/>
        <v>663624.53843528009</v>
      </c>
      <c r="N667" s="35">
        <f t="shared" si="428"/>
        <v>657715.59075588</v>
      </c>
      <c r="O667" s="35">
        <f t="shared" ref="O667:Q667" si="429">O659+O664</f>
        <v>561073.73208304006</v>
      </c>
      <c r="P667" s="35">
        <f t="shared" si="429"/>
        <v>401795.46702888003</v>
      </c>
      <c r="Q667" s="35">
        <f t="shared" si="429"/>
        <v>386878.23813180003</v>
      </c>
      <c r="R667" s="35">
        <f>R659+R664</f>
        <v>6293993.0193563206</v>
      </c>
      <c r="S667" s="34"/>
      <c r="V667" s="23"/>
    </row>
    <row r="668" spans="1:22" s="30" customFormat="1" x14ac:dyDescent="0.2">
      <c r="B668" s="30" t="s">
        <v>24</v>
      </c>
      <c r="F668" s="35">
        <f>F650+F658+F659+F660+F661+F665+F666</f>
        <v>393408.40213373082</v>
      </c>
      <c r="G668" s="35">
        <f t="shared" ref="G668:R668" si="430">G650+G658+G659+G660+G661+G665+G666</f>
        <v>389196.13125797414</v>
      </c>
      <c r="H668" s="35">
        <f t="shared" si="430"/>
        <v>462575.01001967199</v>
      </c>
      <c r="I668" s="35">
        <f t="shared" si="430"/>
        <v>621251.56171628973</v>
      </c>
      <c r="J668" s="35">
        <f t="shared" si="430"/>
        <v>740084.7212153672</v>
      </c>
      <c r="K668" s="35">
        <f t="shared" si="430"/>
        <v>881888.17842896015</v>
      </c>
      <c r="L668" s="35">
        <f t="shared" si="430"/>
        <v>810745.95910099172</v>
      </c>
      <c r="M668" s="35">
        <f t="shared" si="430"/>
        <v>771885.92516783695</v>
      </c>
      <c r="N668" s="35">
        <f t="shared" si="430"/>
        <v>766421.75157834007</v>
      </c>
      <c r="O668" s="35">
        <f t="shared" si="430"/>
        <v>657985.80779310444</v>
      </c>
      <c r="P668" s="35">
        <f t="shared" si="430"/>
        <v>479403.80963767006</v>
      </c>
      <c r="Q668" s="35">
        <f t="shared" si="430"/>
        <v>459653.94069274003</v>
      </c>
      <c r="R668" s="35">
        <f t="shared" si="430"/>
        <v>7434501.1987426775</v>
      </c>
      <c r="S668" s="34"/>
      <c r="V668" s="34"/>
    </row>
    <row r="669" spans="1:22" x14ac:dyDescent="0.2">
      <c r="A669" s="30"/>
      <c r="B669" s="30"/>
      <c r="C669" s="30"/>
      <c r="D669" s="30"/>
      <c r="E669" s="30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</row>
    <row r="670" spans="1:22" x14ac:dyDescent="0.2">
      <c r="A670" s="30" t="s">
        <v>305</v>
      </c>
      <c r="B670" s="30" t="s">
        <v>304</v>
      </c>
      <c r="C670" s="30"/>
      <c r="D670" s="30"/>
      <c r="E670" s="30"/>
      <c r="F670" s="34">
        <f t="shared" ref="F670:N670" si="431">F633*F645+F646*F634</f>
        <v>311112.86304209998</v>
      </c>
      <c r="G670" s="34">
        <f t="shared" si="431"/>
        <v>307516.793787</v>
      </c>
      <c r="H670" s="34">
        <f t="shared" si="431"/>
        <v>334937.75655374996</v>
      </c>
      <c r="I670" s="34">
        <f t="shared" si="431"/>
        <v>505164.15686054993</v>
      </c>
      <c r="J670" s="34">
        <f t="shared" si="431"/>
        <v>605633.15626064991</v>
      </c>
      <c r="K670" s="34">
        <f t="shared" si="431"/>
        <v>727331.81197829999</v>
      </c>
      <c r="L670" s="34">
        <f t="shared" si="431"/>
        <v>666567.92931705003</v>
      </c>
      <c r="M670" s="34">
        <f t="shared" si="431"/>
        <v>633466.47906030004</v>
      </c>
      <c r="N670" s="34">
        <f t="shared" si="431"/>
        <v>627826.06032254989</v>
      </c>
      <c r="O670" s="34">
        <f t="shared" ref="O670:Q670" si="432">O633*O645+O646*O634</f>
        <v>535576.03881539998</v>
      </c>
      <c r="P670" s="34">
        <f t="shared" si="432"/>
        <v>383536.08864630002</v>
      </c>
      <c r="Q670" s="34">
        <f t="shared" si="432"/>
        <v>369296.76517425</v>
      </c>
      <c r="R670" s="34">
        <f>SUM(F670:Q670)</f>
        <v>6007965.8998181997</v>
      </c>
    </row>
    <row r="671" spans="1:22" x14ac:dyDescent="0.2">
      <c r="S671" s="34"/>
    </row>
    <row r="672" spans="1:22" x14ac:dyDescent="0.2">
      <c r="B672" s="15" t="s">
        <v>98</v>
      </c>
      <c r="C672" s="15"/>
    </row>
    <row r="673" spans="1:19" x14ac:dyDescent="0.2">
      <c r="B673" s="15" t="s">
        <v>7</v>
      </c>
      <c r="C673" s="15"/>
    </row>
    <row r="674" spans="1:19" x14ac:dyDescent="0.2">
      <c r="B674" t="s">
        <v>282</v>
      </c>
      <c r="D674">
        <v>87</v>
      </c>
      <c r="E674" t="s">
        <v>5</v>
      </c>
      <c r="F674" s="17">
        <f t="shared" ref="F674:Q674" si="433">F618</f>
        <v>557.39</v>
      </c>
      <c r="G674" s="17">
        <f t="shared" si="433"/>
        <v>557.39</v>
      </c>
      <c r="H674" s="17">
        <f t="shared" si="433"/>
        <v>557.39</v>
      </c>
      <c r="I674" s="17">
        <f t="shared" si="433"/>
        <v>557.39</v>
      </c>
      <c r="J674" s="17">
        <f t="shared" si="433"/>
        <v>557.39</v>
      </c>
      <c r="K674" s="17">
        <f t="shared" si="433"/>
        <v>557.39</v>
      </c>
      <c r="L674" s="17">
        <f t="shared" si="433"/>
        <v>557.39</v>
      </c>
      <c r="M674" s="17">
        <f t="shared" si="433"/>
        <v>557.39</v>
      </c>
      <c r="N674" s="17">
        <f t="shared" si="433"/>
        <v>557.39</v>
      </c>
      <c r="O674" s="17">
        <f t="shared" si="433"/>
        <v>557.39</v>
      </c>
      <c r="P674" s="17">
        <f t="shared" si="433"/>
        <v>557.39</v>
      </c>
      <c r="Q674" s="17">
        <f t="shared" si="433"/>
        <v>557.39</v>
      </c>
      <c r="R674" s="26"/>
    </row>
    <row r="675" spans="1:19" x14ac:dyDescent="0.2">
      <c r="C675" t="s">
        <v>3</v>
      </c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20"/>
      <c r="S675"/>
    </row>
    <row r="676" spans="1:19" x14ac:dyDescent="0.2">
      <c r="C676" t="s">
        <v>56</v>
      </c>
      <c r="D676">
        <v>87</v>
      </c>
      <c r="E676" t="s">
        <v>6</v>
      </c>
      <c r="F676" s="18">
        <f t="shared" ref="F676:Q676" si="434">F620</f>
        <v>0.1391</v>
      </c>
      <c r="G676" s="18">
        <f t="shared" si="434"/>
        <v>0.1391</v>
      </c>
      <c r="H676" s="18">
        <f t="shared" si="434"/>
        <v>0.1391</v>
      </c>
      <c r="I676" s="18">
        <f t="shared" si="434"/>
        <v>0.1391</v>
      </c>
      <c r="J676" s="18">
        <f t="shared" si="434"/>
        <v>0.1391</v>
      </c>
      <c r="K676" s="18">
        <f t="shared" si="434"/>
        <v>0.1391</v>
      </c>
      <c r="L676" s="18">
        <f t="shared" si="434"/>
        <v>0.1391</v>
      </c>
      <c r="M676" s="18">
        <f t="shared" si="434"/>
        <v>0.1391</v>
      </c>
      <c r="N676" s="18">
        <f t="shared" si="434"/>
        <v>0.1391</v>
      </c>
      <c r="O676" s="18">
        <f t="shared" si="434"/>
        <v>0.1391</v>
      </c>
      <c r="P676" s="18">
        <f t="shared" si="434"/>
        <v>0.1391</v>
      </c>
      <c r="Q676" s="18">
        <f t="shared" si="434"/>
        <v>0.1391</v>
      </c>
      <c r="R676" s="20"/>
      <c r="S676"/>
    </row>
    <row r="677" spans="1:19" x14ac:dyDescent="0.2">
      <c r="C677" t="s">
        <v>57</v>
      </c>
      <c r="D677">
        <v>87</v>
      </c>
      <c r="E677" t="s">
        <v>6</v>
      </c>
      <c r="F677" s="18">
        <f t="shared" ref="F677:Q677" si="435">F621</f>
        <v>8.4059999999999996E-2</v>
      </c>
      <c r="G677" s="18">
        <f t="shared" si="435"/>
        <v>8.4059999999999996E-2</v>
      </c>
      <c r="H677" s="18">
        <f t="shared" si="435"/>
        <v>8.4059999999999996E-2</v>
      </c>
      <c r="I677" s="18">
        <f t="shared" si="435"/>
        <v>8.4059999999999996E-2</v>
      </c>
      <c r="J677" s="18">
        <f t="shared" si="435"/>
        <v>8.4059999999999996E-2</v>
      </c>
      <c r="K677" s="18">
        <f t="shared" si="435"/>
        <v>8.4059999999999996E-2</v>
      </c>
      <c r="L677" s="18">
        <f t="shared" si="435"/>
        <v>8.4059999999999996E-2</v>
      </c>
      <c r="M677" s="18">
        <f t="shared" si="435"/>
        <v>8.4059999999999996E-2</v>
      </c>
      <c r="N677" s="18">
        <f t="shared" si="435"/>
        <v>8.4059999999999996E-2</v>
      </c>
      <c r="O677" s="18">
        <f t="shared" si="435"/>
        <v>8.4059999999999996E-2</v>
      </c>
      <c r="P677" s="18">
        <f t="shared" si="435"/>
        <v>8.4059999999999996E-2</v>
      </c>
      <c r="Q677" s="18">
        <f t="shared" si="435"/>
        <v>8.4059999999999996E-2</v>
      </c>
      <c r="R677" s="20"/>
      <c r="S677"/>
    </row>
    <row r="678" spans="1:19" x14ac:dyDescent="0.2">
      <c r="C678" t="s">
        <v>62</v>
      </c>
      <c r="D678">
        <v>87</v>
      </c>
      <c r="E678" t="s">
        <v>6</v>
      </c>
      <c r="F678" s="18">
        <f t="shared" ref="F678:Q678" si="436">F622</f>
        <v>5.3490000000000003E-2</v>
      </c>
      <c r="G678" s="18">
        <f t="shared" si="436"/>
        <v>5.3490000000000003E-2</v>
      </c>
      <c r="H678" s="18">
        <f t="shared" si="436"/>
        <v>5.3490000000000003E-2</v>
      </c>
      <c r="I678" s="18">
        <f t="shared" si="436"/>
        <v>5.3490000000000003E-2</v>
      </c>
      <c r="J678" s="18">
        <f t="shared" si="436"/>
        <v>5.3490000000000003E-2</v>
      </c>
      <c r="K678" s="18">
        <f t="shared" si="436"/>
        <v>5.3490000000000003E-2</v>
      </c>
      <c r="L678" s="18">
        <f t="shared" si="436"/>
        <v>5.3490000000000003E-2</v>
      </c>
      <c r="M678" s="18">
        <f t="shared" si="436"/>
        <v>5.3490000000000003E-2</v>
      </c>
      <c r="N678" s="18">
        <f t="shared" si="436"/>
        <v>5.3490000000000003E-2</v>
      </c>
      <c r="O678" s="18">
        <f t="shared" si="436"/>
        <v>5.3490000000000003E-2</v>
      </c>
      <c r="P678" s="18">
        <f t="shared" si="436"/>
        <v>5.3490000000000003E-2</v>
      </c>
      <c r="Q678" s="18">
        <f t="shared" si="436"/>
        <v>5.3490000000000003E-2</v>
      </c>
      <c r="R678" s="20"/>
      <c r="S678"/>
    </row>
    <row r="679" spans="1:19" x14ac:dyDescent="0.2">
      <c r="C679" t="s">
        <v>63</v>
      </c>
      <c r="D679">
        <v>87</v>
      </c>
      <c r="E679" t="s">
        <v>6</v>
      </c>
      <c r="F679" s="18">
        <f t="shared" ref="F679:Q679" si="437">F623</f>
        <v>3.4299999999999997E-2</v>
      </c>
      <c r="G679" s="18">
        <f t="shared" si="437"/>
        <v>3.4299999999999997E-2</v>
      </c>
      <c r="H679" s="18">
        <f t="shared" si="437"/>
        <v>3.4299999999999997E-2</v>
      </c>
      <c r="I679" s="18">
        <f t="shared" si="437"/>
        <v>3.4299999999999997E-2</v>
      </c>
      <c r="J679" s="18">
        <f t="shared" si="437"/>
        <v>3.4299999999999997E-2</v>
      </c>
      <c r="K679" s="18">
        <f t="shared" si="437"/>
        <v>3.4299999999999997E-2</v>
      </c>
      <c r="L679" s="18">
        <f t="shared" si="437"/>
        <v>3.4299999999999997E-2</v>
      </c>
      <c r="M679" s="18">
        <f t="shared" si="437"/>
        <v>3.4299999999999997E-2</v>
      </c>
      <c r="N679" s="18">
        <f t="shared" si="437"/>
        <v>3.4299999999999997E-2</v>
      </c>
      <c r="O679" s="18">
        <f t="shared" si="437"/>
        <v>3.4299999999999997E-2</v>
      </c>
      <c r="P679" s="18">
        <f t="shared" si="437"/>
        <v>3.4299999999999997E-2</v>
      </c>
      <c r="Q679" s="18">
        <f t="shared" si="437"/>
        <v>3.4299999999999997E-2</v>
      </c>
      <c r="R679" s="20"/>
      <c r="S679"/>
    </row>
    <row r="680" spans="1:19" x14ac:dyDescent="0.2">
      <c r="C680" t="s">
        <v>64</v>
      </c>
      <c r="D680">
        <v>87</v>
      </c>
      <c r="E680" t="s">
        <v>6</v>
      </c>
      <c r="F680" s="18">
        <f t="shared" ref="F680:Q680" si="438">F624</f>
        <v>2.4680000000000001E-2</v>
      </c>
      <c r="G680" s="18">
        <f t="shared" si="438"/>
        <v>2.4680000000000001E-2</v>
      </c>
      <c r="H680" s="18">
        <f t="shared" si="438"/>
        <v>2.4680000000000001E-2</v>
      </c>
      <c r="I680" s="18">
        <f t="shared" si="438"/>
        <v>2.4680000000000001E-2</v>
      </c>
      <c r="J680" s="18">
        <f t="shared" si="438"/>
        <v>2.4680000000000001E-2</v>
      </c>
      <c r="K680" s="18">
        <f t="shared" si="438"/>
        <v>2.4680000000000001E-2</v>
      </c>
      <c r="L680" s="18">
        <f t="shared" si="438"/>
        <v>2.4680000000000001E-2</v>
      </c>
      <c r="M680" s="18">
        <f t="shared" si="438"/>
        <v>2.4680000000000001E-2</v>
      </c>
      <c r="N680" s="18">
        <f t="shared" si="438"/>
        <v>2.4680000000000001E-2</v>
      </c>
      <c r="O680" s="18">
        <f t="shared" si="438"/>
        <v>2.4680000000000001E-2</v>
      </c>
      <c r="P680" s="18">
        <f t="shared" si="438"/>
        <v>2.4680000000000001E-2</v>
      </c>
      <c r="Q680" s="18">
        <f t="shared" si="438"/>
        <v>2.4680000000000001E-2</v>
      </c>
      <c r="R680" s="20"/>
      <c r="S680"/>
    </row>
    <row r="681" spans="1:19" x14ac:dyDescent="0.2">
      <c r="C681" t="s">
        <v>65</v>
      </c>
      <c r="D681">
        <v>87</v>
      </c>
      <c r="E681" t="s">
        <v>6</v>
      </c>
      <c r="F681" s="18">
        <f t="shared" ref="F681:Q681" si="439">F625</f>
        <v>1.9029999999999998E-2</v>
      </c>
      <c r="G681" s="18">
        <f t="shared" si="439"/>
        <v>1.9029999999999998E-2</v>
      </c>
      <c r="H681" s="18">
        <f t="shared" si="439"/>
        <v>1.9029999999999998E-2</v>
      </c>
      <c r="I681" s="18">
        <f t="shared" si="439"/>
        <v>1.9029999999999998E-2</v>
      </c>
      <c r="J681" s="18">
        <f t="shared" si="439"/>
        <v>1.9029999999999998E-2</v>
      </c>
      <c r="K681" s="18">
        <f t="shared" si="439"/>
        <v>1.9029999999999998E-2</v>
      </c>
      <c r="L681" s="18">
        <f t="shared" si="439"/>
        <v>1.9029999999999998E-2</v>
      </c>
      <c r="M681" s="18">
        <f t="shared" si="439"/>
        <v>1.9029999999999998E-2</v>
      </c>
      <c r="N681" s="18">
        <f t="shared" si="439"/>
        <v>1.9029999999999998E-2</v>
      </c>
      <c r="O681" s="18">
        <f t="shared" si="439"/>
        <v>1.9029999999999998E-2</v>
      </c>
      <c r="P681" s="18">
        <f t="shared" si="439"/>
        <v>1.9029999999999998E-2</v>
      </c>
      <c r="Q681" s="18">
        <f t="shared" si="439"/>
        <v>1.9029999999999998E-2</v>
      </c>
      <c r="R681" s="20"/>
      <c r="S681"/>
    </row>
    <row r="682" spans="1:19" x14ac:dyDescent="0.2">
      <c r="A682" s="30"/>
      <c r="B682" t="s">
        <v>303</v>
      </c>
      <c r="D682">
        <v>101</v>
      </c>
      <c r="E682" t="s">
        <v>6</v>
      </c>
      <c r="F682" s="18">
        <f t="shared" ref="F682:Q682" si="440">F626</f>
        <v>0.27044000000000001</v>
      </c>
      <c r="G682" s="18">
        <f t="shared" si="440"/>
        <v>0.27044000000000001</v>
      </c>
      <c r="H682" s="18">
        <f t="shared" si="440"/>
        <v>0.27044000000000001</v>
      </c>
      <c r="I682" s="18">
        <f t="shared" si="440"/>
        <v>0.27044000000000001</v>
      </c>
      <c r="J682" s="18">
        <f t="shared" si="440"/>
        <v>0.27044000000000001</v>
      </c>
      <c r="K682" s="18">
        <f t="shared" si="440"/>
        <v>0.27044000000000001</v>
      </c>
      <c r="L682" s="18">
        <f t="shared" si="440"/>
        <v>0.27044000000000001</v>
      </c>
      <c r="M682" s="18">
        <f t="shared" si="440"/>
        <v>0.27044000000000001</v>
      </c>
      <c r="N682" s="18">
        <f t="shared" si="440"/>
        <v>0.27044000000000001</v>
      </c>
      <c r="O682" s="18">
        <f t="shared" si="440"/>
        <v>0.27044000000000001</v>
      </c>
      <c r="P682" s="18">
        <f t="shared" si="440"/>
        <v>0.27044000000000001</v>
      </c>
      <c r="Q682" s="18">
        <f t="shared" si="440"/>
        <v>0.27044000000000001</v>
      </c>
      <c r="R682" s="20"/>
      <c r="S682"/>
    </row>
    <row r="683" spans="1:19" x14ac:dyDescent="0.2">
      <c r="B683" t="s">
        <v>61</v>
      </c>
      <c r="D683" s="21">
        <v>87</v>
      </c>
      <c r="E683" t="s">
        <v>6</v>
      </c>
      <c r="F683" s="18">
        <f t="shared" ref="F683:Q684" si="441">F627</f>
        <v>5.94E-3</v>
      </c>
      <c r="G683" s="18">
        <f t="shared" si="441"/>
        <v>5.94E-3</v>
      </c>
      <c r="H683" s="18">
        <f t="shared" si="441"/>
        <v>5.94E-3</v>
      </c>
      <c r="I683" s="18">
        <f t="shared" si="441"/>
        <v>5.94E-3</v>
      </c>
      <c r="J683" s="18">
        <f t="shared" si="441"/>
        <v>5.94E-3</v>
      </c>
      <c r="K683" s="18">
        <f t="shared" si="441"/>
        <v>5.94E-3</v>
      </c>
      <c r="L683" s="18">
        <f t="shared" si="441"/>
        <v>5.94E-3</v>
      </c>
      <c r="M683" s="18">
        <f t="shared" si="441"/>
        <v>5.94E-3</v>
      </c>
      <c r="N683" s="18">
        <f t="shared" si="441"/>
        <v>5.94E-3</v>
      </c>
      <c r="O683" s="18">
        <f t="shared" si="441"/>
        <v>5.94E-3</v>
      </c>
      <c r="P683" s="18">
        <f t="shared" si="441"/>
        <v>5.94E-3</v>
      </c>
      <c r="Q683" s="18">
        <f t="shared" si="441"/>
        <v>5.94E-3</v>
      </c>
      <c r="R683" s="20"/>
      <c r="S683"/>
    </row>
    <row r="684" spans="1:19" x14ac:dyDescent="0.2">
      <c r="B684" t="s">
        <v>550</v>
      </c>
      <c r="D684" s="21">
        <v>149</v>
      </c>
      <c r="E684" t="s">
        <v>6</v>
      </c>
      <c r="F684" s="18">
        <f t="shared" si="441"/>
        <v>2.0200000000000001E-3</v>
      </c>
      <c r="G684" s="18">
        <f t="shared" si="441"/>
        <v>2.0200000000000001E-3</v>
      </c>
      <c r="H684" s="18">
        <f t="shared" si="441"/>
        <v>2.0200000000000001E-3</v>
      </c>
      <c r="I684" s="18">
        <f t="shared" si="441"/>
        <v>2.0200000000000001E-3</v>
      </c>
      <c r="J684" s="18">
        <f t="shared" si="441"/>
        <v>2.0200000000000001E-3</v>
      </c>
      <c r="K684" s="18">
        <f t="shared" si="441"/>
        <v>2.0200000000000001E-3</v>
      </c>
      <c r="L684" s="18">
        <f t="shared" si="441"/>
        <v>2.0200000000000001E-3</v>
      </c>
      <c r="M684" s="18">
        <f t="shared" si="441"/>
        <v>2.0200000000000001E-3</v>
      </c>
      <c r="N684" s="18">
        <f t="shared" si="441"/>
        <v>2.0200000000000001E-3</v>
      </c>
      <c r="O684" s="18">
        <f t="shared" si="441"/>
        <v>2.0200000000000001E-3</v>
      </c>
      <c r="P684" s="18">
        <f t="shared" si="441"/>
        <v>2.0200000000000001E-3</v>
      </c>
      <c r="Q684" s="18">
        <f t="shared" si="441"/>
        <v>2.0200000000000001E-3</v>
      </c>
      <c r="R684" s="20"/>
      <c r="S684"/>
    </row>
    <row r="685" spans="1:19" s="30" customFormat="1" x14ac:dyDescent="0.2">
      <c r="A685"/>
      <c r="B685" t="s">
        <v>18</v>
      </c>
      <c r="C685"/>
      <c r="D685"/>
      <c r="E685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</row>
    <row r="686" spans="1:19" s="30" customFormat="1" x14ac:dyDescent="0.2">
      <c r="A686"/>
      <c r="B686"/>
      <c r="C686" t="s">
        <v>19</v>
      </c>
      <c r="D686">
        <v>87</v>
      </c>
      <c r="E686" t="s">
        <v>6</v>
      </c>
      <c r="F686" s="112">
        <f t="shared" ref="F686:Q686" si="442">F630</f>
        <v>1.38</v>
      </c>
      <c r="G686" s="112">
        <f t="shared" si="442"/>
        <v>1.38</v>
      </c>
      <c r="H686" s="112">
        <f t="shared" si="442"/>
        <v>1.38</v>
      </c>
      <c r="I686" s="112">
        <f t="shared" si="442"/>
        <v>1.38</v>
      </c>
      <c r="J686" s="112">
        <f t="shared" si="442"/>
        <v>1.38</v>
      </c>
      <c r="K686" s="112">
        <f t="shared" si="442"/>
        <v>1.38</v>
      </c>
      <c r="L686" s="112">
        <f t="shared" si="442"/>
        <v>1.38</v>
      </c>
      <c r="M686" s="112">
        <f t="shared" si="442"/>
        <v>1.38</v>
      </c>
      <c r="N686" s="112">
        <f t="shared" si="442"/>
        <v>1.38</v>
      </c>
      <c r="O686" s="112">
        <f t="shared" si="442"/>
        <v>1.38</v>
      </c>
      <c r="P686" s="112">
        <f t="shared" si="442"/>
        <v>1.38</v>
      </c>
      <c r="Q686" s="112">
        <f t="shared" si="442"/>
        <v>1.38</v>
      </c>
      <c r="R686" s="20"/>
    </row>
    <row r="687" spans="1:19" s="30" customFormat="1" x14ac:dyDescent="0.2">
      <c r="B687"/>
      <c r="C687" t="s">
        <v>20</v>
      </c>
      <c r="D687">
        <v>101</v>
      </c>
      <c r="E687" t="s">
        <v>6</v>
      </c>
      <c r="F687" s="17">
        <f t="shared" ref="F687:Q687" si="443">F631</f>
        <v>1.05</v>
      </c>
      <c r="G687" s="17">
        <f t="shared" si="443"/>
        <v>1.05</v>
      </c>
      <c r="H687" s="17">
        <f t="shared" si="443"/>
        <v>1.05</v>
      </c>
      <c r="I687" s="17">
        <f t="shared" si="443"/>
        <v>1.05</v>
      </c>
      <c r="J687" s="17">
        <f t="shared" si="443"/>
        <v>1.05</v>
      </c>
      <c r="K687" s="17">
        <f t="shared" si="443"/>
        <v>1.05</v>
      </c>
      <c r="L687" s="17">
        <f t="shared" si="443"/>
        <v>1.05</v>
      </c>
      <c r="M687" s="17">
        <f t="shared" si="443"/>
        <v>1.05</v>
      </c>
      <c r="N687" s="17">
        <f t="shared" si="443"/>
        <v>1.05</v>
      </c>
      <c r="O687" s="17">
        <f t="shared" si="443"/>
        <v>1.05</v>
      </c>
      <c r="P687" s="17">
        <f t="shared" si="443"/>
        <v>1.05</v>
      </c>
      <c r="Q687" s="17">
        <f t="shared" si="443"/>
        <v>1.05</v>
      </c>
      <c r="R687" s="20"/>
    </row>
    <row r="688" spans="1:19" s="30" customFormat="1" x14ac:dyDescent="0.2">
      <c r="B688" s="30" t="s">
        <v>21</v>
      </c>
      <c r="D688" s="30">
        <v>87</v>
      </c>
      <c r="E688" s="30" t="s">
        <v>22</v>
      </c>
      <c r="F688" s="49"/>
      <c r="G688" s="49"/>
      <c r="H688" s="49"/>
      <c r="I688" s="49"/>
      <c r="J688" s="49"/>
      <c r="K688" s="49"/>
      <c r="L688" s="49"/>
      <c r="M688" s="49"/>
      <c r="N688" s="49"/>
      <c r="O688" s="49"/>
      <c r="P688" s="49"/>
      <c r="Q688" s="49"/>
      <c r="R688" s="65"/>
    </row>
    <row r="689" spans="1:19" s="30" customFormat="1" x14ac:dyDescent="0.2">
      <c r="B689" s="30" t="s">
        <v>304</v>
      </c>
      <c r="F689" s="18">
        <f t="shared" ref="F689:Q689" si="444">F633</f>
        <v>0.25814999999999999</v>
      </c>
      <c r="G689" s="18">
        <f t="shared" si="444"/>
        <v>0.25814999999999999</v>
      </c>
      <c r="H689" s="18">
        <f t="shared" si="444"/>
        <v>0.25814999999999999</v>
      </c>
      <c r="I689" s="18">
        <f t="shared" si="444"/>
        <v>0.25814999999999999</v>
      </c>
      <c r="J689" s="18">
        <f t="shared" si="444"/>
        <v>0.25814999999999999</v>
      </c>
      <c r="K689" s="18">
        <f t="shared" si="444"/>
        <v>0.25814999999999999</v>
      </c>
      <c r="L689" s="18">
        <f t="shared" si="444"/>
        <v>0.25814999999999999</v>
      </c>
      <c r="M689" s="18">
        <f t="shared" si="444"/>
        <v>0.25814999999999999</v>
      </c>
      <c r="N689" s="18">
        <f t="shared" si="444"/>
        <v>0.25814999999999999</v>
      </c>
      <c r="O689" s="18">
        <f t="shared" si="444"/>
        <v>0.25814999999999999</v>
      </c>
      <c r="P689" s="18">
        <f t="shared" si="444"/>
        <v>0.25814999999999999</v>
      </c>
      <c r="Q689" s="18">
        <f t="shared" si="444"/>
        <v>0.25814999999999999</v>
      </c>
      <c r="R689" s="65"/>
    </row>
    <row r="690" spans="1:19" s="30" customFormat="1" x14ac:dyDescent="0.2">
      <c r="B690" s="30" t="s">
        <v>310</v>
      </c>
      <c r="F690" s="112">
        <f t="shared" ref="F690:Q690" si="445">F634</f>
        <v>1</v>
      </c>
      <c r="G690" s="112">
        <f t="shared" si="445"/>
        <v>1</v>
      </c>
      <c r="H690" s="112">
        <f t="shared" si="445"/>
        <v>1</v>
      </c>
      <c r="I690" s="112">
        <f t="shared" si="445"/>
        <v>1</v>
      </c>
      <c r="J690" s="112">
        <f t="shared" si="445"/>
        <v>1</v>
      </c>
      <c r="K690" s="112">
        <f t="shared" si="445"/>
        <v>1</v>
      </c>
      <c r="L690" s="112">
        <f t="shared" si="445"/>
        <v>1</v>
      </c>
      <c r="M690" s="112">
        <f t="shared" si="445"/>
        <v>1</v>
      </c>
      <c r="N690" s="112">
        <f t="shared" si="445"/>
        <v>1</v>
      </c>
      <c r="O690" s="112">
        <f t="shared" si="445"/>
        <v>1</v>
      </c>
      <c r="P690" s="112">
        <f t="shared" si="445"/>
        <v>1</v>
      </c>
      <c r="Q690" s="112">
        <f t="shared" si="445"/>
        <v>1</v>
      </c>
      <c r="R690" s="65"/>
    </row>
    <row r="691" spans="1:19" s="30" customFormat="1" x14ac:dyDescent="0.2"/>
    <row r="692" spans="1:19" s="30" customFormat="1" x14ac:dyDescent="0.2">
      <c r="B692" s="29" t="s">
        <v>8</v>
      </c>
    </row>
    <row r="693" spans="1:19" s="30" customFormat="1" x14ac:dyDescent="0.2">
      <c r="B693" s="30" t="s">
        <v>22</v>
      </c>
      <c r="E693" s="30" t="s">
        <v>22</v>
      </c>
      <c r="F693" s="76">
        <f>'(R) Data'!C31</f>
        <v>0</v>
      </c>
      <c r="G693" s="76">
        <f>'(R) Data'!D31</f>
        <v>0</v>
      </c>
      <c r="H693" s="76">
        <f>'(R) Data'!E31</f>
        <v>0</v>
      </c>
      <c r="I693" s="76">
        <f>'(R) Data'!F31</f>
        <v>0</v>
      </c>
      <c r="J693" s="76">
        <f>'(R) Data'!G31</f>
        <v>0</v>
      </c>
      <c r="K693" s="76">
        <f>'(R) Data'!H31</f>
        <v>0</v>
      </c>
      <c r="L693" s="76">
        <f>'(R) Data'!I31</f>
        <v>0</v>
      </c>
      <c r="M693" s="76">
        <f>'(R) Data'!J31</f>
        <v>0</v>
      </c>
      <c r="N693" s="76">
        <f>'(R) Data'!K31</f>
        <v>0</v>
      </c>
      <c r="O693" s="76">
        <f>'(R) Data'!L31</f>
        <v>0</v>
      </c>
      <c r="P693" s="76">
        <f>'(R) Data'!M31</f>
        <v>0</v>
      </c>
      <c r="Q693" s="76">
        <f>'(R) Data'!N31</f>
        <v>0</v>
      </c>
      <c r="R693" s="107">
        <f>SUM(F693:Q693)</f>
        <v>0</v>
      </c>
    </row>
    <row r="694" spans="1:19" s="30" customFormat="1" x14ac:dyDescent="0.2">
      <c r="B694" s="30" t="s">
        <v>30</v>
      </c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107"/>
    </row>
    <row r="695" spans="1:19" s="30" customFormat="1" x14ac:dyDescent="0.2">
      <c r="C695" s="30" t="s">
        <v>56</v>
      </c>
      <c r="E695" s="30" t="s">
        <v>10</v>
      </c>
      <c r="F695" s="161">
        <f>'(R) Therms By Block'!B93</f>
        <v>0</v>
      </c>
      <c r="G695" s="170">
        <f>'(R) Therms By Block'!C93</f>
        <v>0</v>
      </c>
      <c r="H695" s="170">
        <f>'(R) Therms By Block'!D93</f>
        <v>0</v>
      </c>
      <c r="I695" s="170">
        <f>'(R) Therms By Block'!E93</f>
        <v>0</v>
      </c>
      <c r="J695" s="170">
        <f>'(R) Therms By Block'!F93</f>
        <v>0</v>
      </c>
      <c r="K695" s="170">
        <f>'(R) Therms By Block'!G93</f>
        <v>0</v>
      </c>
      <c r="L695" s="170">
        <f>'(R) Therms By Block'!H93</f>
        <v>0</v>
      </c>
      <c r="M695" s="170">
        <f>'(R) Therms By Block'!I93</f>
        <v>0</v>
      </c>
      <c r="N695" s="170">
        <f>'(R) Therms By Block'!J93</f>
        <v>0</v>
      </c>
      <c r="O695" s="170">
        <f>'(R) Therms By Block'!K93</f>
        <v>0</v>
      </c>
      <c r="P695" s="170">
        <f>'(R) Therms By Block'!L93</f>
        <v>0</v>
      </c>
      <c r="Q695" s="170">
        <f>'(R) Therms By Block'!M93</f>
        <v>0</v>
      </c>
      <c r="R695" s="107">
        <f t="shared" ref="R695:R700" si="446">SUM(F695:Q695)</f>
        <v>0</v>
      </c>
    </row>
    <row r="696" spans="1:19" s="30" customFormat="1" x14ac:dyDescent="0.2">
      <c r="C696" s="30" t="s">
        <v>57</v>
      </c>
      <c r="E696" s="30" t="s">
        <v>10</v>
      </c>
      <c r="F696" s="170">
        <f>'(R) Therms By Block'!B94</f>
        <v>0</v>
      </c>
      <c r="G696" s="170">
        <f>'(R) Therms By Block'!C94</f>
        <v>0</v>
      </c>
      <c r="H696" s="170">
        <f>'(R) Therms By Block'!D94</f>
        <v>0</v>
      </c>
      <c r="I696" s="170">
        <f>'(R) Therms By Block'!E94</f>
        <v>0</v>
      </c>
      <c r="J696" s="170">
        <f>'(R) Therms By Block'!F94</f>
        <v>0</v>
      </c>
      <c r="K696" s="170">
        <f>'(R) Therms By Block'!G94</f>
        <v>0</v>
      </c>
      <c r="L696" s="170">
        <f>'(R) Therms By Block'!H94</f>
        <v>0</v>
      </c>
      <c r="M696" s="170">
        <f>'(R) Therms By Block'!I94</f>
        <v>0</v>
      </c>
      <c r="N696" s="170">
        <f>'(R) Therms By Block'!J94</f>
        <v>0</v>
      </c>
      <c r="O696" s="170">
        <f>'(R) Therms By Block'!K94</f>
        <v>0</v>
      </c>
      <c r="P696" s="170">
        <f>'(R) Therms By Block'!L94</f>
        <v>0</v>
      </c>
      <c r="Q696" s="170">
        <f>'(R) Therms By Block'!M94</f>
        <v>0</v>
      </c>
      <c r="R696" s="107">
        <f t="shared" si="446"/>
        <v>0</v>
      </c>
    </row>
    <row r="697" spans="1:19" s="30" customFormat="1" x14ac:dyDescent="0.2">
      <c r="C697" s="30" t="s">
        <v>62</v>
      </c>
      <c r="E697" s="30" t="s">
        <v>10</v>
      </c>
      <c r="F697" s="170">
        <f>'(R) Therms By Block'!B95</f>
        <v>0</v>
      </c>
      <c r="G697" s="170">
        <f>'(R) Therms By Block'!C95</f>
        <v>0</v>
      </c>
      <c r="H697" s="170">
        <f>'(R) Therms By Block'!D95</f>
        <v>0</v>
      </c>
      <c r="I697" s="170">
        <f>'(R) Therms By Block'!E95</f>
        <v>0</v>
      </c>
      <c r="J697" s="170">
        <f>'(R) Therms By Block'!F95</f>
        <v>0</v>
      </c>
      <c r="K697" s="170">
        <f>'(R) Therms By Block'!G95</f>
        <v>0</v>
      </c>
      <c r="L697" s="170">
        <f>'(R) Therms By Block'!H95</f>
        <v>0</v>
      </c>
      <c r="M697" s="170">
        <f>'(R) Therms By Block'!I95</f>
        <v>0</v>
      </c>
      <c r="N697" s="170">
        <f>'(R) Therms By Block'!J95</f>
        <v>0</v>
      </c>
      <c r="O697" s="170">
        <f>'(R) Therms By Block'!K95</f>
        <v>0</v>
      </c>
      <c r="P697" s="170">
        <f>'(R) Therms By Block'!L95</f>
        <v>0</v>
      </c>
      <c r="Q697" s="170">
        <f>'(R) Therms By Block'!M95</f>
        <v>0</v>
      </c>
      <c r="R697" s="107">
        <f t="shared" si="446"/>
        <v>0</v>
      </c>
    </row>
    <row r="698" spans="1:19" s="30" customFormat="1" x14ac:dyDescent="0.2">
      <c r="C698" s="30" t="s">
        <v>63</v>
      </c>
      <c r="E698" s="30" t="s">
        <v>10</v>
      </c>
      <c r="F698" s="170">
        <f>'(R) Therms By Block'!B96</f>
        <v>0</v>
      </c>
      <c r="G698" s="170">
        <f>'(R) Therms By Block'!C96</f>
        <v>0</v>
      </c>
      <c r="H698" s="170">
        <f>'(R) Therms By Block'!D96</f>
        <v>0</v>
      </c>
      <c r="I698" s="170">
        <f>'(R) Therms By Block'!E96</f>
        <v>0</v>
      </c>
      <c r="J698" s="170">
        <f>'(R) Therms By Block'!F96</f>
        <v>0</v>
      </c>
      <c r="K698" s="170">
        <f>'(R) Therms By Block'!G96</f>
        <v>0</v>
      </c>
      <c r="L698" s="170">
        <f>'(R) Therms By Block'!H96</f>
        <v>0</v>
      </c>
      <c r="M698" s="170">
        <f>'(R) Therms By Block'!I96</f>
        <v>0</v>
      </c>
      <c r="N698" s="170">
        <f>'(R) Therms By Block'!J96</f>
        <v>0</v>
      </c>
      <c r="O698" s="170">
        <f>'(R) Therms By Block'!K96</f>
        <v>0</v>
      </c>
      <c r="P698" s="170">
        <f>'(R) Therms By Block'!L96</f>
        <v>0</v>
      </c>
      <c r="Q698" s="170">
        <f>'(R) Therms By Block'!M96</f>
        <v>0</v>
      </c>
      <c r="R698" s="107">
        <f t="shared" si="446"/>
        <v>0</v>
      </c>
    </row>
    <row r="699" spans="1:19" s="30" customFormat="1" x14ac:dyDescent="0.2">
      <c r="C699" s="30" t="s">
        <v>64</v>
      </c>
      <c r="E699" s="30" t="s">
        <v>10</v>
      </c>
      <c r="F699" s="170">
        <f>'(R) Therms By Block'!B97</f>
        <v>0</v>
      </c>
      <c r="G699" s="170">
        <f>'(R) Therms By Block'!C97</f>
        <v>0</v>
      </c>
      <c r="H699" s="170">
        <f>'(R) Therms By Block'!D97</f>
        <v>0</v>
      </c>
      <c r="I699" s="170">
        <f>'(R) Therms By Block'!E97</f>
        <v>0</v>
      </c>
      <c r="J699" s="170">
        <f>'(R) Therms By Block'!F97</f>
        <v>0</v>
      </c>
      <c r="K699" s="170">
        <f>'(R) Therms By Block'!G97</f>
        <v>0</v>
      </c>
      <c r="L699" s="170">
        <f>'(R) Therms By Block'!H97</f>
        <v>0</v>
      </c>
      <c r="M699" s="170">
        <f>'(R) Therms By Block'!I97</f>
        <v>0</v>
      </c>
      <c r="N699" s="170">
        <f>'(R) Therms By Block'!J97</f>
        <v>0</v>
      </c>
      <c r="O699" s="170">
        <f>'(R) Therms By Block'!K97</f>
        <v>0</v>
      </c>
      <c r="P699" s="170">
        <f>'(R) Therms By Block'!L97</f>
        <v>0</v>
      </c>
      <c r="Q699" s="170">
        <f>'(R) Therms By Block'!M97</f>
        <v>0</v>
      </c>
      <c r="R699" s="107">
        <f t="shared" si="446"/>
        <v>0</v>
      </c>
    </row>
    <row r="700" spans="1:19" s="30" customFormat="1" x14ac:dyDescent="0.2">
      <c r="C700" s="30" t="s">
        <v>65</v>
      </c>
      <c r="E700" s="30" t="s">
        <v>10</v>
      </c>
      <c r="F700" s="107">
        <f t="shared" ref="F700:K700" si="447">F701-SUM(F695:F699)</f>
        <v>0</v>
      </c>
      <c r="G700" s="107">
        <f t="shared" si="447"/>
        <v>0</v>
      </c>
      <c r="H700" s="107">
        <f t="shared" si="447"/>
        <v>0</v>
      </c>
      <c r="I700" s="107">
        <f t="shared" si="447"/>
        <v>0</v>
      </c>
      <c r="J700" s="107">
        <f t="shared" si="447"/>
        <v>0</v>
      </c>
      <c r="K700" s="107">
        <f t="shared" si="447"/>
        <v>0</v>
      </c>
      <c r="L700" s="107">
        <f>L701-SUM(L695:L699)</f>
        <v>0</v>
      </c>
      <c r="M700" s="107">
        <f>M701-SUM(M695:M699)</f>
        <v>0</v>
      </c>
      <c r="N700" s="107">
        <f>N701-SUM(N695:N699)</f>
        <v>0</v>
      </c>
      <c r="O700" s="107">
        <f t="shared" ref="O700:Q700" si="448">O701-SUM(O695:O699)</f>
        <v>0</v>
      </c>
      <c r="P700" s="107">
        <f t="shared" si="448"/>
        <v>0</v>
      </c>
      <c r="Q700" s="107">
        <f t="shared" si="448"/>
        <v>0</v>
      </c>
      <c r="R700" s="107">
        <f t="shared" si="446"/>
        <v>0</v>
      </c>
      <c r="S700" s="31"/>
    </row>
    <row r="701" spans="1:19" s="30" customFormat="1" x14ac:dyDescent="0.2">
      <c r="C701" s="30" t="s">
        <v>17</v>
      </c>
      <c r="E701" s="30" t="s">
        <v>10</v>
      </c>
      <c r="F701" s="111">
        <f>'Weather Adj'!D190</f>
        <v>0</v>
      </c>
      <c r="G701" s="111">
        <f>'Weather Adj'!E190</f>
        <v>0</v>
      </c>
      <c r="H701" s="111">
        <f>'Weather Adj'!F190</f>
        <v>0</v>
      </c>
      <c r="I701" s="111">
        <f>'Weather Adj'!G190</f>
        <v>0</v>
      </c>
      <c r="J701" s="111">
        <f>'Weather Adj'!H190</f>
        <v>0</v>
      </c>
      <c r="K701" s="111">
        <f>'Weather Adj'!I190</f>
        <v>0</v>
      </c>
      <c r="L701" s="111">
        <f>'Weather Adj'!J190</f>
        <v>0</v>
      </c>
      <c r="M701" s="111">
        <f>'Weather Adj'!K190</f>
        <v>0</v>
      </c>
      <c r="N701" s="111">
        <f>'Weather Adj'!L190</f>
        <v>0</v>
      </c>
      <c r="O701" s="111">
        <f>'Weather Adj'!M190</f>
        <v>0</v>
      </c>
      <c r="P701" s="111">
        <f>'Weather Adj'!N190</f>
        <v>0</v>
      </c>
      <c r="Q701" s="111">
        <f>'Weather Adj'!O190</f>
        <v>0</v>
      </c>
      <c r="R701" s="650">
        <f>SUM(R695:R700)</f>
        <v>0</v>
      </c>
      <c r="S701" s="31"/>
    </row>
    <row r="702" spans="1:19" x14ac:dyDescent="0.2">
      <c r="A702" s="30"/>
      <c r="B702" s="30" t="s">
        <v>29</v>
      </c>
      <c r="C702" s="30"/>
      <c r="D702" s="30"/>
      <c r="E702" s="30" t="s">
        <v>100</v>
      </c>
      <c r="F702" s="76">
        <f>'(R) Data'!C51</f>
        <v>0</v>
      </c>
      <c r="G702" s="76">
        <f>'(R) Data'!D51</f>
        <v>0</v>
      </c>
      <c r="H702" s="76">
        <f>'(R) Data'!E51</f>
        <v>0</v>
      </c>
      <c r="I702" s="76">
        <f>'(R) Data'!F51</f>
        <v>0</v>
      </c>
      <c r="J702" s="76">
        <f>'(R) Data'!G51</f>
        <v>0</v>
      </c>
      <c r="K702" s="76">
        <f>'(R) Data'!H51</f>
        <v>0</v>
      </c>
      <c r="L702" s="76">
        <f>'(R) Data'!I51</f>
        <v>0</v>
      </c>
      <c r="M702" s="76">
        <f>'(R) Data'!J51</f>
        <v>0</v>
      </c>
      <c r="N702" s="76">
        <f>'(R) Data'!K51</f>
        <v>0</v>
      </c>
      <c r="O702" s="76">
        <f>'(R) Data'!L51</f>
        <v>0</v>
      </c>
      <c r="P702" s="76">
        <f>'(R) Data'!M51</f>
        <v>0</v>
      </c>
      <c r="Q702" s="76">
        <f>'(R) Data'!N51</f>
        <v>0</v>
      </c>
      <c r="R702" s="107">
        <f>SUM(F702:Q702)</f>
        <v>0</v>
      </c>
      <c r="S702" s="31"/>
    </row>
    <row r="703" spans="1:19" x14ac:dyDescent="0.2">
      <c r="A703" s="30"/>
      <c r="B703" s="30" t="s">
        <v>21</v>
      </c>
      <c r="C703" s="30"/>
      <c r="D703" s="30"/>
      <c r="E703" s="30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107"/>
      <c r="S703" s="31"/>
    </row>
    <row r="704" spans="1:19" x14ac:dyDescent="0.2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96"/>
      <c r="S704" s="31"/>
    </row>
    <row r="705" spans="1:19" x14ac:dyDescent="0.2">
      <c r="A705" s="30"/>
      <c r="B705" s="29" t="s">
        <v>9</v>
      </c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96"/>
      <c r="S705" s="31"/>
    </row>
    <row r="706" spans="1:19" x14ac:dyDescent="0.2">
      <c r="A706" s="30" t="s">
        <v>147</v>
      </c>
      <c r="B706" s="30" t="s">
        <v>282</v>
      </c>
      <c r="C706" s="30"/>
      <c r="D706" s="30">
        <v>87</v>
      </c>
      <c r="E706" s="30"/>
      <c r="F706" s="34">
        <f t="shared" ref="F706:N706" si="449">F674*F693</f>
        <v>0</v>
      </c>
      <c r="G706" s="34">
        <f t="shared" si="449"/>
        <v>0</v>
      </c>
      <c r="H706" s="34">
        <f t="shared" si="449"/>
        <v>0</v>
      </c>
      <c r="I706" s="34">
        <f t="shared" si="449"/>
        <v>0</v>
      </c>
      <c r="J706" s="34">
        <f t="shared" si="449"/>
        <v>0</v>
      </c>
      <c r="K706" s="34">
        <f t="shared" si="449"/>
        <v>0</v>
      </c>
      <c r="L706" s="34">
        <f t="shared" si="449"/>
        <v>0</v>
      </c>
      <c r="M706" s="34">
        <f t="shared" si="449"/>
        <v>0</v>
      </c>
      <c r="N706" s="34">
        <f t="shared" si="449"/>
        <v>0</v>
      </c>
      <c r="O706" s="34">
        <f t="shared" ref="O706:Q706" si="450">O674*O693</f>
        <v>0</v>
      </c>
      <c r="P706" s="34">
        <f t="shared" si="450"/>
        <v>0</v>
      </c>
      <c r="Q706" s="34">
        <f t="shared" si="450"/>
        <v>0</v>
      </c>
      <c r="R706" s="70">
        <f>SUM(F706:Q706)</f>
        <v>0</v>
      </c>
      <c r="S706" s="31"/>
    </row>
    <row r="707" spans="1:19" x14ac:dyDescent="0.2">
      <c r="A707" s="30"/>
      <c r="B707" s="30" t="s">
        <v>3</v>
      </c>
      <c r="C707" s="30"/>
      <c r="D707" s="30"/>
      <c r="E707" s="30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70"/>
      <c r="S707" s="31"/>
    </row>
    <row r="708" spans="1:19" x14ac:dyDescent="0.2">
      <c r="C708" t="s">
        <v>56</v>
      </c>
      <c r="D708">
        <v>87</v>
      </c>
      <c r="F708" s="23">
        <f t="shared" ref="F708:N708" si="451">F676*F695</f>
        <v>0</v>
      </c>
      <c r="G708" s="23">
        <f t="shared" si="451"/>
        <v>0</v>
      </c>
      <c r="H708" s="23">
        <f t="shared" si="451"/>
        <v>0</v>
      </c>
      <c r="I708" s="23">
        <f t="shared" si="451"/>
        <v>0</v>
      </c>
      <c r="J708" s="23">
        <f t="shared" si="451"/>
        <v>0</v>
      </c>
      <c r="K708" s="23">
        <f t="shared" si="451"/>
        <v>0</v>
      </c>
      <c r="L708" s="23">
        <f t="shared" si="451"/>
        <v>0</v>
      </c>
      <c r="M708" s="23">
        <f t="shared" si="451"/>
        <v>0</v>
      </c>
      <c r="N708" s="23">
        <f t="shared" si="451"/>
        <v>0</v>
      </c>
      <c r="O708" s="23">
        <f t="shared" ref="O708:Q708" si="452">O676*O695</f>
        <v>0</v>
      </c>
      <c r="P708" s="23">
        <f t="shared" si="452"/>
        <v>0</v>
      </c>
      <c r="Q708" s="23">
        <f t="shared" si="452"/>
        <v>0</v>
      </c>
      <c r="R708" s="100">
        <f t="shared" ref="R708:R722" si="453">SUM(F708:Q708)</f>
        <v>0</v>
      </c>
      <c r="S708" s="31"/>
    </row>
    <row r="709" spans="1:19" x14ac:dyDescent="0.2">
      <c r="C709" t="s">
        <v>57</v>
      </c>
      <c r="D709">
        <v>87</v>
      </c>
      <c r="F709" s="23">
        <f t="shared" ref="F709:N709" si="454">F677*F696</f>
        <v>0</v>
      </c>
      <c r="G709" s="23">
        <f t="shared" si="454"/>
        <v>0</v>
      </c>
      <c r="H709" s="23">
        <f t="shared" si="454"/>
        <v>0</v>
      </c>
      <c r="I709" s="23">
        <f t="shared" si="454"/>
        <v>0</v>
      </c>
      <c r="J709" s="23">
        <f t="shared" si="454"/>
        <v>0</v>
      </c>
      <c r="K709" s="23">
        <f t="shared" si="454"/>
        <v>0</v>
      </c>
      <c r="L709" s="23">
        <f t="shared" si="454"/>
        <v>0</v>
      </c>
      <c r="M709" s="23">
        <f t="shared" si="454"/>
        <v>0</v>
      </c>
      <c r="N709" s="23">
        <f t="shared" si="454"/>
        <v>0</v>
      </c>
      <c r="O709" s="23">
        <f t="shared" ref="O709:Q709" si="455">O677*O696</f>
        <v>0</v>
      </c>
      <c r="P709" s="23">
        <f t="shared" si="455"/>
        <v>0</v>
      </c>
      <c r="Q709" s="23">
        <f t="shared" si="455"/>
        <v>0</v>
      </c>
      <c r="R709" s="100">
        <f t="shared" si="453"/>
        <v>0</v>
      </c>
      <c r="S709" s="31"/>
    </row>
    <row r="710" spans="1:19" x14ac:dyDescent="0.2">
      <c r="C710" t="s">
        <v>62</v>
      </c>
      <c r="D710">
        <v>87</v>
      </c>
      <c r="F710" s="23">
        <f t="shared" ref="F710:N710" si="456">F678*F697</f>
        <v>0</v>
      </c>
      <c r="G710" s="23">
        <f t="shared" si="456"/>
        <v>0</v>
      </c>
      <c r="H710" s="23">
        <f t="shared" si="456"/>
        <v>0</v>
      </c>
      <c r="I710" s="23">
        <f t="shared" si="456"/>
        <v>0</v>
      </c>
      <c r="J710" s="23">
        <f t="shared" si="456"/>
        <v>0</v>
      </c>
      <c r="K710" s="23">
        <f t="shared" si="456"/>
        <v>0</v>
      </c>
      <c r="L710" s="23">
        <f t="shared" si="456"/>
        <v>0</v>
      </c>
      <c r="M710" s="23">
        <f t="shared" si="456"/>
        <v>0</v>
      </c>
      <c r="N710" s="23">
        <f t="shared" si="456"/>
        <v>0</v>
      </c>
      <c r="O710" s="23">
        <f t="shared" ref="O710:Q710" si="457">O678*O697</f>
        <v>0</v>
      </c>
      <c r="P710" s="23">
        <f t="shared" si="457"/>
        <v>0</v>
      </c>
      <c r="Q710" s="23">
        <f t="shared" si="457"/>
        <v>0</v>
      </c>
      <c r="R710" s="100">
        <f t="shared" si="453"/>
        <v>0</v>
      </c>
      <c r="S710" s="31"/>
    </row>
    <row r="711" spans="1:19" x14ac:dyDescent="0.2">
      <c r="C711" t="s">
        <v>63</v>
      </c>
      <c r="D711">
        <v>87</v>
      </c>
      <c r="F711" s="23">
        <f t="shared" ref="F711:N711" si="458">F679*F698</f>
        <v>0</v>
      </c>
      <c r="G711" s="23">
        <f t="shared" si="458"/>
        <v>0</v>
      </c>
      <c r="H711" s="23">
        <f t="shared" si="458"/>
        <v>0</v>
      </c>
      <c r="I711" s="23">
        <f t="shared" si="458"/>
        <v>0</v>
      </c>
      <c r="J711" s="23">
        <f t="shared" si="458"/>
        <v>0</v>
      </c>
      <c r="K711" s="23">
        <f t="shared" si="458"/>
        <v>0</v>
      </c>
      <c r="L711" s="23">
        <f t="shared" si="458"/>
        <v>0</v>
      </c>
      <c r="M711" s="23">
        <f t="shared" si="458"/>
        <v>0</v>
      </c>
      <c r="N711" s="23">
        <f t="shared" si="458"/>
        <v>0</v>
      </c>
      <c r="O711" s="23">
        <f t="shared" ref="O711:Q711" si="459">O679*O698</f>
        <v>0</v>
      </c>
      <c r="P711" s="23">
        <f t="shared" si="459"/>
        <v>0</v>
      </c>
      <c r="Q711" s="23">
        <f t="shared" si="459"/>
        <v>0</v>
      </c>
      <c r="R711" s="100">
        <f t="shared" si="453"/>
        <v>0</v>
      </c>
      <c r="S711" s="31"/>
    </row>
    <row r="712" spans="1:19" x14ac:dyDescent="0.2">
      <c r="C712" t="s">
        <v>64</v>
      </c>
      <c r="D712">
        <v>87</v>
      </c>
      <c r="F712" s="23">
        <f t="shared" ref="F712:N712" si="460">F680*F699</f>
        <v>0</v>
      </c>
      <c r="G712" s="23">
        <f t="shared" si="460"/>
        <v>0</v>
      </c>
      <c r="H712" s="23">
        <f t="shared" si="460"/>
        <v>0</v>
      </c>
      <c r="I712" s="23">
        <f t="shared" si="460"/>
        <v>0</v>
      </c>
      <c r="J712" s="23">
        <f t="shared" si="460"/>
        <v>0</v>
      </c>
      <c r="K712" s="23">
        <f t="shared" si="460"/>
        <v>0</v>
      </c>
      <c r="L712" s="23">
        <f t="shared" si="460"/>
        <v>0</v>
      </c>
      <c r="M712" s="23">
        <f t="shared" si="460"/>
        <v>0</v>
      </c>
      <c r="N712" s="23">
        <f t="shared" si="460"/>
        <v>0</v>
      </c>
      <c r="O712" s="23">
        <f t="shared" ref="O712:Q712" si="461">O680*O699</f>
        <v>0</v>
      </c>
      <c r="P712" s="23">
        <f t="shared" si="461"/>
        <v>0</v>
      </c>
      <c r="Q712" s="23">
        <f t="shared" si="461"/>
        <v>0</v>
      </c>
      <c r="R712" s="100">
        <f t="shared" si="453"/>
        <v>0</v>
      </c>
      <c r="S712" s="31"/>
    </row>
    <row r="713" spans="1:19" s="30" customFormat="1" x14ac:dyDescent="0.2">
      <c r="A713"/>
      <c r="B713"/>
      <c r="C713" t="s">
        <v>65</v>
      </c>
      <c r="D713">
        <v>87</v>
      </c>
      <c r="E713"/>
      <c r="F713" s="23">
        <f t="shared" ref="F713:N713" si="462">F681*F700</f>
        <v>0</v>
      </c>
      <c r="G713" s="23">
        <f t="shared" si="462"/>
        <v>0</v>
      </c>
      <c r="H713" s="23">
        <f t="shared" si="462"/>
        <v>0</v>
      </c>
      <c r="I713" s="23">
        <f t="shared" si="462"/>
        <v>0</v>
      </c>
      <c r="J713" s="23">
        <f t="shared" si="462"/>
        <v>0</v>
      </c>
      <c r="K713" s="23">
        <f t="shared" si="462"/>
        <v>0</v>
      </c>
      <c r="L713" s="23">
        <f t="shared" si="462"/>
        <v>0</v>
      </c>
      <c r="M713" s="23">
        <f t="shared" si="462"/>
        <v>0</v>
      </c>
      <c r="N713" s="23">
        <f t="shared" si="462"/>
        <v>0</v>
      </c>
      <c r="O713" s="23">
        <f t="shared" ref="O713:Q713" si="463">O681*O700</f>
        <v>0</v>
      </c>
      <c r="P713" s="23">
        <f t="shared" si="463"/>
        <v>0</v>
      </c>
      <c r="Q713" s="23">
        <f t="shared" si="463"/>
        <v>0</v>
      </c>
      <c r="R713" s="100">
        <f t="shared" si="453"/>
        <v>0</v>
      </c>
      <c r="S713" s="31"/>
    </row>
    <row r="714" spans="1:19" x14ac:dyDescent="0.2">
      <c r="A714" t="s">
        <v>147</v>
      </c>
      <c r="C714" t="s">
        <v>26</v>
      </c>
      <c r="F714" s="24">
        <f t="shared" ref="F714:K714" si="464">SUM(F708:F713)</f>
        <v>0</v>
      </c>
      <c r="G714" s="24">
        <f t="shared" si="464"/>
        <v>0</v>
      </c>
      <c r="H714" s="24">
        <f t="shared" si="464"/>
        <v>0</v>
      </c>
      <c r="I714" s="24">
        <f t="shared" si="464"/>
        <v>0</v>
      </c>
      <c r="J714" s="24">
        <f t="shared" si="464"/>
        <v>0</v>
      </c>
      <c r="K714" s="24">
        <f t="shared" si="464"/>
        <v>0</v>
      </c>
      <c r="L714" s="24">
        <f>SUM(L708:L713)</f>
        <v>0</v>
      </c>
      <c r="M714" s="24">
        <f>SUM(M708:M713)</f>
        <v>0</v>
      </c>
      <c r="N714" s="24">
        <f>SUM(N708:N713)</f>
        <v>0</v>
      </c>
      <c r="O714" s="24">
        <f t="shared" ref="O714:Q714" si="465">SUM(O708:O713)</f>
        <v>0</v>
      </c>
      <c r="P714" s="24">
        <f t="shared" si="465"/>
        <v>0</v>
      </c>
      <c r="Q714" s="24">
        <f t="shared" si="465"/>
        <v>0</v>
      </c>
      <c r="R714" s="684">
        <f t="shared" si="453"/>
        <v>0</v>
      </c>
      <c r="S714" s="31"/>
    </row>
    <row r="715" spans="1:19" x14ac:dyDescent="0.2">
      <c r="A715" t="s">
        <v>130</v>
      </c>
      <c r="B715" t="s">
        <v>306</v>
      </c>
      <c r="D715">
        <v>101</v>
      </c>
      <c r="F715" s="40">
        <f t="shared" ref="F715:K715" si="466">F682*F701</f>
        <v>0</v>
      </c>
      <c r="G715" s="40">
        <f t="shared" si="466"/>
        <v>0</v>
      </c>
      <c r="H715" s="40">
        <f t="shared" si="466"/>
        <v>0</v>
      </c>
      <c r="I715" s="40">
        <f t="shared" si="466"/>
        <v>0</v>
      </c>
      <c r="J715" s="36">
        <f t="shared" si="466"/>
        <v>0</v>
      </c>
      <c r="K715" s="40">
        <f t="shared" si="466"/>
        <v>0</v>
      </c>
      <c r="L715" s="40">
        <f>L682*L701</f>
        <v>0</v>
      </c>
      <c r="M715" s="40">
        <f>M682*M701</f>
        <v>0</v>
      </c>
      <c r="N715" s="40">
        <f>N682*N701</f>
        <v>0</v>
      </c>
      <c r="O715" s="40">
        <f t="shared" ref="O715:Q715" si="467">O682*O701</f>
        <v>0</v>
      </c>
      <c r="P715" s="40">
        <f t="shared" si="467"/>
        <v>0</v>
      </c>
      <c r="Q715" s="40">
        <f t="shared" si="467"/>
        <v>0</v>
      </c>
      <c r="R715" s="97">
        <f t="shared" si="453"/>
        <v>0</v>
      </c>
      <c r="S715" s="31"/>
    </row>
    <row r="716" spans="1:19" x14ac:dyDescent="0.2">
      <c r="A716" t="s">
        <v>147</v>
      </c>
      <c r="B716" t="s">
        <v>61</v>
      </c>
      <c r="D716" s="21">
        <v>87</v>
      </c>
      <c r="F716" s="40">
        <f t="shared" ref="F716:K716" si="468">F683*F701</f>
        <v>0</v>
      </c>
      <c r="G716" s="40">
        <f t="shared" si="468"/>
        <v>0</v>
      </c>
      <c r="H716" s="40">
        <f t="shared" si="468"/>
        <v>0</v>
      </c>
      <c r="I716" s="40">
        <f t="shared" si="468"/>
        <v>0</v>
      </c>
      <c r="J716" s="40">
        <f t="shared" si="468"/>
        <v>0</v>
      </c>
      <c r="K716" s="40">
        <f t="shared" si="468"/>
        <v>0</v>
      </c>
      <c r="L716" s="40">
        <f>L683*L701</f>
        <v>0</v>
      </c>
      <c r="M716" s="40">
        <f>M683*M701</f>
        <v>0</v>
      </c>
      <c r="N716" s="40">
        <f>N683*N701</f>
        <v>0</v>
      </c>
      <c r="O716" s="40">
        <f t="shared" ref="O716:Q716" si="469">O683*O701</f>
        <v>0</v>
      </c>
      <c r="P716" s="40">
        <f t="shared" si="469"/>
        <v>0</v>
      </c>
      <c r="Q716" s="40">
        <f t="shared" si="469"/>
        <v>0</v>
      </c>
      <c r="R716" s="97">
        <f t="shared" si="453"/>
        <v>0</v>
      </c>
      <c r="S716" s="31"/>
    </row>
    <row r="717" spans="1:19" x14ac:dyDescent="0.2">
      <c r="A717" t="s">
        <v>551</v>
      </c>
      <c r="B717" t="s">
        <v>552</v>
      </c>
      <c r="D717" s="21">
        <v>149</v>
      </c>
      <c r="F717" s="40">
        <f>F684*F701</f>
        <v>0</v>
      </c>
      <c r="G717" s="40">
        <f t="shared" ref="G717:Q717" si="470">G684*G701</f>
        <v>0</v>
      </c>
      <c r="H717" s="40">
        <f t="shared" si="470"/>
        <v>0</v>
      </c>
      <c r="I717" s="40">
        <f t="shared" si="470"/>
        <v>0</v>
      </c>
      <c r="J717" s="40">
        <f t="shared" si="470"/>
        <v>0</v>
      </c>
      <c r="K717" s="40">
        <f t="shared" si="470"/>
        <v>0</v>
      </c>
      <c r="L717" s="40">
        <f t="shared" si="470"/>
        <v>0</v>
      </c>
      <c r="M717" s="40">
        <f t="shared" si="470"/>
        <v>0</v>
      </c>
      <c r="N717" s="40">
        <f t="shared" si="470"/>
        <v>0</v>
      </c>
      <c r="O717" s="40">
        <f t="shared" si="470"/>
        <v>0</v>
      </c>
      <c r="P717" s="40">
        <f t="shared" si="470"/>
        <v>0</v>
      </c>
      <c r="Q717" s="40">
        <f t="shared" si="470"/>
        <v>0</v>
      </c>
      <c r="R717" s="97">
        <f t="shared" si="453"/>
        <v>0</v>
      </c>
      <c r="S717" s="31"/>
    </row>
    <row r="718" spans="1:19" x14ac:dyDescent="0.2">
      <c r="B718" t="s">
        <v>18</v>
      </c>
      <c r="F718" s="23"/>
      <c r="G718" s="23"/>
      <c r="H718" s="23"/>
      <c r="I718" s="23"/>
      <c r="J718" s="23"/>
      <c r="K718" s="23"/>
      <c r="L718" s="23"/>
      <c r="M718" s="23"/>
      <c r="N718" s="23"/>
      <c r="O718" s="23"/>
      <c r="P718" s="23"/>
      <c r="Q718" s="23"/>
      <c r="R718" s="100">
        <f t="shared" si="453"/>
        <v>0</v>
      </c>
      <c r="S718" s="31"/>
    </row>
    <row r="719" spans="1:19" x14ac:dyDescent="0.2">
      <c r="A719" t="s">
        <v>147</v>
      </c>
      <c r="C719" t="s">
        <v>19</v>
      </c>
      <c r="D719" s="21">
        <v>87</v>
      </c>
      <c r="F719" s="23">
        <f t="shared" ref="F719:K719" si="471">F686*F702</f>
        <v>0</v>
      </c>
      <c r="G719" s="23">
        <f t="shared" si="471"/>
        <v>0</v>
      </c>
      <c r="H719" s="23">
        <f t="shared" si="471"/>
        <v>0</v>
      </c>
      <c r="I719" s="23">
        <f t="shared" si="471"/>
        <v>0</v>
      </c>
      <c r="J719" s="23">
        <f t="shared" si="471"/>
        <v>0</v>
      </c>
      <c r="K719" s="23">
        <f t="shared" si="471"/>
        <v>0</v>
      </c>
      <c r="L719" s="23">
        <f>L686*L702</f>
        <v>0</v>
      </c>
      <c r="M719" s="23">
        <f>M686*M702</f>
        <v>0</v>
      </c>
      <c r="N719" s="23">
        <f>N686*N702</f>
        <v>0</v>
      </c>
      <c r="O719" s="23">
        <f t="shared" ref="O719:Q719" si="472">O686*O702</f>
        <v>0</v>
      </c>
      <c r="P719" s="23">
        <f t="shared" si="472"/>
        <v>0</v>
      </c>
      <c r="Q719" s="23">
        <f t="shared" si="472"/>
        <v>0</v>
      </c>
      <c r="R719" s="100">
        <f t="shared" si="453"/>
        <v>0</v>
      </c>
      <c r="S719" s="31"/>
    </row>
    <row r="720" spans="1:19" x14ac:dyDescent="0.2">
      <c r="A720" t="s">
        <v>130</v>
      </c>
      <c r="C720" t="s">
        <v>20</v>
      </c>
      <c r="D720">
        <v>101</v>
      </c>
      <c r="F720" s="23">
        <f t="shared" ref="F720:K720" si="473">F687*F702</f>
        <v>0</v>
      </c>
      <c r="G720" s="23">
        <f t="shared" si="473"/>
        <v>0</v>
      </c>
      <c r="H720" s="23">
        <f t="shared" si="473"/>
        <v>0</v>
      </c>
      <c r="I720" s="23">
        <f t="shared" si="473"/>
        <v>0</v>
      </c>
      <c r="J720" s="34">
        <f t="shared" si="473"/>
        <v>0</v>
      </c>
      <c r="K720" s="23">
        <f t="shared" si="473"/>
        <v>0</v>
      </c>
      <c r="L720" s="23">
        <f>L687*L702</f>
        <v>0</v>
      </c>
      <c r="M720" s="23">
        <f>M687*M702</f>
        <v>0</v>
      </c>
      <c r="N720" s="23">
        <f>N687*N702</f>
        <v>0</v>
      </c>
      <c r="O720" s="23">
        <f t="shared" ref="O720:Q720" si="474">O687*O702</f>
        <v>0</v>
      </c>
      <c r="P720" s="23">
        <f t="shared" si="474"/>
        <v>0</v>
      </c>
      <c r="Q720" s="23">
        <f t="shared" si="474"/>
        <v>0</v>
      </c>
      <c r="R720" s="100">
        <f t="shared" si="453"/>
        <v>0</v>
      </c>
      <c r="S720" s="31"/>
    </row>
    <row r="721" spans="1:19" x14ac:dyDescent="0.2">
      <c r="C721" t="s">
        <v>23</v>
      </c>
      <c r="F721" s="24">
        <f t="shared" ref="F721:K721" si="475">SUM(F719:F720)</f>
        <v>0</v>
      </c>
      <c r="G721" s="24">
        <f t="shared" si="475"/>
        <v>0</v>
      </c>
      <c r="H721" s="24">
        <f t="shared" si="475"/>
        <v>0</v>
      </c>
      <c r="I721" s="24">
        <f t="shared" si="475"/>
        <v>0</v>
      </c>
      <c r="J721" s="24">
        <f t="shared" si="475"/>
        <v>0</v>
      </c>
      <c r="K721" s="24">
        <f t="shared" si="475"/>
        <v>0</v>
      </c>
      <c r="L721" s="24">
        <f>SUM(L719:L720)</f>
        <v>0</v>
      </c>
      <c r="M721" s="24">
        <f>SUM(M719:M720)</f>
        <v>0</v>
      </c>
      <c r="N721" s="24">
        <f>SUM(N719:N720)</f>
        <v>0</v>
      </c>
      <c r="O721" s="24">
        <f t="shared" ref="O721:Q721" si="476">SUM(O719:O720)</f>
        <v>0</v>
      </c>
      <c r="P721" s="24">
        <f t="shared" si="476"/>
        <v>0</v>
      </c>
      <c r="Q721" s="24">
        <f t="shared" si="476"/>
        <v>0</v>
      </c>
      <c r="R721" s="684">
        <f t="shared" si="453"/>
        <v>0</v>
      </c>
      <c r="S721" s="31"/>
    </row>
    <row r="722" spans="1:19" x14ac:dyDescent="0.2">
      <c r="A722" s="30" t="s">
        <v>147</v>
      </c>
      <c r="B722" s="30" t="s">
        <v>21</v>
      </c>
      <c r="C722" s="30"/>
      <c r="D722" s="47">
        <v>87</v>
      </c>
      <c r="E722" s="30"/>
      <c r="F722" s="187">
        <v>0</v>
      </c>
      <c r="G722" s="187">
        <v>0</v>
      </c>
      <c r="H722" s="187">
        <v>0</v>
      </c>
      <c r="I722" s="187">
        <v>0</v>
      </c>
      <c r="J722" s="187">
        <v>0</v>
      </c>
      <c r="K722" s="187">
        <v>0</v>
      </c>
      <c r="L722" s="187">
        <v>0</v>
      </c>
      <c r="M722" s="187">
        <v>0</v>
      </c>
      <c r="N722" s="187">
        <v>0</v>
      </c>
      <c r="O722" s="187">
        <v>0</v>
      </c>
      <c r="P722" s="187">
        <v>0</v>
      </c>
      <c r="Q722" s="187">
        <v>0</v>
      </c>
      <c r="R722" s="70">
        <f t="shared" si="453"/>
        <v>0</v>
      </c>
      <c r="S722" s="31"/>
    </row>
    <row r="723" spans="1:19" x14ac:dyDescent="0.2">
      <c r="B723" t="s">
        <v>25</v>
      </c>
      <c r="F723" s="24">
        <f t="shared" ref="F723:K723" si="477">F715+F720</f>
        <v>0</v>
      </c>
      <c r="G723" s="24">
        <f t="shared" si="477"/>
        <v>0</v>
      </c>
      <c r="H723" s="24">
        <f t="shared" si="477"/>
        <v>0</v>
      </c>
      <c r="I723" s="24">
        <f t="shared" si="477"/>
        <v>0</v>
      </c>
      <c r="J723" s="24">
        <f t="shared" si="477"/>
        <v>0</v>
      </c>
      <c r="K723" s="24">
        <f t="shared" si="477"/>
        <v>0</v>
      </c>
      <c r="L723" s="24">
        <f>L715+L720</f>
        <v>0</v>
      </c>
      <c r="M723" s="24">
        <f>M715+M720</f>
        <v>0</v>
      </c>
      <c r="N723" s="24">
        <f>N715+N720</f>
        <v>0</v>
      </c>
      <c r="O723" s="24">
        <f t="shared" ref="O723:Q723" si="478">O715+O720</f>
        <v>0</v>
      </c>
      <c r="P723" s="24">
        <f t="shared" si="478"/>
        <v>0</v>
      </c>
      <c r="Q723" s="24">
        <f t="shared" si="478"/>
        <v>0</v>
      </c>
      <c r="R723" s="684">
        <f>R715+R720</f>
        <v>0</v>
      </c>
      <c r="S723" s="31"/>
    </row>
    <row r="724" spans="1:19" x14ac:dyDescent="0.2">
      <c r="B724" t="s">
        <v>24</v>
      </c>
      <c r="F724" s="24">
        <f>F706+F714+F715+F716+F717+F721+F722</f>
        <v>0</v>
      </c>
      <c r="G724" s="24">
        <f t="shared" ref="G724:R724" si="479">G706+G714+G715+G716+G717+G721+G722</f>
        <v>0</v>
      </c>
      <c r="H724" s="24">
        <f t="shared" si="479"/>
        <v>0</v>
      </c>
      <c r="I724" s="24">
        <f t="shared" si="479"/>
        <v>0</v>
      </c>
      <c r="J724" s="24">
        <f t="shared" si="479"/>
        <v>0</v>
      </c>
      <c r="K724" s="24">
        <f t="shared" si="479"/>
        <v>0</v>
      </c>
      <c r="L724" s="24">
        <f t="shared" si="479"/>
        <v>0</v>
      </c>
      <c r="M724" s="24">
        <f t="shared" si="479"/>
        <v>0</v>
      </c>
      <c r="N724" s="24">
        <f t="shared" si="479"/>
        <v>0</v>
      </c>
      <c r="O724" s="24">
        <f t="shared" si="479"/>
        <v>0</v>
      </c>
      <c r="P724" s="24">
        <f t="shared" si="479"/>
        <v>0</v>
      </c>
      <c r="Q724" s="24">
        <f t="shared" si="479"/>
        <v>0</v>
      </c>
      <c r="R724" s="24">
        <f t="shared" si="479"/>
        <v>0</v>
      </c>
      <c r="S724" s="31"/>
    </row>
    <row r="725" spans="1:19" x14ac:dyDescent="0.2">
      <c r="C725" s="61"/>
      <c r="F725" s="23"/>
      <c r="G725" s="23"/>
      <c r="H725" s="23"/>
      <c r="I725" s="23"/>
      <c r="K725" s="23"/>
      <c r="L725" s="23"/>
      <c r="M725" s="23"/>
      <c r="N725" s="23"/>
      <c r="O725" s="23"/>
      <c r="P725" s="23"/>
      <c r="Q725" s="23"/>
      <c r="R725" s="100"/>
      <c r="S725" s="31"/>
    </row>
    <row r="726" spans="1:19" x14ac:dyDescent="0.2">
      <c r="A726" t="s">
        <v>305</v>
      </c>
      <c r="B726" t="s">
        <v>304</v>
      </c>
      <c r="C726" s="61"/>
      <c r="F726" s="23">
        <f t="shared" ref="F726:N726" si="480">F689*F701+F702*F690</f>
        <v>0</v>
      </c>
      <c r="G726" s="23">
        <f t="shared" si="480"/>
        <v>0</v>
      </c>
      <c r="H726" s="23">
        <f t="shared" si="480"/>
        <v>0</v>
      </c>
      <c r="I726" s="23">
        <f t="shared" si="480"/>
        <v>0</v>
      </c>
      <c r="J726" s="23">
        <f t="shared" si="480"/>
        <v>0</v>
      </c>
      <c r="K726" s="23">
        <f t="shared" si="480"/>
        <v>0</v>
      </c>
      <c r="L726" s="23">
        <f t="shared" si="480"/>
        <v>0</v>
      </c>
      <c r="M726" s="23">
        <f t="shared" si="480"/>
        <v>0</v>
      </c>
      <c r="N726" s="23">
        <f t="shared" si="480"/>
        <v>0</v>
      </c>
      <c r="O726" s="23">
        <f t="shared" ref="O726:Q726" si="481">O689*O701+O702*O690</f>
        <v>0</v>
      </c>
      <c r="P726" s="23">
        <f t="shared" si="481"/>
        <v>0</v>
      </c>
      <c r="Q726" s="23">
        <f t="shared" si="481"/>
        <v>0</v>
      </c>
      <c r="R726" s="100">
        <f>SUM(F726:Q726)</f>
        <v>0</v>
      </c>
      <c r="S726" s="31"/>
    </row>
    <row r="727" spans="1:19" x14ac:dyDescent="0.2">
      <c r="S727" s="31"/>
    </row>
    <row r="728" spans="1:19" x14ac:dyDescent="0.2">
      <c r="A728" s="30"/>
      <c r="B728" s="29" t="s">
        <v>230</v>
      </c>
      <c r="C728" s="29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1"/>
    </row>
    <row r="729" spans="1:19" x14ac:dyDescent="0.2">
      <c r="A729" s="30"/>
      <c r="B729" s="29" t="s">
        <v>7</v>
      </c>
      <c r="C729" s="29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1"/>
    </row>
    <row r="730" spans="1:19" s="30" customFormat="1" x14ac:dyDescent="0.2">
      <c r="B730" s="30" t="s">
        <v>282</v>
      </c>
      <c r="D730" s="47" t="s">
        <v>232</v>
      </c>
      <c r="E730" s="30" t="s">
        <v>5</v>
      </c>
      <c r="F730" s="130">
        <f>'Rate Design Int &amp; Trans'!$H$154</f>
        <v>891.83</v>
      </c>
      <c r="G730" s="130">
        <f>'Rate Design Int &amp; Trans'!$H$154</f>
        <v>891.83</v>
      </c>
      <c r="H730" s="130">
        <f>'Rate Design Int &amp; Trans'!$H$154</f>
        <v>891.83</v>
      </c>
      <c r="I730" s="130">
        <f>'Rate Design Int &amp; Trans'!$H$154</f>
        <v>891.83</v>
      </c>
      <c r="J730" s="130">
        <f>'Rate Design Int &amp; Trans'!$H$154</f>
        <v>891.83</v>
      </c>
      <c r="K730" s="130">
        <f>'Rate Design Int &amp; Trans'!$H$154</f>
        <v>891.83</v>
      </c>
      <c r="L730" s="130">
        <f>'Rate Design Int &amp; Trans'!$H$154</f>
        <v>891.83</v>
      </c>
      <c r="M730" s="130">
        <f>'Rate Design Int &amp; Trans'!$H$154</f>
        <v>891.83</v>
      </c>
      <c r="N730" s="130">
        <f>'Rate Design Int &amp; Trans'!$H$154</f>
        <v>891.83</v>
      </c>
      <c r="O730" s="130">
        <f>'Rate Design Int &amp; Trans'!$H$154</f>
        <v>891.83</v>
      </c>
      <c r="P730" s="130">
        <f>'Rate Design Int &amp; Trans'!$H$154</f>
        <v>891.83</v>
      </c>
      <c r="Q730" s="130">
        <f>'Rate Design Int &amp; Trans'!$H$154</f>
        <v>891.83</v>
      </c>
      <c r="S730" s="31"/>
    </row>
    <row r="731" spans="1:19" s="30" customFormat="1" x14ac:dyDescent="0.2">
      <c r="B731" s="30" t="s">
        <v>3</v>
      </c>
      <c r="F731" s="131"/>
      <c r="G731" s="131"/>
      <c r="H731" s="131"/>
      <c r="I731" s="131"/>
      <c r="J731" s="131"/>
      <c r="K731" s="131"/>
      <c r="L731" s="131"/>
      <c r="M731" s="131"/>
      <c r="N731" s="131"/>
      <c r="O731" s="131"/>
      <c r="P731" s="131"/>
      <c r="Q731" s="131"/>
      <c r="S731" s="31"/>
    </row>
    <row r="732" spans="1:19" s="30" customFormat="1" x14ac:dyDescent="0.2">
      <c r="C732" s="30" t="s">
        <v>56</v>
      </c>
      <c r="D732" s="47" t="s">
        <v>232</v>
      </c>
      <c r="E732" s="30" t="s">
        <v>6</v>
      </c>
      <c r="F732" s="131">
        <f>'Rate Design Int &amp; Trans'!$H$159</f>
        <v>0.1391</v>
      </c>
      <c r="G732" s="131">
        <f>'Rate Design Int &amp; Trans'!$H$159</f>
        <v>0.1391</v>
      </c>
      <c r="H732" s="131">
        <f>'Rate Design Int &amp; Trans'!$H$159</f>
        <v>0.1391</v>
      </c>
      <c r="I732" s="131">
        <f>'Rate Design Int &amp; Trans'!$H$159</f>
        <v>0.1391</v>
      </c>
      <c r="J732" s="131">
        <f>'Rate Design Int &amp; Trans'!$H$159</f>
        <v>0.1391</v>
      </c>
      <c r="K732" s="131">
        <f>'Rate Design Int &amp; Trans'!$H$159</f>
        <v>0.1391</v>
      </c>
      <c r="L732" s="131">
        <f>'Rate Design Int &amp; Trans'!$H$159</f>
        <v>0.1391</v>
      </c>
      <c r="M732" s="131">
        <f>'Rate Design Int &amp; Trans'!$H$159</f>
        <v>0.1391</v>
      </c>
      <c r="N732" s="131">
        <f>'Rate Design Int &amp; Trans'!$H$159</f>
        <v>0.1391</v>
      </c>
      <c r="O732" s="131">
        <f>'Rate Design Int &amp; Trans'!$H$159</f>
        <v>0.1391</v>
      </c>
      <c r="P732" s="131">
        <f>'Rate Design Int &amp; Trans'!$H$159</f>
        <v>0.1391</v>
      </c>
      <c r="Q732" s="131">
        <f>'Rate Design Int &amp; Trans'!$H$159</f>
        <v>0.1391</v>
      </c>
      <c r="S732" s="31"/>
    </row>
    <row r="733" spans="1:19" s="30" customFormat="1" x14ac:dyDescent="0.2">
      <c r="C733" s="30" t="s">
        <v>57</v>
      </c>
      <c r="D733" s="47" t="s">
        <v>232</v>
      </c>
      <c r="E733" s="30" t="s">
        <v>6</v>
      </c>
      <c r="F733" s="131">
        <f>'Rate Design Int &amp; Trans'!$H$160</f>
        <v>8.4059999999999996E-2</v>
      </c>
      <c r="G733" s="131">
        <f>'Rate Design Int &amp; Trans'!$H$160</f>
        <v>8.4059999999999996E-2</v>
      </c>
      <c r="H733" s="131">
        <f>'Rate Design Int &amp; Trans'!$H$160</f>
        <v>8.4059999999999996E-2</v>
      </c>
      <c r="I733" s="131">
        <f>'Rate Design Int &amp; Trans'!$H$160</f>
        <v>8.4059999999999996E-2</v>
      </c>
      <c r="J733" s="131">
        <f>'Rate Design Int &amp; Trans'!$H$160</f>
        <v>8.4059999999999996E-2</v>
      </c>
      <c r="K733" s="131">
        <f>'Rate Design Int &amp; Trans'!$H$160</f>
        <v>8.4059999999999996E-2</v>
      </c>
      <c r="L733" s="131">
        <f>'Rate Design Int &amp; Trans'!$H$160</f>
        <v>8.4059999999999996E-2</v>
      </c>
      <c r="M733" s="131">
        <f>'Rate Design Int &amp; Trans'!$H$160</f>
        <v>8.4059999999999996E-2</v>
      </c>
      <c r="N733" s="131">
        <f>'Rate Design Int &amp; Trans'!$H$160</f>
        <v>8.4059999999999996E-2</v>
      </c>
      <c r="O733" s="131">
        <f>'Rate Design Int &amp; Trans'!$H$160</f>
        <v>8.4059999999999996E-2</v>
      </c>
      <c r="P733" s="131">
        <f>'Rate Design Int &amp; Trans'!$H$160</f>
        <v>8.4059999999999996E-2</v>
      </c>
      <c r="Q733" s="131">
        <f>'Rate Design Int &amp; Trans'!$H$160</f>
        <v>8.4059999999999996E-2</v>
      </c>
      <c r="S733" s="31"/>
    </row>
    <row r="734" spans="1:19" s="30" customFormat="1" x14ac:dyDescent="0.2">
      <c r="C734" s="30" t="s">
        <v>62</v>
      </c>
      <c r="D734" s="47" t="s">
        <v>232</v>
      </c>
      <c r="E734" s="30" t="s">
        <v>6</v>
      </c>
      <c r="F734" s="131">
        <f>'Rate Design Int &amp; Trans'!$H$161</f>
        <v>5.3490000000000003E-2</v>
      </c>
      <c r="G734" s="131">
        <f>'Rate Design Int &amp; Trans'!$H$161</f>
        <v>5.3490000000000003E-2</v>
      </c>
      <c r="H734" s="131">
        <f>'Rate Design Int &amp; Trans'!$H$161</f>
        <v>5.3490000000000003E-2</v>
      </c>
      <c r="I734" s="131">
        <f>'Rate Design Int &amp; Trans'!$H$161</f>
        <v>5.3490000000000003E-2</v>
      </c>
      <c r="J734" s="131">
        <f>'Rate Design Int &amp; Trans'!$H$161</f>
        <v>5.3490000000000003E-2</v>
      </c>
      <c r="K734" s="131">
        <f>'Rate Design Int &amp; Trans'!$H$161</f>
        <v>5.3490000000000003E-2</v>
      </c>
      <c r="L734" s="131">
        <f>'Rate Design Int &amp; Trans'!$H$161</f>
        <v>5.3490000000000003E-2</v>
      </c>
      <c r="M734" s="131">
        <f>'Rate Design Int &amp; Trans'!$H$161</f>
        <v>5.3490000000000003E-2</v>
      </c>
      <c r="N734" s="131">
        <f>'Rate Design Int &amp; Trans'!$H$161</f>
        <v>5.3490000000000003E-2</v>
      </c>
      <c r="O734" s="131">
        <f>'Rate Design Int &amp; Trans'!$H$161</f>
        <v>5.3490000000000003E-2</v>
      </c>
      <c r="P734" s="131">
        <f>'Rate Design Int &amp; Trans'!$H$161</f>
        <v>5.3490000000000003E-2</v>
      </c>
      <c r="Q734" s="131">
        <f>'Rate Design Int &amp; Trans'!$H$161</f>
        <v>5.3490000000000003E-2</v>
      </c>
      <c r="S734" s="31"/>
    </row>
    <row r="735" spans="1:19" s="30" customFormat="1" x14ac:dyDescent="0.2">
      <c r="C735" s="30" t="s">
        <v>63</v>
      </c>
      <c r="D735" s="47" t="s">
        <v>232</v>
      </c>
      <c r="E735" s="30" t="s">
        <v>6</v>
      </c>
      <c r="F735" s="131">
        <f>'Rate Design Int &amp; Trans'!$H$162</f>
        <v>3.4299999999999997E-2</v>
      </c>
      <c r="G735" s="131">
        <f>'Rate Design Int &amp; Trans'!$H$162</f>
        <v>3.4299999999999997E-2</v>
      </c>
      <c r="H735" s="131">
        <f>'Rate Design Int &amp; Trans'!$H$162</f>
        <v>3.4299999999999997E-2</v>
      </c>
      <c r="I735" s="131">
        <f>'Rate Design Int &amp; Trans'!$H$162</f>
        <v>3.4299999999999997E-2</v>
      </c>
      <c r="J735" s="131">
        <f>'Rate Design Int &amp; Trans'!$H$162</f>
        <v>3.4299999999999997E-2</v>
      </c>
      <c r="K735" s="131">
        <f>'Rate Design Int &amp; Trans'!$H$162</f>
        <v>3.4299999999999997E-2</v>
      </c>
      <c r="L735" s="131">
        <f>'Rate Design Int &amp; Trans'!$H$162</f>
        <v>3.4299999999999997E-2</v>
      </c>
      <c r="M735" s="131">
        <f>'Rate Design Int &amp; Trans'!$H$162</f>
        <v>3.4299999999999997E-2</v>
      </c>
      <c r="N735" s="131">
        <f>'Rate Design Int &amp; Trans'!$H$162</f>
        <v>3.4299999999999997E-2</v>
      </c>
      <c r="O735" s="131">
        <f>'Rate Design Int &amp; Trans'!$H$162</f>
        <v>3.4299999999999997E-2</v>
      </c>
      <c r="P735" s="131">
        <f>'Rate Design Int &amp; Trans'!$H$162</f>
        <v>3.4299999999999997E-2</v>
      </c>
      <c r="Q735" s="131">
        <f>'Rate Design Int &amp; Trans'!$H$162</f>
        <v>3.4299999999999997E-2</v>
      </c>
      <c r="S735" s="31"/>
    </row>
    <row r="736" spans="1:19" s="30" customFormat="1" x14ac:dyDescent="0.2">
      <c r="C736" s="30" t="s">
        <v>64</v>
      </c>
      <c r="D736" s="47" t="s">
        <v>232</v>
      </c>
      <c r="E736" s="30" t="s">
        <v>6</v>
      </c>
      <c r="F736" s="131">
        <f>'Rate Design Int &amp; Trans'!$H$163</f>
        <v>2.4680000000000001E-2</v>
      </c>
      <c r="G736" s="131">
        <f>'Rate Design Int &amp; Trans'!$H$163</f>
        <v>2.4680000000000001E-2</v>
      </c>
      <c r="H736" s="131">
        <f>'Rate Design Int &amp; Trans'!$H$163</f>
        <v>2.4680000000000001E-2</v>
      </c>
      <c r="I736" s="131">
        <f>'Rate Design Int &amp; Trans'!$H$163</f>
        <v>2.4680000000000001E-2</v>
      </c>
      <c r="J736" s="131">
        <f>'Rate Design Int &amp; Trans'!$H$163</f>
        <v>2.4680000000000001E-2</v>
      </c>
      <c r="K736" s="131">
        <f>'Rate Design Int &amp; Trans'!$H$163</f>
        <v>2.4680000000000001E-2</v>
      </c>
      <c r="L736" s="131">
        <f>'Rate Design Int &amp; Trans'!$H$163</f>
        <v>2.4680000000000001E-2</v>
      </c>
      <c r="M736" s="131">
        <f>'Rate Design Int &amp; Trans'!$H$163</f>
        <v>2.4680000000000001E-2</v>
      </c>
      <c r="N736" s="131">
        <f>'Rate Design Int &amp; Trans'!$H$163</f>
        <v>2.4680000000000001E-2</v>
      </c>
      <c r="O736" s="131">
        <f>'Rate Design Int &amp; Trans'!$H$163</f>
        <v>2.4680000000000001E-2</v>
      </c>
      <c r="P736" s="131">
        <f>'Rate Design Int &amp; Trans'!$H$163</f>
        <v>2.4680000000000001E-2</v>
      </c>
      <c r="Q736" s="131">
        <f>'Rate Design Int &amp; Trans'!$H$163</f>
        <v>2.4680000000000001E-2</v>
      </c>
      <c r="S736" s="31"/>
    </row>
    <row r="737" spans="1:19" s="30" customFormat="1" x14ac:dyDescent="0.2">
      <c r="C737" s="30" t="s">
        <v>65</v>
      </c>
      <c r="D737" s="47" t="s">
        <v>232</v>
      </c>
      <c r="E737" s="30" t="s">
        <v>6</v>
      </c>
      <c r="F737" s="131">
        <f>'Rate Design Int &amp; Trans'!$H$164</f>
        <v>1.9029999999999998E-2</v>
      </c>
      <c r="G737" s="131">
        <f>'Rate Design Int &amp; Trans'!$H$164</f>
        <v>1.9029999999999998E-2</v>
      </c>
      <c r="H737" s="131">
        <f>'Rate Design Int &amp; Trans'!$H$164</f>
        <v>1.9029999999999998E-2</v>
      </c>
      <c r="I737" s="131">
        <f>'Rate Design Int &amp; Trans'!$H$164</f>
        <v>1.9029999999999998E-2</v>
      </c>
      <c r="J737" s="131">
        <f>'Rate Design Int &amp; Trans'!$H$164</f>
        <v>1.9029999999999998E-2</v>
      </c>
      <c r="K737" s="131">
        <f>'Rate Design Int &amp; Trans'!$H$164</f>
        <v>1.9029999999999998E-2</v>
      </c>
      <c r="L737" s="131">
        <f>'Rate Design Int &amp; Trans'!$H$164</f>
        <v>1.9029999999999998E-2</v>
      </c>
      <c r="M737" s="131">
        <f>'Rate Design Int &amp; Trans'!$H$164</f>
        <v>1.9029999999999998E-2</v>
      </c>
      <c r="N737" s="131">
        <f>'Rate Design Int &amp; Trans'!$H$164</f>
        <v>1.9029999999999998E-2</v>
      </c>
      <c r="O737" s="131">
        <f>'Rate Design Int &amp; Trans'!$H$164</f>
        <v>1.9029999999999998E-2</v>
      </c>
      <c r="P737" s="131">
        <f>'Rate Design Int &amp; Trans'!$H$164</f>
        <v>1.9029999999999998E-2</v>
      </c>
      <c r="Q737" s="131">
        <f>'Rate Design Int &amp; Trans'!$H$164</f>
        <v>1.9029999999999998E-2</v>
      </c>
      <c r="S737" s="31"/>
    </row>
    <row r="738" spans="1:19" s="30" customFormat="1" x14ac:dyDescent="0.2">
      <c r="B738" s="30" t="s">
        <v>301</v>
      </c>
      <c r="D738" s="47" t="s">
        <v>232</v>
      </c>
      <c r="E738" s="30" t="s">
        <v>6</v>
      </c>
      <c r="F738" s="131">
        <f>'Rate Design Int &amp; Trans'!$H$167</f>
        <v>6.9999999999999999E-4</v>
      </c>
      <c r="G738" s="131">
        <f>'Rate Design Int &amp; Trans'!$H$167</f>
        <v>6.9999999999999999E-4</v>
      </c>
      <c r="H738" s="131">
        <f>'Rate Design Int &amp; Trans'!$H$167</f>
        <v>6.9999999999999999E-4</v>
      </c>
      <c r="I738" s="131">
        <f>'Rate Design Int &amp; Trans'!$H$167</f>
        <v>6.9999999999999999E-4</v>
      </c>
      <c r="J738" s="131">
        <f>'Rate Design Int &amp; Trans'!$H$167</f>
        <v>6.9999999999999999E-4</v>
      </c>
      <c r="K738" s="131">
        <f>'Rate Design Int &amp; Trans'!$H$167</f>
        <v>6.9999999999999999E-4</v>
      </c>
      <c r="L738" s="131">
        <f>'Rate Design Int &amp; Trans'!$H$167</f>
        <v>6.9999999999999999E-4</v>
      </c>
      <c r="M738" s="131">
        <f>'Rate Design Int &amp; Trans'!$H$167</f>
        <v>6.9999999999999999E-4</v>
      </c>
      <c r="N738" s="131">
        <f>'Rate Design Int &amp; Trans'!$H$167</f>
        <v>6.9999999999999999E-4</v>
      </c>
      <c r="O738" s="131">
        <f>'Rate Design Int &amp; Trans'!$H$167</f>
        <v>6.9999999999999999E-4</v>
      </c>
      <c r="P738" s="131">
        <f>'Rate Design Int &amp; Trans'!$H$167</f>
        <v>6.9999999999999999E-4</v>
      </c>
      <c r="Q738" s="131">
        <f>'Rate Design Int &amp; Trans'!$H$167</f>
        <v>6.9999999999999999E-4</v>
      </c>
      <c r="S738" s="31"/>
    </row>
    <row r="739" spans="1:19" s="30" customFormat="1" x14ac:dyDescent="0.2">
      <c r="B739" s="30" t="s">
        <v>550</v>
      </c>
      <c r="D739" s="47">
        <v>149</v>
      </c>
      <c r="E739" s="30" t="s">
        <v>6</v>
      </c>
      <c r="F739" s="772">
        <f>F628</f>
        <v>2.0200000000000001E-3</v>
      </c>
      <c r="G739" s="772">
        <f t="shared" ref="G739:Q739" si="482">G628</f>
        <v>2.0200000000000001E-3</v>
      </c>
      <c r="H739" s="772">
        <f t="shared" si="482"/>
        <v>2.0200000000000001E-3</v>
      </c>
      <c r="I739" s="772">
        <f t="shared" si="482"/>
        <v>2.0200000000000001E-3</v>
      </c>
      <c r="J739" s="772">
        <f t="shared" si="482"/>
        <v>2.0200000000000001E-3</v>
      </c>
      <c r="K739" s="772">
        <f t="shared" si="482"/>
        <v>2.0200000000000001E-3</v>
      </c>
      <c r="L739" s="772">
        <f t="shared" si="482"/>
        <v>2.0200000000000001E-3</v>
      </c>
      <c r="M739" s="772">
        <f t="shared" si="482"/>
        <v>2.0200000000000001E-3</v>
      </c>
      <c r="N739" s="772">
        <f t="shared" si="482"/>
        <v>2.0200000000000001E-3</v>
      </c>
      <c r="O739" s="772">
        <f t="shared" si="482"/>
        <v>2.0200000000000001E-3</v>
      </c>
      <c r="P739" s="772">
        <f t="shared" si="482"/>
        <v>2.0200000000000001E-3</v>
      </c>
      <c r="Q739" s="772">
        <f t="shared" si="482"/>
        <v>2.0200000000000001E-3</v>
      </c>
      <c r="S739" s="31"/>
    </row>
    <row r="740" spans="1:19" s="30" customFormat="1" x14ac:dyDescent="0.2">
      <c r="B740" s="30" t="s">
        <v>19</v>
      </c>
      <c r="D740" s="30">
        <v>101</v>
      </c>
      <c r="E740" s="30" t="s">
        <v>6</v>
      </c>
      <c r="F740" s="130">
        <f>'Rate Design Int &amp; Trans'!$H$155</f>
        <v>1.38</v>
      </c>
      <c r="G740" s="130">
        <f>'Rate Design Int &amp; Trans'!$H$155</f>
        <v>1.38</v>
      </c>
      <c r="H740" s="130">
        <f>'Rate Design Int &amp; Trans'!$H$155</f>
        <v>1.38</v>
      </c>
      <c r="I740" s="130">
        <f>'Rate Design Int &amp; Trans'!$H$155</f>
        <v>1.38</v>
      </c>
      <c r="J740" s="130">
        <f>'Rate Design Int &amp; Trans'!$H$155</f>
        <v>1.38</v>
      </c>
      <c r="K740" s="130">
        <f>'Rate Design Int &amp; Trans'!$H$155</f>
        <v>1.38</v>
      </c>
      <c r="L740" s="130">
        <f>'Rate Design Int &amp; Trans'!$H$155</f>
        <v>1.38</v>
      </c>
      <c r="M740" s="130">
        <f>'Rate Design Int &amp; Trans'!$H$155</f>
        <v>1.38</v>
      </c>
      <c r="N740" s="130">
        <f>'Rate Design Int &amp; Trans'!$H$155</f>
        <v>1.38</v>
      </c>
      <c r="O740" s="130">
        <f>'Rate Design Int &amp; Trans'!$H$155</f>
        <v>1.38</v>
      </c>
      <c r="P740" s="130">
        <f>'Rate Design Int &amp; Trans'!$H$155</f>
        <v>1.38</v>
      </c>
      <c r="Q740" s="130">
        <f>'Rate Design Int &amp; Trans'!$H$155</f>
        <v>1.38</v>
      </c>
      <c r="S740" s="31"/>
    </row>
    <row r="741" spans="1:19" s="30" customFormat="1" x14ac:dyDescent="0.2">
      <c r="B741" s="30" t="s">
        <v>21</v>
      </c>
      <c r="D741" s="47" t="s">
        <v>232</v>
      </c>
      <c r="E741" s="30" t="s">
        <v>22</v>
      </c>
      <c r="F741" s="48"/>
      <c r="G741" s="48"/>
      <c r="H741" s="48"/>
      <c r="I741" s="48"/>
      <c r="J741" s="48"/>
      <c r="K741" s="48"/>
      <c r="L741" s="48"/>
      <c r="M741" s="48"/>
      <c r="N741" s="48"/>
      <c r="O741" s="48"/>
      <c r="P741" s="48"/>
      <c r="Q741" s="48"/>
      <c r="S741" s="31"/>
    </row>
    <row r="742" spans="1:19" s="30" customFormat="1" x14ac:dyDescent="0.2">
      <c r="S742" s="31"/>
    </row>
    <row r="743" spans="1:19" s="30" customFormat="1" x14ac:dyDescent="0.2">
      <c r="A743"/>
      <c r="B743" s="15" t="s">
        <v>8</v>
      </c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 s="31"/>
    </row>
    <row r="744" spans="1:19" s="30" customFormat="1" x14ac:dyDescent="0.2">
      <c r="A744"/>
      <c r="B744" t="s">
        <v>22</v>
      </c>
      <c r="C744"/>
      <c r="D744" s="47" t="s">
        <v>232</v>
      </c>
      <c r="E744" t="s">
        <v>22</v>
      </c>
      <c r="F744" s="64">
        <f>'(R) Data'!C32</f>
        <v>2.9999999999999996</v>
      </c>
      <c r="G744" s="64">
        <f>'(R) Data'!D32</f>
        <v>2.9999999999999996</v>
      </c>
      <c r="H744" s="64">
        <f>'(R) Data'!E32</f>
        <v>2.9999999999999996</v>
      </c>
      <c r="I744" s="64">
        <f>'(R) Data'!F32</f>
        <v>2.9999999999999996</v>
      </c>
      <c r="J744" s="64">
        <f>'(R) Data'!G32</f>
        <v>2.9999999999999996</v>
      </c>
      <c r="K744" s="64">
        <f>'(R) Data'!H32</f>
        <v>3.0000127913274506</v>
      </c>
      <c r="L744" s="64">
        <f>'(R) Data'!I32</f>
        <v>3</v>
      </c>
      <c r="M744" s="64">
        <f>'(R) Data'!J32</f>
        <v>3</v>
      </c>
      <c r="N744" s="64">
        <f>'(R) Data'!K32</f>
        <v>3</v>
      </c>
      <c r="O744" s="64">
        <f>'(R) Data'!L32</f>
        <v>3</v>
      </c>
      <c r="P744" s="64">
        <f>'(R) Data'!M32</f>
        <v>2.9999999999999996</v>
      </c>
      <c r="Q744" s="64">
        <f>'(R) Data'!N32</f>
        <v>2.9999999999999996</v>
      </c>
      <c r="R744" s="22">
        <f>SUM(F744:Q744)</f>
        <v>36.00001279132745</v>
      </c>
      <c r="S744" s="31"/>
    </row>
    <row r="745" spans="1:19" s="30" customFormat="1" x14ac:dyDescent="0.2">
      <c r="B745" s="30" t="s">
        <v>30</v>
      </c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22"/>
      <c r="S745" s="31"/>
    </row>
    <row r="746" spans="1:19" s="30" customFormat="1" x14ac:dyDescent="0.2">
      <c r="C746" s="30" t="s">
        <v>56</v>
      </c>
      <c r="D746" s="47" t="s">
        <v>232</v>
      </c>
      <c r="E746" s="30" t="s">
        <v>10</v>
      </c>
      <c r="F746" s="161">
        <f>'(R) Therms By Block'!B102</f>
        <v>75000</v>
      </c>
      <c r="G746" s="170">
        <f>'(R) Therms By Block'!C102</f>
        <v>75000</v>
      </c>
      <c r="H746" s="170">
        <f>'(R) Therms By Block'!D102</f>
        <v>75000</v>
      </c>
      <c r="I746" s="170">
        <f>'(R) Therms By Block'!E102</f>
        <v>75000</v>
      </c>
      <c r="J746" s="170">
        <f>'(R) Therms By Block'!F102</f>
        <v>75000</v>
      </c>
      <c r="K746" s="170">
        <f>'(R) Therms By Block'!G102</f>
        <v>75000</v>
      </c>
      <c r="L746" s="170">
        <f>'(R) Therms By Block'!H102</f>
        <v>75000</v>
      </c>
      <c r="M746" s="170">
        <f>'(R) Therms By Block'!I102</f>
        <v>75000</v>
      </c>
      <c r="N746" s="170">
        <f>'(R) Therms By Block'!J102</f>
        <v>75000</v>
      </c>
      <c r="O746" s="170">
        <f>'(R) Therms By Block'!K102</f>
        <v>75000</v>
      </c>
      <c r="P746" s="170">
        <f>'(R) Therms By Block'!L102</f>
        <v>75000</v>
      </c>
      <c r="Q746" s="170">
        <f>'(R) Therms By Block'!M102</f>
        <v>75000</v>
      </c>
      <c r="R746" s="22">
        <f t="shared" ref="R746:R751" si="483">SUM(F746:Q746)</f>
        <v>900000</v>
      </c>
      <c r="S746" s="31"/>
    </row>
    <row r="747" spans="1:19" s="30" customFormat="1" x14ac:dyDescent="0.2">
      <c r="C747" s="30" t="s">
        <v>57</v>
      </c>
      <c r="D747" s="47" t="s">
        <v>232</v>
      </c>
      <c r="E747" s="30" t="s">
        <v>10</v>
      </c>
      <c r="F747" s="170">
        <f>'(R) Therms By Block'!B103</f>
        <v>75000</v>
      </c>
      <c r="G747" s="170">
        <f>'(R) Therms By Block'!C103</f>
        <v>75000</v>
      </c>
      <c r="H747" s="170">
        <f>'(R) Therms By Block'!D103</f>
        <v>75000</v>
      </c>
      <c r="I747" s="170">
        <f>'(R) Therms By Block'!E103</f>
        <v>75000</v>
      </c>
      <c r="J747" s="170">
        <f>'(R) Therms By Block'!F103</f>
        <v>75000</v>
      </c>
      <c r="K747" s="170">
        <f>'(R) Therms By Block'!G103</f>
        <v>75000</v>
      </c>
      <c r="L747" s="170">
        <f>'(R) Therms By Block'!H103</f>
        <v>75000</v>
      </c>
      <c r="M747" s="170">
        <f>'(R) Therms By Block'!I103</f>
        <v>75000</v>
      </c>
      <c r="N747" s="170">
        <f>'(R) Therms By Block'!J103</f>
        <v>75000</v>
      </c>
      <c r="O747" s="170">
        <f>'(R) Therms By Block'!K103</f>
        <v>75000</v>
      </c>
      <c r="P747" s="170">
        <f>'(R) Therms By Block'!L103</f>
        <v>75000</v>
      </c>
      <c r="Q747" s="170">
        <f>'(R) Therms By Block'!M103</f>
        <v>75000</v>
      </c>
      <c r="R747" s="22">
        <f t="shared" si="483"/>
        <v>900000</v>
      </c>
      <c r="S747" s="31"/>
    </row>
    <row r="748" spans="1:19" s="30" customFormat="1" x14ac:dyDescent="0.2">
      <c r="C748" s="30" t="s">
        <v>62</v>
      </c>
      <c r="D748" s="47" t="s">
        <v>232</v>
      </c>
      <c r="E748" s="30" t="s">
        <v>10</v>
      </c>
      <c r="F748" s="170">
        <f>'(R) Therms By Block'!B104</f>
        <v>150000</v>
      </c>
      <c r="G748" s="170">
        <f>'(R) Therms By Block'!C104</f>
        <v>150000</v>
      </c>
      <c r="H748" s="170">
        <f>'(R) Therms By Block'!D104</f>
        <v>150000</v>
      </c>
      <c r="I748" s="170">
        <f>'(R) Therms By Block'!E104</f>
        <v>150000</v>
      </c>
      <c r="J748" s="170">
        <f>'(R) Therms By Block'!F104</f>
        <v>150000</v>
      </c>
      <c r="K748" s="170">
        <f>'(R) Therms By Block'!G104</f>
        <v>150000</v>
      </c>
      <c r="L748" s="170">
        <f>'(R) Therms By Block'!H104</f>
        <v>150000</v>
      </c>
      <c r="M748" s="170">
        <f>'(R) Therms By Block'!I104</f>
        <v>150000</v>
      </c>
      <c r="N748" s="170">
        <f>'(R) Therms By Block'!J104</f>
        <v>150000</v>
      </c>
      <c r="O748" s="170">
        <f>'(R) Therms By Block'!K104</f>
        <v>150000</v>
      </c>
      <c r="P748" s="170">
        <f>'(R) Therms By Block'!L104</f>
        <v>150000</v>
      </c>
      <c r="Q748" s="170">
        <f>'(R) Therms By Block'!M104</f>
        <v>150000</v>
      </c>
      <c r="R748" s="22">
        <f t="shared" si="483"/>
        <v>1800000</v>
      </c>
      <c r="S748" s="31"/>
    </row>
    <row r="749" spans="1:19" s="30" customFormat="1" x14ac:dyDescent="0.2">
      <c r="C749" s="30" t="s">
        <v>63</v>
      </c>
      <c r="D749" s="47" t="s">
        <v>232</v>
      </c>
      <c r="E749" s="30" t="s">
        <v>10</v>
      </c>
      <c r="F749" s="170">
        <f>'(R) Therms By Block'!B105</f>
        <v>244453.73</v>
      </c>
      <c r="G749" s="170">
        <f>'(R) Therms By Block'!C105</f>
        <v>234340.93</v>
      </c>
      <c r="H749" s="170">
        <f>'(R) Therms By Block'!D105</f>
        <v>257608.69</v>
      </c>
      <c r="I749" s="170">
        <f>'(R) Therms By Block'!E105</f>
        <v>300000</v>
      </c>
      <c r="J749" s="170">
        <f>'(R) Therms By Block'!F105</f>
        <v>300000</v>
      </c>
      <c r="K749" s="170">
        <f>'(R) Therms By Block'!G105</f>
        <v>288420.19</v>
      </c>
      <c r="L749" s="170">
        <f>'(R) Therms By Block'!H105</f>
        <v>300000</v>
      </c>
      <c r="M749" s="170">
        <f>'(R) Therms By Block'!I105</f>
        <v>285133.58</v>
      </c>
      <c r="N749" s="170">
        <f>'(R) Therms By Block'!J105</f>
        <v>300000</v>
      </c>
      <c r="O749" s="170">
        <f>'(R) Therms By Block'!K105</f>
        <v>298043.53000000003</v>
      </c>
      <c r="P749" s="170">
        <f>'(R) Therms By Block'!L105</f>
        <v>296265.65999999997</v>
      </c>
      <c r="Q749" s="170">
        <f>'(R) Therms By Block'!M105</f>
        <v>273725.57</v>
      </c>
      <c r="R749" s="22">
        <f t="shared" si="483"/>
        <v>3377991.8800000004</v>
      </c>
      <c r="S749" s="31"/>
    </row>
    <row r="750" spans="1:19" x14ac:dyDescent="0.2">
      <c r="A750" s="30"/>
      <c r="B750" s="30"/>
      <c r="C750" s="30" t="s">
        <v>64</v>
      </c>
      <c r="D750" s="47" t="s">
        <v>232</v>
      </c>
      <c r="E750" s="30" t="s">
        <v>10</v>
      </c>
      <c r="F750" s="170">
        <f>'(R) Therms By Block'!B106</f>
        <v>300000</v>
      </c>
      <c r="G750" s="170">
        <f>'(R) Therms By Block'!C106</f>
        <v>316042.11</v>
      </c>
      <c r="H750" s="170">
        <f>'(R) Therms By Block'!D106</f>
        <v>300786.53999999998</v>
      </c>
      <c r="I750" s="170">
        <f>'(R) Therms By Block'!E106</f>
        <v>338474.39</v>
      </c>
      <c r="J750" s="170">
        <f>'(R) Therms By Block'!F106</f>
        <v>379525.37</v>
      </c>
      <c r="K750" s="170">
        <f>'(R) Therms By Block'!G106</f>
        <v>441377.2</v>
      </c>
      <c r="L750" s="170">
        <f>'(R) Therms By Block'!H106</f>
        <v>400382.23</v>
      </c>
      <c r="M750" s="170">
        <f>'(R) Therms By Block'!I106</f>
        <v>416073.24</v>
      </c>
      <c r="N750" s="170">
        <f>'(R) Therms By Block'!J106</f>
        <v>403591.12</v>
      </c>
      <c r="O750" s="170">
        <f>'(R) Therms By Block'!K106</f>
        <v>353892.31</v>
      </c>
      <c r="P750" s="170">
        <f>'(R) Therms By Block'!L106</f>
        <v>308957.49</v>
      </c>
      <c r="Q750" s="170">
        <f>'(R) Therms By Block'!M106</f>
        <v>305164.2</v>
      </c>
      <c r="R750" s="22">
        <f t="shared" si="483"/>
        <v>4264266.2</v>
      </c>
      <c r="S750" s="31"/>
    </row>
    <row r="751" spans="1:19" x14ac:dyDescent="0.2">
      <c r="A751" s="30"/>
      <c r="B751" s="30"/>
      <c r="C751" s="30" t="s">
        <v>65</v>
      </c>
      <c r="D751" s="47" t="s">
        <v>232</v>
      </c>
      <c r="E751" s="30" t="s">
        <v>10</v>
      </c>
      <c r="F751" s="107">
        <f t="shared" ref="F751:N751" si="484">F752-SUM(F746:F750)</f>
        <v>239677.47999999998</v>
      </c>
      <c r="G751" s="107">
        <f t="shared" si="484"/>
        <v>225878.71000000008</v>
      </c>
      <c r="H751" s="107">
        <f t="shared" si="484"/>
        <v>245931.93999999994</v>
      </c>
      <c r="I751" s="107">
        <f t="shared" si="484"/>
        <v>553542.63</v>
      </c>
      <c r="J751" s="107">
        <f t="shared" si="484"/>
        <v>864729.69000000006</v>
      </c>
      <c r="K751" s="107">
        <f t="shared" si="484"/>
        <v>1047081.2500000002</v>
      </c>
      <c r="L751" s="107">
        <f t="shared" si="484"/>
        <v>1118934.6400000001</v>
      </c>
      <c r="M751" s="107">
        <f t="shared" si="484"/>
        <v>869902.13000000012</v>
      </c>
      <c r="N751" s="107">
        <f t="shared" si="484"/>
        <v>856600.52999999991</v>
      </c>
      <c r="O751" s="107">
        <f t="shared" ref="O751:Q751" si="485">O752-SUM(O746:O750)</f>
        <v>685076.04</v>
      </c>
      <c r="P751" s="107">
        <f t="shared" si="485"/>
        <v>483052.69999999995</v>
      </c>
      <c r="Q751" s="107">
        <f t="shared" si="485"/>
        <v>314098.17999999993</v>
      </c>
      <c r="R751" s="22">
        <f t="shared" si="483"/>
        <v>7504505.9199999999</v>
      </c>
      <c r="S751" s="31"/>
    </row>
    <row r="752" spans="1:19" x14ac:dyDescent="0.2">
      <c r="A752" s="30"/>
      <c r="B752" s="30"/>
      <c r="C752" s="30" t="s">
        <v>17</v>
      </c>
      <c r="D752" s="47" t="s">
        <v>232</v>
      </c>
      <c r="E752" s="30" t="s">
        <v>10</v>
      </c>
      <c r="F752" s="111">
        <f>'Weather Adj'!D175</f>
        <v>1084131.21</v>
      </c>
      <c r="G752" s="111">
        <f>'Weather Adj'!E175</f>
        <v>1076261.75</v>
      </c>
      <c r="H752" s="111">
        <f>'Weather Adj'!F175</f>
        <v>1104327.17</v>
      </c>
      <c r="I752" s="111">
        <f>'Weather Adj'!G175</f>
        <v>1492017.02</v>
      </c>
      <c r="J752" s="111">
        <f>'Weather Adj'!H175</f>
        <v>1844255.06</v>
      </c>
      <c r="K752" s="111">
        <f>'Weather Adj'!I175</f>
        <v>2076878.6400000001</v>
      </c>
      <c r="L752" s="111">
        <f>'Weather Adj'!J175</f>
        <v>2119316.87</v>
      </c>
      <c r="M752" s="111">
        <f>'Weather Adj'!K175</f>
        <v>1871108.9500000002</v>
      </c>
      <c r="N752" s="111">
        <f>'Weather Adj'!L175</f>
        <v>1860191.65</v>
      </c>
      <c r="O752" s="111">
        <f>'Weather Adj'!M175</f>
        <v>1637011.8800000001</v>
      </c>
      <c r="P752" s="111">
        <f>'Weather Adj'!N175</f>
        <v>1388275.8499999999</v>
      </c>
      <c r="Q752" s="111">
        <f>'Weather Adj'!O175</f>
        <v>1192987.95</v>
      </c>
      <c r="R752" s="109">
        <f>SUM(R746:R751)</f>
        <v>18746764</v>
      </c>
      <c r="S752" s="31"/>
    </row>
    <row r="753" spans="1:19" x14ac:dyDescent="0.2">
      <c r="A753" s="30"/>
      <c r="B753" s="30" t="s">
        <v>29</v>
      </c>
      <c r="C753" s="30"/>
      <c r="D753" s="47" t="s">
        <v>232</v>
      </c>
      <c r="E753" s="30" t="s">
        <v>100</v>
      </c>
      <c r="F753" s="72">
        <f>'(R) Data'!C52</f>
        <v>4</v>
      </c>
      <c r="G753" s="72">
        <f>'(R) Data'!D52</f>
        <v>4</v>
      </c>
      <c r="H753" s="72">
        <f>'(R) Data'!E52</f>
        <v>4</v>
      </c>
      <c r="I753" s="72">
        <f>'(R) Data'!F52</f>
        <v>4</v>
      </c>
      <c r="J753" s="72">
        <f>'(R) Data'!G52</f>
        <v>6</v>
      </c>
      <c r="K753" s="72">
        <f>'(R) Data'!H52</f>
        <v>6</v>
      </c>
      <c r="L753" s="72">
        <f>'(R) Data'!I52</f>
        <v>4</v>
      </c>
      <c r="M753" s="72">
        <f>'(R) Data'!J52</f>
        <v>4</v>
      </c>
      <c r="N753" s="72">
        <f>'(R) Data'!K52</f>
        <v>4</v>
      </c>
      <c r="O753" s="72">
        <f>'(R) Data'!L52</f>
        <v>4</v>
      </c>
      <c r="P753" s="72">
        <f>'(R) Data'!M52</f>
        <v>4</v>
      </c>
      <c r="Q753" s="72">
        <f>'(R) Data'!N52</f>
        <v>4</v>
      </c>
      <c r="R753" s="22">
        <f>SUM(F753:Q753)</f>
        <v>52</v>
      </c>
      <c r="S753" s="31"/>
    </row>
    <row r="754" spans="1:19" x14ac:dyDescent="0.2">
      <c r="A754" s="30"/>
      <c r="B754" s="30" t="s">
        <v>21</v>
      </c>
      <c r="C754" s="30"/>
      <c r="D754" s="30"/>
      <c r="E754" s="30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0"/>
      <c r="S754" s="31"/>
    </row>
    <row r="755" spans="1:19" x14ac:dyDescent="0.2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1"/>
    </row>
    <row r="756" spans="1:19" x14ac:dyDescent="0.2">
      <c r="A756" s="30"/>
      <c r="B756" s="29" t="s">
        <v>9</v>
      </c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1"/>
    </row>
    <row r="757" spans="1:19" s="30" customFormat="1" x14ac:dyDescent="0.2">
      <c r="A757" s="30" t="s">
        <v>147</v>
      </c>
      <c r="B757" s="30" t="s">
        <v>282</v>
      </c>
      <c r="D757" s="47" t="s">
        <v>232</v>
      </c>
      <c r="F757" s="34">
        <f t="shared" ref="F757:N757" si="486">F730*F744</f>
        <v>2675.49</v>
      </c>
      <c r="G757" s="34">
        <f t="shared" si="486"/>
        <v>2675.49</v>
      </c>
      <c r="H757" s="34">
        <f t="shared" si="486"/>
        <v>2675.49</v>
      </c>
      <c r="I757" s="34">
        <f t="shared" si="486"/>
        <v>2675.49</v>
      </c>
      <c r="J757" s="34">
        <f t="shared" si="486"/>
        <v>2675.49</v>
      </c>
      <c r="K757" s="34">
        <f t="shared" si="486"/>
        <v>2675.5014076895604</v>
      </c>
      <c r="L757" s="34">
        <f t="shared" si="486"/>
        <v>2675.4900000000002</v>
      </c>
      <c r="M757" s="34">
        <f t="shared" si="486"/>
        <v>2675.4900000000002</v>
      </c>
      <c r="N757" s="34">
        <f t="shared" si="486"/>
        <v>2675.4900000000002</v>
      </c>
      <c r="O757" s="34">
        <f t="shared" ref="O757:Q757" si="487">O730*O744</f>
        <v>2675.4900000000002</v>
      </c>
      <c r="P757" s="34">
        <f t="shared" si="487"/>
        <v>2675.49</v>
      </c>
      <c r="Q757" s="34">
        <f t="shared" si="487"/>
        <v>2675.49</v>
      </c>
      <c r="R757" s="34">
        <f>SUM(F757:Q757)</f>
        <v>32105.89140768956</v>
      </c>
      <c r="S757" s="31"/>
    </row>
    <row r="758" spans="1:19" x14ac:dyDescent="0.2">
      <c r="A758" s="30"/>
      <c r="B758" s="30" t="s">
        <v>3</v>
      </c>
      <c r="C758" s="30"/>
      <c r="D758" s="30"/>
      <c r="E758" s="30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1"/>
    </row>
    <row r="759" spans="1:19" x14ac:dyDescent="0.2">
      <c r="A759" s="30"/>
      <c r="B759" s="30"/>
      <c r="C759" s="30" t="s">
        <v>56</v>
      </c>
      <c r="D759" s="47" t="s">
        <v>232</v>
      </c>
      <c r="E759" s="30"/>
      <c r="F759" s="34">
        <f t="shared" ref="F759:N759" si="488">F732*F746</f>
        <v>10432.5</v>
      </c>
      <c r="G759" s="34">
        <f t="shared" si="488"/>
        <v>10432.5</v>
      </c>
      <c r="H759" s="34">
        <f t="shared" si="488"/>
        <v>10432.5</v>
      </c>
      <c r="I759" s="34">
        <f t="shared" si="488"/>
        <v>10432.5</v>
      </c>
      <c r="J759" s="34">
        <f t="shared" si="488"/>
        <v>10432.5</v>
      </c>
      <c r="K759" s="34">
        <f t="shared" si="488"/>
        <v>10432.5</v>
      </c>
      <c r="L759" s="34">
        <f t="shared" si="488"/>
        <v>10432.5</v>
      </c>
      <c r="M759" s="34">
        <f t="shared" si="488"/>
        <v>10432.5</v>
      </c>
      <c r="N759" s="34">
        <f t="shared" si="488"/>
        <v>10432.5</v>
      </c>
      <c r="O759" s="34">
        <f t="shared" ref="O759:Q759" si="489">O732*O746</f>
        <v>10432.5</v>
      </c>
      <c r="P759" s="34">
        <f t="shared" si="489"/>
        <v>10432.5</v>
      </c>
      <c r="Q759" s="34">
        <f t="shared" si="489"/>
        <v>10432.5</v>
      </c>
      <c r="R759" s="34">
        <f t="shared" ref="R759:R764" si="490">SUM(F759:Q759)</f>
        <v>125190</v>
      </c>
      <c r="S759" s="31"/>
    </row>
    <row r="760" spans="1:19" x14ac:dyDescent="0.2">
      <c r="A760" s="30"/>
      <c r="B760" s="30"/>
      <c r="C760" s="30" t="s">
        <v>57</v>
      </c>
      <c r="D760" s="47" t="s">
        <v>232</v>
      </c>
      <c r="E760" s="30"/>
      <c r="F760" s="34">
        <f t="shared" ref="F760:N760" si="491">F733*F747</f>
        <v>6304.5</v>
      </c>
      <c r="G760" s="34">
        <f t="shared" si="491"/>
        <v>6304.5</v>
      </c>
      <c r="H760" s="34">
        <f t="shared" si="491"/>
        <v>6304.5</v>
      </c>
      <c r="I760" s="34">
        <f t="shared" si="491"/>
        <v>6304.5</v>
      </c>
      <c r="J760" s="34">
        <f t="shared" si="491"/>
        <v>6304.5</v>
      </c>
      <c r="K760" s="34">
        <f t="shared" si="491"/>
        <v>6304.5</v>
      </c>
      <c r="L760" s="34">
        <f t="shared" si="491"/>
        <v>6304.5</v>
      </c>
      <c r="M760" s="34">
        <f t="shared" si="491"/>
        <v>6304.5</v>
      </c>
      <c r="N760" s="34">
        <f t="shared" si="491"/>
        <v>6304.5</v>
      </c>
      <c r="O760" s="34">
        <f t="shared" ref="O760:Q760" si="492">O733*O747</f>
        <v>6304.5</v>
      </c>
      <c r="P760" s="34">
        <f t="shared" si="492"/>
        <v>6304.5</v>
      </c>
      <c r="Q760" s="34">
        <f t="shared" si="492"/>
        <v>6304.5</v>
      </c>
      <c r="R760" s="34">
        <f t="shared" si="490"/>
        <v>75654</v>
      </c>
      <c r="S760" s="31"/>
    </row>
    <row r="761" spans="1:19" x14ac:dyDescent="0.2">
      <c r="A761" s="30"/>
      <c r="B761" s="30"/>
      <c r="C761" s="30" t="s">
        <v>62</v>
      </c>
      <c r="D761" s="47" t="s">
        <v>232</v>
      </c>
      <c r="E761" s="30"/>
      <c r="F761" s="34">
        <f t="shared" ref="F761:N761" si="493">F734*F748</f>
        <v>8023.5</v>
      </c>
      <c r="G761" s="34">
        <f t="shared" si="493"/>
        <v>8023.5</v>
      </c>
      <c r="H761" s="34">
        <f t="shared" si="493"/>
        <v>8023.5</v>
      </c>
      <c r="I761" s="34">
        <f t="shared" si="493"/>
        <v>8023.5</v>
      </c>
      <c r="J761" s="34">
        <f t="shared" si="493"/>
        <v>8023.5</v>
      </c>
      <c r="K761" s="34">
        <f t="shared" si="493"/>
        <v>8023.5</v>
      </c>
      <c r="L761" s="34">
        <f t="shared" si="493"/>
        <v>8023.5</v>
      </c>
      <c r="M761" s="34">
        <f t="shared" si="493"/>
        <v>8023.5</v>
      </c>
      <c r="N761" s="34">
        <f t="shared" si="493"/>
        <v>8023.5</v>
      </c>
      <c r="O761" s="34">
        <f t="shared" ref="O761:Q761" si="494">O734*O748</f>
        <v>8023.5</v>
      </c>
      <c r="P761" s="34">
        <f t="shared" si="494"/>
        <v>8023.5</v>
      </c>
      <c r="Q761" s="34">
        <f t="shared" si="494"/>
        <v>8023.5</v>
      </c>
      <c r="R761" s="34">
        <f t="shared" si="490"/>
        <v>96282</v>
      </c>
      <c r="S761" s="31"/>
    </row>
    <row r="762" spans="1:19" x14ac:dyDescent="0.2">
      <c r="C762" t="s">
        <v>63</v>
      </c>
      <c r="D762" s="47" t="s">
        <v>232</v>
      </c>
      <c r="F762" s="23">
        <f t="shared" ref="F762:N762" si="495">F735*F749</f>
        <v>8384.7629390000002</v>
      </c>
      <c r="G762" s="23">
        <f t="shared" si="495"/>
        <v>8037.8938989999988</v>
      </c>
      <c r="H762" s="23">
        <f t="shared" si="495"/>
        <v>8835.978067</v>
      </c>
      <c r="I762" s="23">
        <f t="shared" si="495"/>
        <v>10290</v>
      </c>
      <c r="J762" s="23">
        <f t="shared" si="495"/>
        <v>10290</v>
      </c>
      <c r="K762" s="23">
        <f t="shared" si="495"/>
        <v>9892.8125169999985</v>
      </c>
      <c r="L762" s="23">
        <f t="shared" si="495"/>
        <v>10290</v>
      </c>
      <c r="M762" s="23">
        <f t="shared" si="495"/>
        <v>9780.0817939999997</v>
      </c>
      <c r="N762" s="23">
        <f t="shared" si="495"/>
        <v>10290</v>
      </c>
      <c r="O762" s="23">
        <f t="shared" ref="O762:Q762" si="496">O735*O749</f>
        <v>10222.893078999999</v>
      </c>
      <c r="P762" s="23">
        <f t="shared" si="496"/>
        <v>10161.912137999998</v>
      </c>
      <c r="Q762" s="23">
        <f t="shared" si="496"/>
        <v>9388.7870509999993</v>
      </c>
      <c r="R762" s="23">
        <f t="shared" si="490"/>
        <v>115865.121484</v>
      </c>
      <c r="S762" s="31"/>
    </row>
    <row r="763" spans="1:19" x14ac:dyDescent="0.2">
      <c r="C763" t="s">
        <v>64</v>
      </c>
      <c r="D763" s="47" t="s">
        <v>232</v>
      </c>
      <c r="F763" s="23">
        <f t="shared" ref="F763:N763" si="497">F736*F750</f>
        <v>7404</v>
      </c>
      <c r="G763" s="23">
        <f t="shared" si="497"/>
        <v>7799.9192747999996</v>
      </c>
      <c r="H763" s="23">
        <f t="shared" si="497"/>
        <v>7423.4118071999992</v>
      </c>
      <c r="I763" s="23">
        <f t="shared" si="497"/>
        <v>8353.5479452</v>
      </c>
      <c r="J763" s="23">
        <f t="shared" si="497"/>
        <v>9366.6861315999995</v>
      </c>
      <c r="K763" s="23">
        <f t="shared" si="497"/>
        <v>10893.189296</v>
      </c>
      <c r="L763" s="23">
        <f t="shared" si="497"/>
        <v>9881.4334364000006</v>
      </c>
      <c r="M763" s="23">
        <f t="shared" si="497"/>
        <v>10268.687563199999</v>
      </c>
      <c r="N763" s="23">
        <f t="shared" si="497"/>
        <v>9960.6288416000007</v>
      </c>
      <c r="O763" s="23">
        <f t="shared" ref="O763:Q763" si="498">O736*O750</f>
        <v>8734.0622108000007</v>
      </c>
      <c r="P763" s="23">
        <f t="shared" si="498"/>
        <v>7625.0708531999999</v>
      </c>
      <c r="Q763" s="23">
        <f t="shared" si="498"/>
        <v>7531.4524560000009</v>
      </c>
      <c r="R763" s="23">
        <f t="shared" si="490"/>
        <v>105242.08981599999</v>
      </c>
      <c r="S763" s="31"/>
    </row>
    <row r="764" spans="1:19" x14ac:dyDescent="0.2">
      <c r="C764" t="s">
        <v>65</v>
      </c>
      <c r="D764" s="47" t="s">
        <v>232</v>
      </c>
      <c r="F764" s="23">
        <f t="shared" ref="F764:N764" si="499">F737*F751</f>
        <v>4561.0624443999995</v>
      </c>
      <c r="G764" s="23">
        <f t="shared" si="499"/>
        <v>4298.4718513000007</v>
      </c>
      <c r="H764" s="23">
        <f t="shared" si="499"/>
        <v>4680.0848181999982</v>
      </c>
      <c r="I764" s="23">
        <f t="shared" si="499"/>
        <v>10533.916248899999</v>
      </c>
      <c r="J764" s="23">
        <f t="shared" si="499"/>
        <v>16455.806000699999</v>
      </c>
      <c r="K764" s="23">
        <f t="shared" si="499"/>
        <v>19925.956187500004</v>
      </c>
      <c r="L764" s="23">
        <f t="shared" si="499"/>
        <v>21293.326199200001</v>
      </c>
      <c r="M764" s="23">
        <f t="shared" si="499"/>
        <v>16554.237533899999</v>
      </c>
      <c r="N764" s="23">
        <f t="shared" si="499"/>
        <v>16301.108085899998</v>
      </c>
      <c r="O764" s="23">
        <f t="shared" ref="O764:Q764" si="500">O737*O751</f>
        <v>13036.9970412</v>
      </c>
      <c r="P764" s="23">
        <f t="shared" si="500"/>
        <v>9192.4928809999983</v>
      </c>
      <c r="Q764" s="23">
        <f t="shared" si="500"/>
        <v>5977.2883653999979</v>
      </c>
      <c r="R764" s="23">
        <f t="shared" si="490"/>
        <v>142810.74765759998</v>
      </c>
      <c r="S764" s="31"/>
    </row>
    <row r="765" spans="1:19" x14ac:dyDescent="0.2">
      <c r="A765" t="s">
        <v>147</v>
      </c>
      <c r="C765" t="s">
        <v>26</v>
      </c>
      <c r="F765" s="24">
        <f t="shared" ref="F765:N765" si="501">SUM(F759:F764)</f>
        <v>45110.325383399999</v>
      </c>
      <c r="G765" s="24">
        <f t="shared" si="501"/>
        <v>44896.785025100005</v>
      </c>
      <c r="H765" s="24">
        <f t="shared" si="501"/>
        <v>45699.974692399999</v>
      </c>
      <c r="I765" s="24">
        <f t="shared" si="501"/>
        <v>53937.964194100001</v>
      </c>
      <c r="J765" s="24">
        <f t="shared" si="501"/>
        <v>60872.992132300002</v>
      </c>
      <c r="K765" s="24">
        <f t="shared" si="501"/>
        <v>65472.458000500003</v>
      </c>
      <c r="L765" s="24">
        <f t="shared" si="501"/>
        <v>66225.259635599999</v>
      </c>
      <c r="M765" s="24">
        <f t="shared" si="501"/>
        <v>61363.506891099998</v>
      </c>
      <c r="N765" s="24">
        <f t="shared" si="501"/>
        <v>61312.236927500002</v>
      </c>
      <c r="O765" s="24">
        <f t="shared" ref="O765:Q765" si="502">SUM(O759:O764)</f>
        <v>56754.452331000008</v>
      </c>
      <c r="P765" s="24">
        <f t="shared" si="502"/>
        <v>51739.975872199997</v>
      </c>
      <c r="Q765" s="24">
        <f t="shared" si="502"/>
        <v>47658.027872399995</v>
      </c>
      <c r="R765" s="24">
        <f>SUM(R759:R764)</f>
        <v>661043.95895759994</v>
      </c>
      <c r="S765" s="31"/>
    </row>
    <row r="766" spans="1:19" x14ac:dyDescent="0.2">
      <c r="A766" s="50" t="s">
        <v>130</v>
      </c>
      <c r="B766" s="30" t="s">
        <v>301</v>
      </c>
      <c r="C766" s="50"/>
      <c r="D766" s="121" t="s">
        <v>232</v>
      </c>
      <c r="E766" s="50"/>
      <c r="F766" s="40">
        <f t="shared" ref="F766:N766" si="503">F738*F752</f>
        <v>758.89184699999998</v>
      </c>
      <c r="G766" s="40">
        <f t="shared" si="503"/>
        <v>753.38322500000004</v>
      </c>
      <c r="H766" s="40">
        <f t="shared" si="503"/>
        <v>773.02901899999995</v>
      </c>
      <c r="I766" s="40">
        <f t="shared" si="503"/>
        <v>1044.411914</v>
      </c>
      <c r="J766" s="40">
        <f t="shared" si="503"/>
        <v>1290.9785420000001</v>
      </c>
      <c r="K766" s="40">
        <f t="shared" si="503"/>
        <v>1453.8150480000002</v>
      </c>
      <c r="L766" s="40">
        <f t="shared" si="503"/>
        <v>1483.5218090000001</v>
      </c>
      <c r="M766" s="40">
        <f t="shared" si="503"/>
        <v>1309.7762650000002</v>
      </c>
      <c r="N766" s="40">
        <f t="shared" si="503"/>
        <v>1302.134155</v>
      </c>
      <c r="O766" s="40">
        <f t="shared" ref="O766:Q766" si="504">O738*O752</f>
        <v>1145.908316</v>
      </c>
      <c r="P766" s="40">
        <f t="shared" si="504"/>
        <v>971.79309499999988</v>
      </c>
      <c r="Q766" s="40">
        <f t="shared" si="504"/>
        <v>835.09156499999995</v>
      </c>
      <c r="R766" s="40">
        <f>SUM(F766:Q766)</f>
        <v>13122.734799999998</v>
      </c>
      <c r="S766" s="31"/>
    </row>
    <row r="767" spans="1:19" x14ac:dyDescent="0.2">
      <c r="A767" s="50" t="s">
        <v>551</v>
      </c>
      <c r="B767" s="30" t="s">
        <v>552</v>
      </c>
      <c r="C767" s="50"/>
      <c r="D767" s="121">
        <v>149</v>
      </c>
      <c r="E767" s="50"/>
      <c r="F767" s="40">
        <f>F739*F752</f>
        <v>2189.9450442000002</v>
      </c>
      <c r="G767" s="40">
        <f t="shared" ref="G767:Q767" si="505">G739*G752</f>
        <v>2174.0487350000003</v>
      </c>
      <c r="H767" s="40">
        <f t="shared" si="505"/>
        <v>2230.7408833999998</v>
      </c>
      <c r="I767" s="40">
        <f t="shared" si="505"/>
        <v>3013.8743804000001</v>
      </c>
      <c r="J767" s="40">
        <f t="shared" si="505"/>
        <v>3725.3952212000004</v>
      </c>
      <c r="K767" s="40">
        <f t="shared" si="505"/>
        <v>4195.2948528000006</v>
      </c>
      <c r="L767" s="40">
        <f t="shared" si="505"/>
        <v>4281.0200774000004</v>
      </c>
      <c r="M767" s="40">
        <f t="shared" si="505"/>
        <v>3779.6400790000007</v>
      </c>
      <c r="N767" s="40">
        <f t="shared" si="505"/>
        <v>3757.587133</v>
      </c>
      <c r="O767" s="40">
        <f t="shared" si="505"/>
        <v>3306.7639976000005</v>
      </c>
      <c r="P767" s="40">
        <f t="shared" si="505"/>
        <v>2804.3172169999998</v>
      </c>
      <c r="Q767" s="40">
        <f t="shared" si="505"/>
        <v>2409.8356589999999</v>
      </c>
      <c r="R767" s="40">
        <f>SUM(F767:Q767)</f>
        <v>37868.463280000004</v>
      </c>
      <c r="S767" s="31"/>
    </row>
    <row r="768" spans="1:19" x14ac:dyDescent="0.2">
      <c r="A768" t="s">
        <v>147</v>
      </c>
      <c r="B768" t="s">
        <v>19</v>
      </c>
      <c r="D768" s="47" t="s">
        <v>232</v>
      </c>
      <c r="F768" s="23">
        <f t="shared" ref="F768:N768" si="506">F740*F753</f>
        <v>5.52</v>
      </c>
      <c r="G768" s="23">
        <f t="shared" si="506"/>
        <v>5.52</v>
      </c>
      <c r="H768" s="23">
        <f t="shared" si="506"/>
        <v>5.52</v>
      </c>
      <c r="I768" s="23">
        <f t="shared" si="506"/>
        <v>5.52</v>
      </c>
      <c r="J768" s="23">
        <f t="shared" si="506"/>
        <v>8.2799999999999994</v>
      </c>
      <c r="K768" s="23">
        <f t="shared" si="506"/>
        <v>8.2799999999999994</v>
      </c>
      <c r="L768" s="23">
        <f t="shared" si="506"/>
        <v>5.52</v>
      </c>
      <c r="M768" s="23">
        <f t="shared" si="506"/>
        <v>5.52</v>
      </c>
      <c r="N768" s="23">
        <f t="shared" si="506"/>
        <v>5.52</v>
      </c>
      <c r="O768" s="23">
        <f t="shared" ref="O768:Q768" si="507">O740*O753</f>
        <v>5.52</v>
      </c>
      <c r="P768" s="23">
        <f t="shared" si="507"/>
        <v>5.52</v>
      </c>
      <c r="Q768" s="23">
        <f t="shared" si="507"/>
        <v>5.52</v>
      </c>
      <c r="R768" s="23">
        <f>SUM(F768:Q768)</f>
        <v>71.759999999999977</v>
      </c>
      <c r="S768" s="31"/>
    </row>
    <row r="769" spans="1:19" x14ac:dyDescent="0.2">
      <c r="A769" s="30" t="s">
        <v>147</v>
      </c>
      <c r="B769" s="30" t="s">
        <v>21</v>
      </c>
      <c r="C769" s="30"/>
      <c r="D769" s="47" t="s">
        <v>232</v>
      </c>
      <c r="E769" s="30"/>
      <c r="F769" s="74">
        <f>'(R) Data'!C67</f>
        <v>0</v>
      </c>
      <c r="G769" s="74">
        <f>'(R) Data'!D67</f>
        <v>0</v>
      </c>
      <c r="H769" s="74">
        <f>'(R) Data'!E67</f>
        <v>0</v>
      </c>
      <c r="I769" s="74">
        <f>'(R) Data'!F67</f>
        <v>0</v>
      </c>
      <c r="J769" s="74">
        <f>'(R) Data'!G67</f>
        <v>0</v>
      </c>
      <c r="K769" s="74">
        <f>'(R) Data'!H67</f>
        <v>0</v>
      </c>
      <c r="L769" s="74">
        <f>'(R) Data'!I67</f>
        <v>0</v>
      </c>
      <c r="M769" s="74">
        <f>'(R) Data'!J67</f>
        <v>0</v>
      </c>
      <c r="N769" s="74">
        <f>'(R) Data'!K67</f>
        <v>0</v>
      </c>
      <c r="O769" s="74">
        <f>'(R) Data'!L67</f>
        <v>0</v>
      </c>
      <c r="P769" s="74">
        <f>'(R) Data'!M67</f>
        <v>0</v>
      </c>
      <c r="Q769" s="74">
        <f>'(R) Data'!N67</f>
        <v>0</v>
      </c>
      <c r="R769" s="70">
        <f>SUM(F769:Q769)</f>
        <v>0</v>
      </c>
      <c r="S769" s="31"/>
    </row>
    <row r="770" spans="1:19" x14ac:dyDescent="0.2">
      <c r="A770" s="30"/>
      <c r="B770" s="30" t="s">
        <v>24</v>
      </c>
      <c r="C770" s="30"/>
      <c r="D770" s="30"/>
      <c r="E770" s="30"/>
      <c r="F770" s="35">
        <f>F757+F765+F766+F767+F768+F769</f>
        <v>50740.172274599994</v>
      </c>
      <c r="G770" s="35">
        <f t="shared" ref="G770:R770" si="508">G757+G765+G766+G767+G768+G769</f>
        <v>50505.226985099995</v>
      </c>
      <c r="H770" s="35">
        <f t="shared" si="508"/>
        <v>51384.754594799997</v>
      </c>
      <c r="I770" s="35">
        <f t="shared" si="508"/>
        <v>60677.260488499989</v>
      </c>
      <c r="J770" s="35">
        <f t="shared" si="508"/>
        <v>68573.135895499989</v>
      </c>
      <c r="K770" s="35">
        <f t="shared" si="508"/>
        <v>73805.349308989564</v>
      </c>
      <c r="L770" s="35">
        <f t="shared" si="508"/>
        <v>74670.811522000004</v>
      </c>
      <c r="M770" s="35">
        <f t="shared" si="508"/>
        <v>69133.933235100005</v>
      </c>
      <c r="N770" s="35">
        <f t="shared" si="508"/>
        <v>69052.968215500005</v>
      </c>
      <c r="O770" s="35">
        <f t="shared" si="508"/>
        <v>63888.134644600003</v>
      </c>
      <c r="P770" s="35">
        <f t="shared" si="508"/>
        <v>58197.096184199989</v>
      </c>
      <c r="Q770" s="35">
        <f t="shared" si="508"/>
        <v>53583.965096399988</v>
      </c>
      <c r="R770" s="35">
        <f t="shared" si="508"/>
        <v>744212.8084452895</v>
      </c>
      <c r="S770" s="31"/>
    </row>
    <row r="771" spans="1:19" x14ac:dyDescent="0.2">
      <c r="F771" s="50"/>
      <c r="G771" s="50"/>
      <c r="S771" s="31"/>
    </row>
    <row r="772" spans="1:19" x14ac:dyDescent="0.2">
      <c r="A772" t="s">
        <v>305</v>
      </c>
      <c r="B772" t="s">
        <v>304</v>
      </c>
      <c r="F772" s="40">
        <f t="shared" ref="F772:N772" si="509">F766</f>
        <v>758.89184699999998</v>
      </c>
      <c r="G772" s="40">
        <f t="shared" si="509"/>
        <v>753.38322500000004</v>
      </c>
      <c r="H772" s="40">
        <f t="shared" si="509"/>
        <v>773.02901899999995</v>
      </c>
      <c r="I772" s="40">
        <f t="shared" si="509"/>
        <v>1044.411914</v>
      </c>
      <c r="J772" s="40">
        <f t="shared" si="509"/>
        <v>1290.9785420000001</v>
      </c>
      <c r="K772" s="40">
        <f t="shared" si="509"/>
        <v>1453.8150480000002</v>
      </c>
      <c r="L772" s="40">
        <f t="shared" si="509"/>
        <v>1483.5218090000001</v>
      </c>
      <c r="M772" s="40">
        <f t="shared" si="509"/>
        <v>1309.7762650000002</v>
      </c>
      <c r="N772" s="40">
        <f t="shared" si="509"/>
        <v>1302.134155</v>
      </c>
      <c r="O772" s="40">
        <f t="shared" ref="O772:Q772" si="510">O766</f>
        <v>1145.908316</v>
      </c>
      <c r="P772" s="40">
        <f t="shared" si="510"/>
        <v>971.79309499999988</v>
      </c>
      <c r="Q772" s="40">
        <f t="shared" si="510"/>
        <v>835.09156499999995</v>
      </c>
      <c r="R772" s="23">
        <f>SUM(F772:Q772)</f>
        <v>13122.734799999998</v>
      </c>
      <c r="S772" s="31"/>
    </row>
    <row r="773" spans="1:19" x14ac:dyDescent="0.2">
      <c r="S773" s="31"/>
    </row>
    <row r="774" spans="1:19" x14ac:dyDescent="0.2">
      <c r="B774" s="15" t="s">
        <v>234</v>
      </c>
      <c r="C774" s="15"/>
      <c r="F774" s="50"/>
      <c r="G774" s="50"/>
      <c r="S774" s="31"/>
    </row>
    <row r="775" spans="1:19" x14ac:dyDescent="0.2">
      <c r="B775" s="15" t="s">
        <v>7</v>
      </c>
      <c r="C775" s="15"/>
      <c r="F775" s="50"/>
      <c r="G775" s="50"/>
      <c r="S775" s="31"/>
    </row>
    <row r="776" spans="1:19" x14ac:dyDescent="0.2">
      <c r="B776" t="s">
        <v>282</v>
      </c>
      <c r="D776" s="21" t="s">
        <v>232</v>
      </c>
      <c r="E776" t="s">
        <v>5</v>
      </c>
      <c r="F776" s="17">
        <f t="shared" ref="F776:Q776" si="511">F730</f>
        <v>891.83</v>
      </c>
      <c r="G776" s="17">
        <f t="shared" si="511"/>
        <v>891.83</v>
      </c>
      <c r="H776" s="17">
        <f t="shared" si="511"/>
        <v>891.83</v>
      </c>
      <c r="I776" s="17">
        <f t="shared" si="511"/>
        <v>891.83</v>
      </c>
      <c r="J776" s="113">
        <f t="shared" si="511"/>
        <v>891.83</v>
      </c>
      <c r="K776" s="113">
        <f t="shared" si="511"/>
        <v>891.83</v>
      </c>
      <c r="L776" s="113">
        <f t="shared" si="511"/>
        <v>891.83</v>
      </c>
      <c r="M776" s="113">
        <f t="shared" si="511"/>
        <v>891.83</v>
      </c>
      <c r="N776" s="113">
        <f t="shared" si="511"/>
        <v>891.83</v>
      </c>
      <c r="O776" s="113">
        <f t="shared" si="511"/>
        <v>891.83</v>
      </c>
      <c r="P776" s="113">
        <f t="shared" si="511"/>
        <v>891.83</v>
      </c>
      <c r="Q776" s="113">
        <f t="shared" si="511"/>
        <v>891.83</v>
      </c>
      <c r="S776" s="31"/>
    </row>
    <row r="777" spans="1:19" x14ac:dyDescent="0.2">
      <c r="B777" t="s">
        <v>3</v>
      </c>
      <c r="F777" s="18"/>
      <c r="G777" s="18"/>
      <c r="H777" s="18"/>
      <c r="I777" s="18"/>
      <c r="J777" s="103"/>
      <c r="K777" s="103"/>
      <c r="L777" s="103"/>
      <c r="M777" s="103"/>
      <c r="N777" s="103"/>
      <c r="O777" s="103"/>
      <c r="P777" s="103"/>
      <c r="Q777" s="103"/>
      <c r="S777" s="31"/>
    </row>
    <row r="778" spans="1:19" x14ac:dyDescent="0.2">
      <c r="C778" t="s">
        <v>56</v>
      </c>
      <c r="D778" s="21" t="s">
        <v>232</v>
      </c>
      <c r="E778" t="s">
        <v>6</v>
      </c>
      <c r="F778" s="18">
        <f t="shared" ref="F778:Q778" si="512">F732</f>
        <v>0.1391</v>
      </c>
      <c r="G778" s="18">
        <f t="shared" si="512"/>
        <v>0.1391</v>
      </c>
      <c r="H778" s="18">
        <f t="shared" si="512"/>
        <v>0.1391</v>
      </c>
      <c r="I778" s="18">
        <f t="shared" si="512"/>
        <v>0.1391</v>
      </c>
      <c r="J778" s="103">
        <f t="shared" si="512"/>
        <v>0.1391</v>
      </c>
      <c r="K778" s="103">
        <f t="shared" si="512"/>
        <v>0.1391</v>
      </c>
      <c r="L778" s="103">
        <f t="shared" si="512"/>
        <v>0.1391</v>
      </c>
      <c r="M778" s="103">
        <f t="shared" si="512"/>
        <v>0.1391</v>
      </c>
      <c r="N778" s="103">
        <f t="shared" si="512"/>
        <v>0.1391</v>
      </c>
      <c r="O778" s="103">
        <f t="shared" si="512"/>
        <v>0.1391</v>
      </c>
      <c r="P778" s="103">
        <f t="shared" si="512"/>
        <v>0.1391</v>
      </c>
      <c r="Q778" s="103">
        <f t="shared" si="512"/>
        <v>0.1391</v>
      </c>
      <c r="S778" s="31"/>
    </row>
    <row r="779" spans="1:19" s="30" customFormat="1" x14ac:dyDescent="0.2">
      <c r="A779"/>
      <c r="B779"/>
      <c r="C779" t="s">
        <v>57</v>
      </c>
      <c r="D779" s="21" t="s">
        <v>232</v>
      </c>
      <c r="E779" t="s">
        <v>6</v>
      </c>
      <c r="F779" s="18">
        <f t="shared" ref="F779:Q779" si="513">F733</f>
        <v>8.4059999999999996E-2</v>
      </c>
      <c r="G779" s="18">
        <f t="shared" si="513"/>
        <v>8.4059999999999996E-2</v>
      </c>
      <c r="H779" s="18">
        <f t="shared" si="513"/>
        <v>8.4059999999999996E-2</v>
      </c>
      <c r="I779" s="18">
        <f t="shared" si="513"/>
        <v>8.4059999999999996E-2</v>
      </c>
      <c r="J779" s="103">
        <f t="shared" si="513"/>
        <v>8.4059999999999996E-2</v>
      </c>
      <c r="K779" s="103">
        <f t="shared" si="513"/>
        <v>8.4059999999999996E-2</v>
      </c>
      <c r="L779" s="103">
        <f t="shared" si="513"/>
        <v>8.4059999999999996E-2</v>
      </c>
      <c r="M779" s="103">
        <f t="shared" si="513"/>
        <v>8.4059999999999996E-2</v>
      </c>
      <c r="N779" s="103">
        <f t="shared" si="513"/>
        <v>8.4059999999999996E-2</v>
      </c>
      <c r="O779" s="103">
        <f t="shared" si="513"/>
        <v>8.4059999999999996E-2</v>
      </c>
      <c r="P779" s="103">
        <f t="shared" si="513"/>
        <v>8.4059999999999996E-2</v>
      </c>
      <c r="Q779" s="103">
        <f t="shared" si="513"/>
        <v>8.4059999999999996E-2</v>
      </c>
      <c r="R779"/>
      <c r="S779" s="31"/>
    </row>
    <row r="780" spans="1:19" s="30" customFormat="1" x14ac:dyDescent="0.2">
      <c r="A780"/>
      <c r="B780"/>
      <c r="C780" t="s">
        <v>62</v>
      </c>
      <c r="D780" s="21" t="s">
        <v>232</v>
      </c>
      <c r="E780" t="s">
        <v>6</v>
      </c>
      <c r="F780" s="18">
        <f t="shared" ref="F780:Q780" si="514">F734</f>
        <v>5.3490000000000003E-2</v>
      </c>
      <c r="G780" s="18">
        <f t="shared" si="514"/>
        <v>5.3490000000000003E-2</v>
      </c>
      <c r="H780" s="18">
        <f t="shared" si="514"/>
        <v>5.3490000000000003E-2</v>
      </c>
      <c r="I780" s="18">
        <f t="shared" si="514"/>
        <v>5.3490000000000003E-2</v>
      </c>
      <c r="J780" s="103">
        <f t="shared" si="514"/>
        <v>5.3490000000000003E-2</v>
      </c>
      <c r="K780" s="103">
        <f t="shared" si="514"/>
        <v>5.3490000000000003E-2</v>
      </c>
      <c r="L780" s="103">
        <f t="shared" si="514"/>
        <v>5.3490000000000003E-2</v>
      </c>
      <c r="M780" s="103">
        <f t="shared" si="514"/>
        <v>5.3490000000000003E-2</v>
      </c>
      <c r="N780" s="103">
        <f t="shared" si="514"/>
        <v>5.3490000000000003E-2</v>
      </c>
      <c r="O780" s="103">
        <f t="shared" si="514"/>
        <v>5.3490000000000003E-2</v>
      </c>
      <c r="P780" s="103">
        <f t="shared" si="514"/>
        <v>5.3490000000000003E-2</v>
      </c>
      <c r="Q780" s="103">
        <f t="shared" si="514"/>
        <v>5.3490000000000003E-2</v>
      </c>
      <c r="R780"/>
      <c r="S780" s="31"/>
    </row>
    <row r="781" spans="1:19" s="30" customFormat="1" x14ac:dyDescent="0.2">
      <c r="A781"/>
      <c r="B781"/>
      <c r="C781" t="s">
        <v>63</v>
      </c>
      <c r="D781" s="21" t="s">
        <v>232</v>
      </c>
      <c r="E781" t="s">
        <v>6</v>
      </c>
      <c r="F781" s="18">
        <f t="shared" ref="F781:Q781" si="515">F735</f>
        <v>3.4299999999999997E-2</v>
      </c>
      <c r="G781" s="18">
        <f t="shared" si="515"/>
        <v>3.4299999999999997E-2</v>
      </c>
      <c r="H781" s="18">
        <f t="shared" si="515"/>
        <v>3.4299999999999997E-2</v>
      </c>
      <c r="I781" s="18">
        <f t="shared" si="515"/>
        <v>3.4299999999999997E-2</v>
      </c>
      <c r="J781" s="103">
        <f t="shared" si="515"/>
        <v>3.4299999999999997E-2</v>
      </c>
      <c r="K781" s="103">
        <f t="shared" si="515"/>
        <v>3.4299999999999997E-2</v>
      </c>
      <c r="L781" s="103">
        <f t="shared" si="515"/>
        <v>3.4299999999999997E-2</v>
      </c>
      <c r="M781" s="103">
        <f t="shared" si="515"/>
        <v>3.4299999999999997E-2</v>
      </c>
      <c r="N781" s="103">
        <f t="shared" si="515"/>
        <v>3.4299999999999997E-2</v>
      </c>
      <c r="O781" s="103">
        <f t="shared" si="515"/>
        <v>3.4299999999999997E-2</v>
      </c>
      <c r="P781" s="103">
        <f t="shared" si="515"/>
        <v>3.4299999999999997E-2</v>
      </c>
      <c r="Q781" s="103">
        <f t="shared" si="515"/>
        <v>3.4299999999999997E-2</v>
      </c>
      <c r="R781"/>
      <c r="S781" s="31"/>
    </row>
    <row r="782" spans="1:19" s="30" customFormat="1" x14ac:dyDescent="0.2">
      <c r="A782"/>
      <c r="B782"/>
      <c r="C782" t="s">
        <v>64</v>
      </c>
      <c r="D782" s="21" t="s">
        <v>232</v>
      </c>
      <c r="E782" t="s">
        <v>6</v>
      </c>
      <c r="F782" s="18">
        <f t="shared" ref="F782:Q782" si="516">F736</f>
        <v>2.4680000000000001E-2</v>
      </c>
      <c r="G782" s="18">
        <f t="shared" si="516"/>
        <v>2.4680000000000001E-2</v>
      </c>
      <c r="H782" s="18">
        <f t="shared" si="516"/>
        <v>2.4680000000000001E-2</v>
      </c>
      <c r="I782" s="18">
        <f t="shared" si="516"/>
        <v>2.4680000000000001E-2</v>
      </c>
      <c r="J782" s="103">
        <f t="shared" si="516"/>
        <v>2.4680000000000001E-2</v>
      </c>
      <c r="K782" s="103">
        <f t="shared" si="516"/>
        <v>2.4680000000000001E-2</v>
      </c>
      <c r="L782" s="103">
        <f t="shared" si="516"/>
        <v>2.4680000000000001E-2</v>
      </c>
      <c r="M782" s="103">
        <f t="shared" si="516"/>
        <v>2.4680000000000001E-2</v>
      </c>
      <c r="N782" s="103">
        <f t="shared" si="516"/>
        <v>2.4680000000000001E-2</v>
      </c>
      <c r="O782" s="103">
        <f t="shared" si="516"/>
        <v>2.4680000000000001E-2</v>
      </c>
      <c r="P782" s="103">
        <f t="shared" si="516"/>
        <v>2.4680000000000001E-2</v>
      </c>
      <c r="Q782" s="103">
        <f t="shared" si="516"/>
        <v>2.4680000000000001E-2</v>
      </c>
      <c r="R782"/>
      <c r="S782" s="31"/>
    </row>
    <row r="783" spans="1:19" s="30" customFormat="1" x14ac:dyDescent="0.2">
      <c r="A783"/>
      <c r="B783"/>
      <c r="C783" t="s">
        <v>65</v>
      </c>
      <c r="D783" s="21" t="s">
        <v>232</v>
      </c>
      <c r="E783" t="s">
        <v>6</v>
      </c>
      <c r="F783" s="18">
        <f t="shared" ref="F783:Q783" si="517">F737</f>
        <v>1.9029999999999998E-2</v>
      </c>
      <c r="G783" s="18">
        <f t="shared" si="517"/>
        <v>1.9029999999999998E-2</v>
      </c>
      <c r="H783" s="18">
        <f t="shared" si="517"/>
        <v>1.9029999999999998E-2</v>
      </c>
      <c r="I783" s="18">
        <f t="shared" si="517"/>
        <v>1.9029999999999998E-2</v>
      </c>
      <c r="J783" s="103">
        <f t="shared" si="517"/>
        <v>1.9029999999999998E-2</v>
      </c>
      <c r="K783" s="103">
        <f t="shared" si="517"/>
        <v>1.9029999999999998E-2</v>
      </c>
      <c r="L783" s="103">
        <f t="shared" si="517"/>
        <v>1.9029999999999998E-2</v>
      </c>
      <c r="M783" s="103">
        <f t="shared" si="517"/>
        <v>1.9029999999999998E-2</v>
      </c>
      <c r="N783" s="103">
        <f t="shared" si="517"/>
        <v>1.9029999999999998E-2</v>
      </c>
      <c r="O783" s="103">
        <f t="shared" si="517"/>
        <v>1.9029999999999998E-2</v>
      </c>
      <c r="P783" s="103">
        <f t="shared" si="517"/>
        <v>1.9029999999999998E-2</v>
      </c>
      <c r="Q783" s="103">
        <f t="shared" si="517"/>
        <v>1.9029999999999998E-2</v>
      </c>
      <c r="R783"/>
      <c r="S783" s="31"/>
    </row>
    <row r="784" spans="1:19" s="30" customFormat="1" x14ac:dyDescent="0.2">
      <c r="A784"/>
      <c r="B784" s="30" t="s">
        <v>301</v>
      </c>
      <c r="C784"/>
      <c r="D784" s="47" t="s">
        <v>232</v>
      </c>
      <c r="E784" s="30" t="s">
        <v>6</v>
      </c>
      <c r="F784" s="18">
        <f t="shared" ref="F784:Q784" si="518">F738</f>
        <v>6.9999999999999999E-4</v>
      </c>
      <c r="G784" s="18">
        <f t="shared" si="518"/>
        <v>6.9999999999999999E-4</v>
      </c>
      <c r="H784" s="18">
        <f t="shared" si="518"/>
        <v>6.9999999999999999E-4</v>
      </c>
      <c r="I784" s="18">
        <f t="shared" si="518"/>
        <v>6.9999999999999999E-4</v>
      </c>
      <c r="J784" s="103">
        <f t="shared" si="518"/>
        <v>6.9999999999999999E-4</v>
      </c>
      <c r="K784" s="103">
        <f t="shared" si="518"/>
        <v>6.9999999999999999E-4</v>
      </c>
      <c r="L784" s="103">
        <f t="shared" si="518"/>
        <v>6.9999999999999999E-4</v>
      </c>
      <c r="M784" s="103">
        <f t="shared" si="518"/>
        <v>6.9999999999999999E-4</v>
      </c>
      <c r="N784" s="103">
        <f t="shared" si="518"/>
        <v>6.9999999999999999E-4</v>
      </c>
      <c r="O784" s="103">
        <f t="shared" si="518"/>
        <v>6.9999999999999999E-4</v>
      </c>
      <c r="P784" s="103">
        <f t="shared" si="518"/>
        <v>6.9999999999999999E-4</v>
      </c>
      <c r="Q784" s="103">
        <f t="shared" si="518"/>
        <v>6.9999999999999999E-4</v>
      </c>
      <c r="R784"/>
      <c r="S784" s="31"/>
    </row>
    <row r="785" spans="1:19" s="30" customFormat="1" x14ac:dyDescent="0.2">
      <c r="A785"/>
      <c r="B785" s="30" t="s">
        <v>550</v>
      </c>
      <c r="C785"/>
      <c r="D785" s="47">
        <v>149</v>
      </c>
      <c r="E785" s="30" t="s">
        <v>6</v>
      </c>
      <c r="F785" s="18">
        <f>F628</f>
        <v>2.0200000000000001E-3</v>
      </c>
      <c r="G785" s="18">
        <f t="shared" ref="G785:Q785" si="519">G628</f>
        <v>2.0200000000000001E-3</v>
      </c>
      <c r="H785" s="18">
        <f t="shared" si="519"/>
        <v>2.0200000000000001E-3</v>
      </c>
      <c r="I785" s="18">
        <f t="shared" si="519"/>
        <v>2.0200000000000001E-3</v>
      </c>
      <c r="J785" s="18">
        <f t="shared" si="519"/>
        <v>2.0200000000000001E-3</v>
      </c>
      <c r="K785" s="18">
        <f t="shared" si="519"/>
        <v>2.0200000000000001E-3</v>
      </c>
      <c r="L785" s="18">
        <f t="shared" si="519"/>
        <v>2.0200000000000001E-3</v>
      </c>
      <c r="M785" s="18">
        <f t="shared" si="519"/>
        <v>2.0200000000000001E-3</v>
      </c>
      <c r="N785" s="18">
        <f t="shared" si="519"/>
        <v>2.0200000000000001E-3</v>
      </c>
      <c r="O785" s="18">
        <f t="shared" si="519"/>
        <v>2.0200000000000001E-3</v>
      </c>
      <c r="P785" s="18">
        <f t="shared" si="519"/>
        <v>2.0200000000000001E-3</v>
      </c>
      <c r="Q785" s="18">
        <f t="shared" si="519"/>
        <v>2.0200000000000001E-3</v>
      </c>
      <c r="R785"/>
      <c r="S785" s="31"/>
    </row>
    <row r="786" spans="1:19" s="30" customFormat="1" x14ac:dyDescent="0.2">
      <c r="A786"/>
      <c r="B786" t="s">
        <v>19</v>
      </c>
      <c r="C786"/>
      <c r="D786" s="21" t="s">
        <v>232</v>
      </c>
      <c r="E786" t="s">
        <v>6</v>
      </c>
      <c r="F786" s="17">
        <f t="shared" ref="F786:Q786" si="520">F740</f>
        <v>1.38</v>
      </c>
      <c r="G786" s="17">
        <f t="shared" si="520"/>
        <v>1.38</v>
      </c>
      <c r="H786" s="17">
        <f t="shared" si="520"/>
        <v>1.38</v>
      </c>
      <c r="I786" s="17">
        <f t="shared" si="520"/>
        <v>1.38</v>
      </c>
      <c r="J786" s="113">
        <f t="shared" si="520"/>
        <v>1.38</v>
      </c>
      <c r="K786" s="113">
        <f t="shared" si="520"/>
        <v>1.38</v>
      </c>
      <c r="L786" s="113">
        <f t="shared" si="520"/>
        <v>1.38</v>
      </c>
      <c r="M786" s="113">
        <f t="shared" si="520"/>
        <v>1.38</v>
      </c>
      <c r="N786" s="113">
        <f t="shared" si="520"/>
        <v>1.38</v>
      </c>
      <c r="O786" s="113">
        <f t="shared" si="520"/>
        <v>1.38</v>
      </c>
      <c r="P786" s="113">
        <f t="shared" si="520"/>
        <v>1.38</v>
      </c>
      <c r="Q786" s="113">
        <f t="shared" si="520"/>
        <v>1.38</v>
      </c>
      <c r="R786"/>
      <c r="S786" s="31"/>
    </row>
    <row r="787" spans="1:19" s="30" customFormat="1" x14ac:dyDescent="0.2">
      <c r="B787" s="30" t="s">
        <v>21</v>
      </c>
      <c r="D787" s="21" t="s">
        <v>232</v>
      </c>
      <c r="E787" s="30" t="s">
        <v>22</v>
      </c>
      <c r="F787" s="48"/>
      <c r="G787" s="48"/>
      <c r="H787" s="48"/>
      <c r="I787" s="48"/>
      <c r="S787" s="31"/>
    </row>
    <row r="788" spans="1:19" s="30" customFormat="1" x14ac:dyDescent="0.2">
      <c r="F788" s="31"/>
      <c r="G788" s="31"/>
      <c r="S788" s="31"/>
    </row>
    <row r="789" spans="1:19" s="30" customFormat="1" x14ac:dyDescent="0.2">
      <c r="B789" s="29" t="s">
        <v>295</v>
      </c>
      <c r="F789" s="31"/>
      <c r="G789" s="31"/>
      <c r="S789" s="31"/>
    </row>
    <row r="790" spans="1:19" s="30" customFormat="1" x14ac:dyDescent="0.2">
      <c r="B790" s="30" t="s">
        <v>22</v>
      </c>
      <c r="D790" s="21" t="s">
        <v>232</v>
      </c>
      <c r="E790" s="30" t="s">
        <v>22</v>
      </c>
      <c r="F790" s="72">
        <f>'(R) Data'!C33</f>
        <v>5.9999999999999991</v>
      </c>
      <c r="G790" s="72">
        <f>'(R) Data'!D33</f>
        <v>5.9999999999999991</v>
      </c>
      <c r="H790" s="72">
        <f>'(R) Data'!E33</f>
        <v>5.9999999999999991</v>
      </c>
      <c r="I790" s="72">
        <f>'(R) Data'!F33</f>
        <v>5.9999999999999991</v>
      </c>
      <c r="J790" s="72">
        <f>'(R) Data'!G33</f>
        <v>5.9999999999999991</v>
      </c>
      <c r="K790" s="72">
        <f>'(R) Data'!H33</f>
        <v>6.0000255826549012</v>
      </c>
      <c r="L790" s="72">
        <f>'(R) Data'!I33</f>
        <v>6</v>
      </c>
      <c r="M790" s="72">
        <f>'(R) Data'!J33</f>
        <v>6.7666701791359323</v>
      </c>
      <c r="N790" s="72">
        <f>'(R) Data'!K33</f>
        <v>7</v>
      </c>
      <c r="O790" s="72">
        <f>'(R) Data'!L33</f>
        <v>7</v>
      </c>
      <c r="P790" s="72">
        <f>'(R) Data'!M33</f>
        <v>7</v>
      </c>
      <c r="Q790" s="72">
        <f>'(R) Data'!N33</f>
        <v>7</v>
      </c>
      <c r="R790" s="46">
        <f>SUM(F790:Q790)</f>
        <v>76.766695761790828</v>
      </c>
      <c r="S790" s="31"/>
    </row>
    <row r="791" spans="1:19" s="30" customFormat="1" x14ac:dyDescent="0.2">
      <c r="B791" s="30" t="s">
        <v>30</v>
      </c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S791" s="31"/>
    </row>
    <row r="792" spans="1:19" s="30" customFormat="1" x14ac:dyDescent="0.2">
      <c r="C792" s="30" t="s">
        <v>56</v>
      </c>
      <c r="D792" s="21" t="s">
        <v>232</v>
      </c>
      <c r="E792" s="30" t="s">
        <v>10</v>
      </c>
      <c r="F792" s="161">
        <f>'(R) Therms By Block'!B112</f>
        <v>175000</v>
      </c>
      <c r="G792" s="170">
        <f>'(R) Therms By Block'!C112</f>
        <v>175000</v>
      </c>
      <c r="H792" s="170">
        <f>'(R) Therms By Block'!D112</f>
        <v>175000</v>
      </c>
      <c r="I792" s="170">
        <f>'(R) Therms By Block'!E112</f>
        <v>175000</v>
      </c>
      <c r="J792" s="170">
        <f>'(R) Therms By Block'!F112</f>
        <v>175000</v>
      </c>
      <c r="K792" s="170">
        <f>'(R) Therms By Block'!G112</f>
        <v>175000</v>
      </c>
      <c r="L792" s="170">
        <f>'(R) Therms By Block'!H112</f>
        <v>175000</v>
      </c>
      <c r="M792" s="170">
        <f>'(R) Therms By Block'!I112</f>
        <v>175000</v>
      </c>
      <c r="N792" s="170">
        <f>'(R) Therms By Block'!J112</f>
        <v>175000</v>
      </c>
      <c r="O792" s="170">
        <f>'(R) Therms By Block'!K112</f>
        <v>175000</v>
      </c>
      <c r="P792" s="170">
        <f>'(R) Therms By Block'!L112</f>
        <v>175000</v>
      </c>
      <c r="Q792" s="170">
        <f>'(R) Therms By Block'!M112</f>
        <v>175000</v>
      </c>
      <c r="R792" s="46">
        <f t="shared" ref="R792:R799" si="521">SUM(F792:Q792)</f>
        <v>2100000</v>
      </c>
      <c r="S792" s="31"/>
    </row>
    <row r="793" spans="1:19" s="30" customFormat="1" x14ac:dyDescent="0.2">
      <c r="C793" s="30" t="s">
        <v>57</v>
      </c>
      <c r="D793" s="21" t="s">
        <v>232</v>
      </c>
      <c r="E793" s="30" t="s">
        <v>10</v>
      </c>
      <c r="F793" s="170">
        <f>'(R) Therms By Block'!B113</f>
        <v>175000</v>
      </c>
      <c r="G793" s="170">
        <f>'(R) Therms By Block'!C113</f>
        <v>175000</v>
      </c>
      <c r="H793" s="170">
        <f>'(R) Therms By Block'!D113</f>
        <v>175000</v>
      </c>
      <c r="I793" s="170">
        <f>'(R) Therms By Block'!E113</f>
        <v>175000</v>
      </c>
      <c r="J793" s="170">
        <f>'(R) Therms By Block'!F113</f>
        <v>175000</v>
      </c>
      <c r="K793" s="170">
        <f>'(R) Therms By Block'!G113</f>
        <v>175000</v>
      </c>
      <c r="L793" s="170">
        <f>'(R) Therms By Block'!H113</f>
        <v>175000</v>
      </c>
      <c r="M793" s="170">
        <f>'(R) Therms By Block'!I113</f>
        <v>175000</v>
      </c>
      <c r="N793" s="170">
        <f>'(R) Therms By Block'!J113</f>
        <v>175000</v>
      </c>
      <c r="O793" s="170">
        <f>'(R) Therms By Block'!K113</f>
        <v>175000</v>
      </c>
      <c r="P793" s="170">
        <f>'(R) Therms By Block'!L113</f>
        <v>175000</v>
      </c>
      <c r="Q793" s="170">
        <f>'(R) Therms By Block'!M113</f>
        <v>175000</v>
      </c>
      <c r="R793" s="46">
        <f t="shared" si="521"/>
        <v>2100000</v>
      </c>
      <c r="S793" s="31"/>
    </row>
    <row r="794" spans="1:19" s="30" customFormat="1" x14ac:dyDescent="0.2">
      <c r="C794" s="30" t="s">
        <v>62</v>
      </c>
      <c r="D794" s="21" t="s">
        <v>232</v>
      </c>
      <c r="E794" s="30" t="s">
        <v>10</v>
      </c>
      <c r="F794" s="170">
        <f>'(R) Therms By Block'!B114</f>
        <v>350000</v>
      </c>
      <c r="G794" s="170">
        <f>'(R) Therms By Block'!C114</f>
        <v>350000</v>
      </c>
      <c r="H794" s="170">
        <f>'(R) Therms By Block'!D114</f>
        <v>350000</v>
      </c>
      <c r="I794" s="170">
        <f>'(R) Therms By Block'!E114</f>
        <v>350000</v>
      </c>
      <c r="J794" s="170">
        <f>'(R) Therms By Block'!F114</f>
        <v>350000</v>
      </c>
      <c r="K794" s="170">
        <f>'(R) Therms By Block'!G114</f>
        <v>350000</v>
      </c>
      <c r="L794" s="170">
        <f>'(R) Therms By Block'!H114</f>
        <v>350000</v>
      </c>
      <c r="M794" s="170">
        <f>'(R) Therms By Block'!I114</f>
        <v>350000</v>
      </c>
      <c r="N794" s="170">
        <f>'(R) Therms By Block'!J114</f>
        <v>350000</v>
      </c>
      <c r="O794" s="170">
        <f>'(R) Therms By Block'!K114</f>
        <v>350000</v>
      </c>
      <c r="P794" s="170">
        <f>'(R) Therms By Block'!L114</f>
        <v>350000</v>
      </c>
      <c r="Q794" s="170">
        <f>'(R) Therms By Block'!M114</f>
        <v>350000</v>
      </c>
      <c r="R794" s="46">
        <f t="shared" si="521"/>
        <v>4200000</v>
      </c>
      <c r="S794" s="31"/>
    </row>
    <row r="795" spans="1:19" s="30" customFormat="1" x14ac:dyDescent="0.2">
      <c r="C795" s="30" t="s">
        <v>63</v>
      </c>
      <c r="D795" s="21" t="s">
        <v>232</v>
      </c>
      <c r="E795" s="30" t="s">
        <v>10</v>
      </c>
      <c r="F795" s="170">
        <f>'(R) Therms By Block'!B115</f>
        <v>700000</v>
      </c>
      <c r="G795" s="170">
        <f>'(R) Therms By Block'!C115</f>
        <v>700000</v>
      </c>
      <c r="H795" s="170">
        <f>'(R) Therms By Block'!D115</f>
        <v>700000</v>
      </c>
      <c r="I795" s="170">
        <f>'(R) Therms By Block'!E115</f>
        <v>700000</v>
      </c>
      <c r="J795" s="170">
        <f>'(R) Therms By Block'!F115</f>
        <v>700000</v>
      </c>
      <c r="K795" s="170">
        <f>'(R) Therms By Block'!G115</f>
        <v>700000</v>
      </c>
      <c r="L795" s="170">
        <f>'(R) Therms By Block'!H115</f>
        <v>700000</v>
      </c>
      <c r="M795" s="170">
        <f>'(R) Therms By Block'!I115</f>
        <v>700000</v>
      </c>
      <c r="N795" s="170">
        <f>'(R) Therms By Block'!J115</f>
        <v>700000</v>
      </c>
      <c r="O795" s="170">
        <f>'(R) Therms By Block'!K115</f>
        <v>700000</v>
      </c>
      <c r="P795" s="170">
        <f>'(R) Therms By Block'!L115</f>
        <v>700000</v>
      </c>
      <c r="Q795" s="170">
        <f>'(R) Therms By Block'!M115</f>
        <v>700000</v>
      </c>
      <c r="R795" s="46">
        <f t="shared" si="521"/>
        <v>8400000</v>
      </c>
      <c r="S795" s="31"/>
    </row>
    <row r="796" spans="1:19" s="30" customFormat="1" x14ac:dyDescent="0.2">
      <c r="C796" s="30" t="s">
        <v>64</v>
      </c>
      <c r="D796" s="21" t="s">
        <v>232</v>
      </c>
      <c r="E796" s="30" t="s">
        <v>10</v>
      </c>
      <c r="F796" s="170">
        <f>'(R) Therms By Block'!B116</f>
        <v>1847549.08</v>
      </c>
      <c r="G796" s="170">
        <f>'(R) Therms By Block'!C116</f>
        <v>1847484.84</v>
      </c>
      <c r="H796" s="170">
        <f>'(R) Therms By Block'!D116</f>
        <v>1807222.67</v>
      </c>
      <c r="I796" s="170">
        <f>'(R) Therms By Block'!E116</f>
        <v>1852951.76</v>
      </c>
      <c r="J796" s="170">
        <f>'(R) Therms By Block'!F116</f>
        <v>1687800.15</v>
      </c>
      <c r="K796" s="170">
        <f>'(R) Therms By Block'!G116</f>
        <v>1869013.47</v>
      </c>
      <c r="L796" s="170">
        <f>'(R) Therms By Block'!H116</f>
        <v>1870856.82</v>
      </c>
      <c r="M796" s="170">
        <f>'(R) Therms By Block'!I116</f>
        <v>1835996.53</v>
      </c>
      <c r="N796" s="170">
        <f>'(R) Therms By Block'!J116</f>
        <v>1852529.04</v>
      </c>
      <c r="O796" s="170">
        <f>'(R) Therms By Block'!K116</f>
        <v>1849111.29</v>
      </c>
      <c r="P796" s="170">
        <f>'(R) Therms By Block'!L116</f>
        <v>1838962.32</v>
      </c>
      <c r="Q796" s="170">
        <f>'(R) Therms By Block'!M116</f>
        <v>1829849.35</v>
      </c>
      <c r="R796" s="46">
        <f t="shared" si="521"/>
        <v>21989327.32</v>
      </c>
      <c r="S796" s="31"/>
    </row>
    <row r="797" spans="1:19" s="30" customFormat="1" x14ac:dyDescent="0.2">
      <c r="C797" s="30" t="s">
        <v>65</v>
      </c>
      <c r="D797" s="21" t="s">
        <v>232</v>
      </c>
      <c r="E797" s="30" t="s">
        <v>10</v>
      </c>
      <c r="F797" s="107">
        <f t="shared" ref="F797:N797" si="522">F798-SUM(F792:F796)</f>
        <v>4350747.05</v>
      </c>
      <c r="G797" s="107">
        <f t="shared" si="522"/>
        <v>4487450.4800000004</v>
      </c>
      <c r="H797" s="107">
        <f t="shared" si="522"/>
        <v>4157595.49</v>
      </c>
      <c r="I797" s="107">
        <f t="shared" si="522"/>
        <v>4192031.6400000006</v>
      </c>
      <c r="J797" s="107">
        <f t="shared" si="522"/>
        <v>3179512.3300000005</v>
      </c>
      <c r="K797" s="107">
        <f t="shared" si="522"/>
        <v>4497983.88</v>
      </c>
      <c r="L797" s="107">
        <f t="shared" si="522"/>
        <v>3046424.83</v>
      </c>
      <c r="M797" s="107">
        <f t="shared" si="522"/>
        <v>3670249.91</v>
      </c>
      <c r="N797" s="107">
        <f t="shared" si="522"/>
        <v>4432642.47</v>
      </c>
      <c r="O797" s="107">
        <f t="shared" ref="O797:Q797" si="523">O798-SUM(O792:O796)</f>
        <v>3366516.3099999996</v>
      </c>
      <c r="P797" s="107">
        <f t="shared" si="523"/>
        <v>3714551.6899999995</v>
      </c>
      <c r="Q797" s="107">
        <f t="shared" si="523"/>
        <v>3252523.85</v>
      </c>
      <c r="R797" s="46">
        <f t="shared" si="521"/>
        <v>46348229.930000007</v>
      </c>
      <c r="S797" s="31"/>
    </row>
    <row r="798" spans="1:19" s="30" customFormat="1" x14ac:dyDescent="0.2">
      <c r="C798" s="30" t="s">
        <v>17</v>
      </c>
      <c r="D798" s="21" t="s">
        <v>232</v>
      </c>
      <c r="E798" s="30" t="s">
        <v>10</v>
      </c>
      <c r="F798" s="111">
        <f>'Weather Adj'!D194</f>
        <v>7598296.1299999999</v>
      </c>
      <c r="G798" s="111">
        <f>'Weather Adj'!E194</f>
        <v>7734935.3200000003</v>
      </c>
      <c r="H798" s="111">
        <f>'Weather Adj'!F194</f>
        <v>7364818.1600000001</v>
      </c>
      <c r="I798" s="111">
        <f>'Weather Adj'!G194</f>
        <v>7444983.4000000004</v>
      </c>
      <c r="J798" s="111">
        <f>'Weather Adj'!H194</f>
        <v>6267312.4800000004</v>
      </c>
      <c r="K798" s="111">
        <f>'Weather Adj'!I194</f>
        <v>7766997.3499999996</v>
      </c>
      <c r="L798" s="111">
        <f>'Weather Adj'!J194</f>
        <v>6317281.6500000004</v>
      </c>
      <c r="M798" s="111">
        <f>'Weather Adj'!K194</f>
        <v>6906246.4400000004</v>
      </c>
      <c r="N798" s="111">
        <f>'Weather Adj'!L194</f>
        <v>7685171.5099999998</v>
      </c>
      <c r="O798" s="111">
        <f>'Weather Adj'!M194</f>
        <v>6615627.5999999996</v>
      </c>
      <c r="P798" s="111">
        <f>'Weather Adj'!N194</f>
        <v>6953514.0099999998</v>
      </c>
      <c r="Q798" s="111">
        <f>'Weather Adj'!O194</f>
        <v>6482373.2000000002</v>
      </c>
      <c r="R798" s="109">
        <f t="shared" si="521"/>
        <v>85137557.25</v>
      </c>
      <c r="S798" s="31"/>
    </row>
    <row r="799" spans="1:19" s="30" customFormat="1" x14ac:dyDescent="0.2">
      <c r="B799" s="30" t="s">
        <v>29</v>
      </c>
      <c r="D799" s="21" t="s">
        <v>232</v>
      </c>
      <c r="E799" s="30" t="s">
        <v>100</v>
      </c>
      <c r="F799" s="72">
        <f>'(R) Data'!C53</f>
        <v>23930</v>
      </c>
      <c r="G799" s="72">
        <f>'(R) Data'!D53</f>
        <v>23930</v>
      </c>
      <c r="H799" s="72">
        <f>'(R) Data'!E53</f>
        <v>23930</v>
      </c>
      <c r="I799" s="72">
        <f>'(R) Data'!F53</f>
        <v>24030</v>
      </c>
      <c r="J799" s="72">
        <f>'(R) Data'!G53</f>
        <v>24030</v>
      </c>
      <c r="K799" s="72">
        <f>'(R) Data'!H53</f>
        <v>23930</v>
      </c>
      <c r="L799" s="72">
        <f>'(R) Data'!I53</f>
        <v>23930</v>
      </c>
      <c r="M799" s="72">
        <f>'(R) Data'!J53</f>
        <v>23930</v>
      </c>
      <c r="N799" s="72">
        <f>'(R) Data'!K53</f>
        <v>23930</v>
      </c>
      <c r="O799" s="72">
        <f>'(R) Data'!L53</f>
        <v>23930</v>
      </c>
      <c r="P799" s="72">
        <f>'(R) Data'!M53</f>
        <v>23930</v>
      </c>
      <c r="Q799" s="72">
        <f>'(R) Data'!N53</f>
        <v>23930</v>
      </c>
      <c r="R799" s="46">
        <f t="shared" si="521"/>
        <v>287360</v>
      </c>
      <c r="S799" s="31"/>
    </row>
    <row r="800" spans="1:19" x14ac:dyDescent="0.2">
      <c r="A800" s="30"/>
      <c r="B800" s="30" t="s">
        <v>21</v>
      </c>
      <c r="C800" s="30"/>
      <c r="D800" s="30"/>
      <c r="E800" s="30"/>
      <c r="F800" s="62"/>
      <c r="G800" s="62"/>
      <c r="H800" s="62"/>
      <c r="I800" s="62"/>
      <c r="J800" s="62"/>
      <c r="K800" s="62"/>
      <c r="L800" s="62"/>
      <c r="M800" s="62"/>
      <c r="N800" s="62"/>
      <c r="O800" s="62"/>
      <c r="P800" s="62"/>
      <c r="Q800" s="62"/>
      <c r="R800" s="30"/>
      <c r="S800" s="31"/>
    </row>
    <row r="801" spans="1:19" x14ac:dyDescent="0.2">
      <c r="A801" s="30"/>
      <c r="B801" s="30"/>
      <c r="C801" s="30"/>
      <c r="D801" s="30"/>
      <c r="E801" s="30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49"/>
      <c r="S801" s="31"/>
    </row>
    <row r="802" spans="1:19" x14ac:dyDescent="0.2">
      <c r="A802" s="30"/>
      <c r="B802" s="29" t="s">
        <v>9</v>
      </c>
      <c r="C802" s="30"/>
      <c r="D802" s="30"/>
      <c r="E802" s="30"/>
      <c r="F802" s="31"/>
      <c r="G802" s="31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1"/>
    </row>
    <row r="803" spans="1:19" x14ac:dyDescent="0.2">
      <c r="A803" s="30" t="s">
        <v>147</v>
      </c>
      <c r="B803" s="30" t="s">
        <v>282</v>
      </c>
      <c r="C803" s="30"/>
      <c r="D803" s="21" t="s">
        <v>232</v>
      </c>
      <c r="E803" s="30"/>
      <c r="F803" s="34">
        <f t="shared" ref="F803:N803" si="524">F776*F790</f>
        <v>5350.98</v>
      </c>
      <c r="G803" s="34">
        <f t="shared" si="524"/>
        <v>5350.98</v>
      </c>
      <c r="H803" s="34">
        <f t="shared" si="524"/>
        <v>5350.98</v>
      </c>
      <c r="I803" s="34">
        <f t="shared" si="524"/>
        <v>5350.98</v>
      </c>
      <c r="J803" s="34">
        <f t="shared" si="524"/>
        <v>5350.98</v>
      </c>
      <c r="K803" s="34">
        <f t="shared" si="524"/>
        <v>5351.0028153791209</v>
      </c>
      <c r="L803" s="34">
        <f t="shared" si="524"/>
        <v>5350.9800000000005</v>
      </c>
      <c r="M803" s="34">
        <f t="shared" si="524"/>
        <v>6034.7194658587987</v>
      </c>
      <c r="N803" s="34">
        <f t="shared" si="524"/>
        <v>6242.81</v>
      </c>
      <c r="O803" s="34">
        <f t="shared" ref="O803:Q803" si="525">O776*O790</f>
        <v>6242.81</v>
      </c>
      <c r="P803" s="34">
        <f t="shared" si="525"/>
        <v>6242.81</v>
      </c>
      <c r="Q803" s="34">
        <f t="shared" si="525"/>
        <v>6242.81</v>
      </c>
      <c r="R803" s="34">
        <f>SUM(F803:Q803)</f>
        <v>68462.842281237914</v>
      </c>
      <c r="S803" s="31"/>
    </row>
    <row r="804" spans="1:19" x14ac:dyDescent="0.2">
      <c r="A804" s="30"/>
      <c r="B804" s="30" t="s">
        <v>3</v>
      </c>
      <c r="C804" s="30"/>
      <c r="D804" s="30"/>
      <c r="E804" s="30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1"/>
    </row>
    <row r="805" spans="1:19" x14ac:dyDescent="0.2">
      <c r="C805" t="s">
        <v>56</v>
      </c>
      <c r="D805" s="21" t="s">
        <v>232</v>
      </c>
      <c r="F805" s="23">
        <f t="shared" ref="F805:N805" si="526">F778*F792</f>
        <v>24342.5</v>
      </c>
      <c r="G805" s="23">
        <f t="shared" si="526"/>
        <v>24342.5</v>
      </c>
      <c r="H805" s="23">
        <f t="shared" si="526"/>
        <v>24342.5</v>
      </c>
      <c r="I805" s="23">
        <f t="shared" si="526"/>
        <v>24342.5</v>
      </c>
      <c r="J805" s="23">
        <f t="shared" si="526"/>
        <v>24342.5</v>
      </c>
      <c r="K805" s="23">
        <f t="shared" si="526"/>
        <v>24342.5</v>
      </c>
      <c r="L805" s="23">
        <f t="shared" si="526"/>
        <v>24342.5</v>
      </c>
      <c r="M805" s="23">
        <f t="shared" si="526"/>
        <v>24342.5</v>
      </c>
      <c r="N805" s="23">
        <f t="shared" si="526"/>
        <v>24342.5</v>
      </c>
      <c r="O805" s="23">
        <f t="shared" ref="O805:Q805" si="527">O778*O792</f>
        <v>24342.5</v>
      </c>
      <c r="P805" s="23">
        <f t="shared" si="527"/>
        <v>24342.5</v>
      </c>
      <c r="Q805" s="23">
        <f t="shared" si="527"/>
        <v>24342.5</v>
      </c>
      <c r="R805" s="23">
        <f t="shared" ref="R805:R815" si="528">SUM(F805:Q805)</f>
        <v>292110</v>
      </c>
      <c r="S805" s="31"/>
    </row>
    <row r="806" spans="1:19" x14ac:dyDescent="0.2">
      <c r="C806" t="s">
        <v>57</v>
      </c>
      <c r="D806" s="21" t="s">
        <v>232</v>
      </c>
      <c r="F806" s="23">
        <f t="shared" ref="F806:N806" si="529">F779*F793</f>
        <v>14710.5</v>
      </c>
      <c r="G806" s="23">
        <f t="shared" si="529"/>
        <v>14710.5</v>
      </c>
      <c r="H806" s="23">
        <f t="shared" si="529"/>
        <v>14710.5</v>
      </c>
      <c r="I806" s="23">
        <f t="shared" si="529"/>
        <v>14710.5</v>
      </c>
      <c r="J806" s="23">
        <f t="shared" si="529"/>
        <v>14710.5</v>
      </c>
      <c r="K806" s="23">
        <f t="shared" si="529"/>
        <v>14710.5</v>
      </c>
      <c r="L806" s="23">
        <f t="shared" si="529"/>
        <v>14710.5</v>
      </c>
      <c r="M806" s="23">
        <f t="shared" si="529"/>
        <v>14710.5</v>
      </c>
      <c r="N806" s="23">
        <f t="shared" si="529"/>
        <v>14710.5</v>
      </c>
      <c r="O806" s="23">
        <f t="shared" ref="O806:Q806" si="530">O779*O793</f>
        <v>14710.5</v>
      </c>
      <c r="P806" s="23">
        <f t="shared" si="530"/>
        <v>14710.5</v>
      </c>
      <c r="Q806" s="23">
        <f t="shared" si="530"/>
        <v>14710.5</v>
      </c>
      <c r="R806" s="23">
        <f t="shared" si="528"/>
        <v>176526</v>
      </c>
      <c r="S806" s="31"/>
    </row>
    <row r="807" spans="1:19" x14ac:dyDescent="0.2">
      <c r="C807" t="s">
        <v>62</v>
      </c>
      <c r="D807" s="21" t="s">
        <v>232</v>
      </c>
      <c r="F807" s="23">
        <f t="shared" ref="F807:N807" si="531">F780*F794</f>
        <v>18721.5</v>
      </c>
      <c r="G807" s="23">
        <f t="shared" si="531"/>
        <v>18721.5</v>
      </c>
      <c r="H807" s="23">
        <f t="shared" si="531"/>
        <v>18721.5</v>
      </c>
      <c r="I807" s="23">
        <f t="shared" si="531"/>
        <v>18721.5</v>
      </c>
      <c r="J807" s="23">
        <f t="shared" si="531"/>
        <v>18721.5</v>
      </c>
      <c r="K807" s="23">
        <f t="shared" si="531"/>
        <v>18721.5</v>
      </c>
      <c r="L807" s="23">
        <f t="shared" si="531"/>
        <v>18721.5</v>
      </c>
      <c r="M807" s="23">
        <f t="shared" si="531"/>
        <v>18721.5</v>
      </c>
      <c r="N807" s="23">
        <f t="shared" si="531"/>
        <v>18721.5</v>
      </c>
      <c r="O807" s="23">
        <f t="shared" ref="O807:Q807" si="532">O780*O794</f>
        <v>18721.5</v>
      </c>
      <c r="P807" s="23">
        <f t="shared" si="532"/>
        <v>18721.5</v>
      </c>
      <c r="Q807" s="23">
        <f t="shared" si="532"/>
        <v>18721.5</v>
      </c>
      <c r="R807" s="23">
        <f t="shared" si="528"/>
        <v>224658</v>
      </c>
      <c r="S807" s="31"/>
    </row>
    <row r="808" spans="1:19" x14ac:dyDescent="0.2">
      <c r="C808" t="s">
        <v>63</v>
      </c>
      <c r="D808" s="21" t="s">
        <v>232</v>
      </c>
      <c r="F808" s="23">
        <f t="shared" ref="F808:N808" si="533">F781*F795</f>
        <v>24009.999999999996</v>
      </c>
      <c r="G808" s="23">
        <f t="shared" si="533"/>
        <v>24009.999999999996</v>
      </c>
      <c r="H808" s="23">
        <f t="shared" si="533"/>
        <v>24009.999999999996</v>
      </c>
      <c r="I808" s="23">
        <f t="shared" si="533"/>
        <v>24009.999999999996</v>
      </c>
      <c r="J808" s="23">
        <f t="shared" si="533"/>
        <v>24009.999999999996</v>
      </c>
      <c r="K808" s="23">
        <f t="shared" si="533"/>
        <v>24009.999999999996</v>
      </c>
      <c r="L808" s="23">
        <f t="shared" si="533"/>
        <v>24009.999999999996</v>
      </c>
      <c r="M808" s="23">
        <f t="shared" si="533"/>
        <v>24009.999999999996</v>
      </c>
      <c r="N808" s="23">
        <f t="shared" si="533"/>
        <v>24009.999999999996</v>
      </c>
      <c r="O808" s="23">
        <f t="shared" ref="O808:Q808" si="534">O781*O795</f>
        <v>24009.999999999996</v>
      </c>
      <c r="P808" s="23">
        <f t="shared" si="534"/>
        <v>24009.999999999996</v>
      </c>
      <c r="Q808" s="23">
        <f t="shared" si="534"/>
        <v>24009.999999999996</v>
      </c>
      <c r="R808" s="23">
        <f t="shared" si="528"/>
        <v>288119.99999999994</v>
      </c>
      <c r="S808" s="31"/>
    </row>
    <row r="809" spans="1:19" x14ac:dyDescent="0.2">
      <c r="C809" t="s">
        <v>64</v>
      </c>
      <c r="D809" s="21" t="s">
        <v>232</v>
      </c>
      <c r="F809" s="23">
        <f t="shared" ref="F809:N809" si="535">F782*F796</f>
        <v>45597.511294399999</v>
      </c>
      <c r="G809" s="23">
        <f t="shared" si="535"/>
        <v>45595.925851200001</v>
      </c>
      <c r="H809" s="23">
        <f t="shared" si="535"/>
        <v>44602.255495600002</v>
      </c>
      <c r="I809" s="23">
        <f t="shared" si="535"/>
        <v>45730.849436800003</v>
      </c>
      <c r="J809" s="23">
        <f t="shared" si="535"/>
        <v>41654.907701999997</v>
      </c>
      <c r="K809" s="23">
        <f t="shared" si="535"/>
        <v>46127.252439600001</v>
      </c>
      <c r="L809" s="23">
        <f t="shared" si="535"/>
        <v>46172.746317600002</v>
      </c>
      <c r="M809" s="23">
        <f t="shared" si="535"/>
        <v>45312.394360400001</v>
      </c>
      <c r="N809" s="23">
        <f t="shared" si="535"/>
        <v>45720.416707200005</v>
      </c>
      <c r="O809" s="23">
        <f t="shared" ref="O809:Q809" si="536">O782*O796</f>
        <v>45636.066637200005</v>
      </c>
      <c r="P809" s="23">
        <f t="shared" si="536"/>
        <v>45385.590057600006</v>
      </c>
      <c r="Q809" s="23">
        <f t="shared" si="536"/>
        <v>45160.681958000001</v>
      </c>
      <c r="R809" s="23">
        <f t="shared" si="528"/>
        <v>542696.59825759998</v>
      </c>
      <c r="S809" s="31"/>
    </row>
    <row r="810" spans="1:19" x14ac:dyDescent="0.2">
      <c r="C810" t="s">
        <v>65</v>
      </c>
      <c r="D810" s="21" t="s">
        <v>232</v>
      </c>
      <c r="F810" s="23">
        <f t="shared" ref="F810:N810" si="537">F783*F797</f>
        <v>82794.716361499988</v>
      </c>
      <c r="G810" s="23">
        <f t="shared" si="537"/>
        <v>85396.1826344</v>
      </c>
      <c r="H810" s="23">
        <f t="shared" si="537"/>
        <v>79119.042174699993</v>
      </c>
      <c r="I810" s="23">
        <f t="shared" si="537"/>
        <v>79774.36210920001</v>
      </c>
      <c r="J810" s="23">
        <f t="shared" si="537"/>
        <v>60506.119639900004</v>
      </c>
      <c r="K810" s="23">
        <f t="shared" si="537"/>
        <v>85596.633236399997</v>
      </c>
      <c r="L810" s="23">
        <f t="shared" si="537"/>
        <v>57973.464514899999</v>
      </c>
      <c r="M810" s="23">
        <f t="shared" si="537"/>
        <v>69844.855787299995</v>
      </c>
      <c r="N810" s="23">
        <f t="shared" si="537"/>
        <v>84353.186204099984</v>
      </c>
      <c r="O810" s="23">
        <f t="shared" ref="O810:Q810" si="538">O783*O797</f>
        <v>64064.805379299985</v>
      </c>
      <c r="P810" s="23">
        <f t="shared" si="538"/>
        <v>70687.918660699987</v>
      </c>
      <c r="Q810" s="23">
        <f t="shared" si="538"/>
        <v>61895.528865499997</v>
      </c>
      <c r="R810" s="23">
        <f t="shared" si="528"/>
        <v>882006.81556790008</v>
      </c>
      <c r="S810" s="31"/>
    </row>
    <row r="811" spans="1:19" x14ac:dyDescent="0.2">
      <c r="A811" t="s">
        <v>147</v>
      </c>
      <c r="C811" t="s">
        <v>26</v>
      </c>
      <c r="F811" s="24">
        <f t="shared" ref="F811:N811" si="539">SUM(F805:F810)</f>
        <v>210176.7276559</v>
      </c>
      <c r="G811" s="24">
        <f t="shared" si="539"/>
        <v>212776.60848560001</v>
      </c>
      <c r="H811" s="24">
        <f t="shared" si="539"/>
        <v>205505.7976703</v>
      </c>
      <c r="I811" s="24">
        <f t="shared" si="539"/>
        <v>207289.71154600001</v>
      </c>
      <c r="J811" s="24">
        <f t="shared" si="539"/>
        <v>183945.52734189999</v>
      </c>
      <c r="K811" s="24">
        <f t="shared" si="539"/>
        <v>213508.38567600001</v>
      </c>
      <c r="L811" s="24">
        <f t="shared" si="539"/>
        <v>185930.71083250002</v>
      </c>
      <c r="M811" s="24">
        <f t="shared" si="539"/>
        <v>196941.75014770002</v>
      </c>
      <c r="N811" s="24">
        <f t="shared" si="539"/>
        <v>211858.10291129997</v>
      </c>
      <c r="O811" s="24">
        <f t="shared" ref="O811:Q811" si="540">SUM(O805:O810)</f>
        <v>191485.37201649998</v>
      </c>
      <c r="P811" s="24">
        <f t="shared" si="540"/>
        <v>197858.00871829997</v>
      </c>
      <c r="Q811" s="24">
        <f t="shared" si="540"/>
        <v>188840.71082350001</v>
      </c>
      <c r="R811" s="24">
        <f t="shared" si="528"/>
        <v>2406117.4138255003</v>
      </c>
      <c r="S811" s="31"/>
    </row>
    <row r="812" spans="1:19" x14ac:dyDescent="0.2">
      <c r="A812" t="s">
        <v>130</v>
      </c>
      <c r="B812" s="30" t="s">
        <v>301</v>
      </c>
      <c r="D812" s="21" t="s">
        <v>232</v>
      </c>
      <c r="F812" s="40">
        <f t="shared" ref="F812:N812" si="541">F784*F798</f>
        <v>5318.8072910000001</v>
      </c>
      <c r="G812" s="40">
        <f t="shared" si="541"/>
        <v>5414.4547240000002</v>
      </c>
      <c r="H812" s="40">
        <f t="shared" si="541"/>
        <v>5155.3727120000003</v>
      </c>
      <c r="I812" s="40">
        <f t="shared" si="541"/>
        <v>5211.4883799999998</v>
      </c>
      <c r="J812" s="40">
        <f t="shared" si="541"/>
        <v>4387.1187360000004</v>
      </c>
      <c r="K812" s="40">
        <f t="shared" si="541"/>
        <v>5436.8981450000001</v>
      </c>
      <c r="L812" s="40">
        <f t="shared" si="541"/>
        <v>4422.0971550000004</v>
      </c>
      <c r="M812" s="40">
        <f t="shared" si="541"/>
        <v>4834.3725080000004</v>
      </c>
      <c r="N812" s="40">
        <f t="shared" si="541"/>
        <v>5379.6200570000001</v>
      </c>
      <c r="O812" s="40">
        <f t="shared" ref="O812:Q812" si="542">O784*O798</f>
        <v>4630.9393199999995</v>
      </c>
      <c r="P812" s="40">
        <f t="shared" si="542"/>
        <v>4867.4598070000002</v>
      </c>
      <c r="Q812" s="40">
        <f t="shared" si="542"/>
        <v>4537.6612400000004</v>
      </c>
      <c r="R812" s="40">
        <f t="shared" si="528"/>
        <v>59596.290074999997</v>
      </c>
      <c r="S812" s="31"/>
    </row>
    <row r="813" spans="1:19" x14ac:dyDescent="0.2">
      <c r="A813" t="s">
        <v>551</v>
      </c>
      <c r="B813" s="30" t="s">
        <v>552</v>
      </c>
      <c r="D813" s="21">
        <v>149</v>
      </c>
      <c r="F813" s="40">
        <f>F785*F798</f>
        <v>15348.5581826</v>
      </c>
      <c r="G813" s="40">
        <f t="shared" ref="G813:Q813" si="543">G785*G798</f>
        <v>15624.569346400001</v>
      </c>
      <c r="H813" s="40">
        <f t="shared" si="543"/>
        <v>14876.932683200001</v>
      </c>
      <c r="I813" s="40">
        <f t="shared" si="543"/>
        <v>15038.866468000002</v>
      </c>
      <c r="J813" s="40">
        <f t="shared" si="543"/>
        <v>12659.971209600002</v>
      </c>
      <c r="K813" s="40">
        <f t="shared" si="543"/>
        <v>15689.334647</v>
      </c>
      <c r="L813" s="40">
        <f t="shared" si="543"/>
        <v>12760.908933000001</v>
      </c>
      <c r="M813" s="40">
        <f t="shared" si="543"/>
        <v>13950.617808800002</v>
      </c>
      <c r="N813" s="40">
        <f t="shared" si="543"/>
        <v>15524.0464502</v>
      </c>
      <c r="O813" s="40">
        <f t="shared" si="543"/>
        <v>13363.567751999999</v>
      </c>
      <c r="P813" s="40">
        <f t="shared" si="543"/>
        <v>14046.098300199999</v>
      </c>
      <c r="Q813" s="40">
        <f t="shared" si="543"/>
        <v>13094.393864000001</v>
      </c>
      <c r="R813" s="40">
        <f t="shared" si="528"/>
        <v>171977.86564500004</v>
      </c>
      <c r="S813" s="31"/>
    </row>
    <row r="814" spans="1:19" s="30" customFormat="1" x14ac:dyDescent="0.2">
      <c r="A814" t="s">
        <v>147</v>
      </c>
      <c r="B814" t="s">
        <v>19</v>
      </c>
      <c r="C814"/>
      <c r="D814" s="21" t="s">
        <v>232</v>
      </c>
      <c r="E814"/>
      <c r="F814" s="23">
        <f t="shared" ref="F814:N814" si="544">F786*F799</f>
        <v>33023.399999999994</v>
      </c>
      <c r="G814" s="23">
        <f t="shared" si="544"/>
        <v>33023.399999999994</v>
      </c>
      <c r="H814" s="23">
        <f t="shared" si="544"/>
        <v>33023.399999999994</v>
      </c>
      <c r="I814" s="23">
        <f t="shared" si="544"/>
        <v>33161.399999999994</v>
      </c>
      <c r="J814" s="23">
        <f t="shared" si="544"/>
        <v>33161.399999999994</v>
      </c>
      <c r="K814" s="23">
        <f t="shared" si="544"/>
        <v>33023.399999999994</v>
      </c>
      <c r="L814" s="23">
        <f t="shared" si="544"/>
        <v>33023.399999999994</v>
      </c>
      <c r="M814" s="23">
        <f t="shared" si="544"/>
        <v>33023.399999999994</v>
      </c>
      <c r="N814" s="23">
        <f t="shared" si="544"/>
        <v>33023.399999999994</v>
      </c>
      <c r="O814" s="23">
        <f t="shared" ref="O814:Q814" si="545">O786*O799</f>
        <v>33023.399999999994</v>
      </c>
      <c r="P814" s="23">
        <f t="shared" si="545"/>
        <v>33023.399999999994</v>
      </c>
      <c r="Q814" s="23">
        <f t="shared" si="545"/>
        <v>33023.399999999994</v>
      </c>
      <c r="R814" s="23">
        <f t="shared" si="528"/>
        <v>396556.80000000005</v>
      </c>
      <c r="S814" s="31"/>
    </row>
    <row r="815" spans="1:19" x14ac:dyDescent="0.2">
      <c r="A815" s="30" t="s">
        <v>147</v>
      </c>
      <c r="B815" s="30" t="s">
        <v>21</v>
      </c>
      <c r="C815" s="30"/>
      <c r="D815" s="21" t="s">
        <v>232</v>
      </c>
      <c r="E815" s="30"/>
      <c r="F815" s="74">
        <f>'(R) Data'!C68</f>
        <v>0</v>
      </c>
      <c r="G815" s="74">
        <f>'(R) Data'!D68</f>
        <v>0</v>
      </c>
      <c r="H815" s="74">
        <f>'(R) Data'!E68</f>
        <v>0</v>
      </c>
      <c r="I815" s="74">
        <f>'(R) Data'!F68</f>
        <v>0</v>
      </c>
      <c r="J815" s="74">
        <f>'(R) Data'!G68</f>
        <v>0</v>
      </c>
      <c r="K815" s="74">
        <f>'(R) Data'!H68</f>
        <v>0</v>
      </c>
      <c r="L815" s="74">
        <f>'(R) Data'!I68</f>
        <v>0</v>
      </c>
      <c r="M815" s="74">
        <f>'(R) Data'!J68</f>
        <v>0</v>
      </c>
      <c r="N815" s="74">
        <f>'(R) Data'!K68</f>
        <v>0</v>
      </c>
      <c r="O815" s="74">
        <f>'(R) Data'!L68</f>
        <v>0</v>
      </c>
      <c r="P815" s="74">
        <f>'(R) Data'!M68</f>
        <v>0</v>
      </c>
      <c r="Q815" s="74">
        <f>'(R) Data'!N68</f>
        <v>0</v>
      </c>
      <c r="R815" s="70">
        <f t="shared" si="528"/>
        <v>0</v>
      </c>
      <c r="S815" s="31"/>
    </row>
    <row r="816" spans="1:19" x14ac:dyDescent="0.2">
      <c r="B816" t="s">
        <v>24</v>
      </c>
      <c r="F816" s="24">
        <f>F803+F811+F812+F813+F814+F815</f>
        <v>269218.47312950005</v>
      </c>
      <c r="G816" s="24">
        <f t="shared" ref="G816:R816" si="546">G803+G811+G812+G813+G814+G815</f>
        <v>272190.01255600003</v>
      </c>
      <c r="H816" s="24">
        <f t="shared" si="546"/>
        <v>263912.48306550004</v>
      </c>
      <c r="I816" s="24">
        <f t="shared" si="546"/>
        <v>266052.44639399997</v>
      </c>
      <c r="J816" s="24">
        <f t="shared" si="546"/>
        <v>239504.99728750001</v>
      </c>
      <c r="K816" s="24">
        <f t="shared" si="546"/>
        <v>273009.02128337917</v>
      </c>
      <c r="L816" s="24">
        <f t="shared" si="546"/>
        <v>241488.09692050001</v>
      </c>
      <c r="M816" s="24">
        <f t="shared" si="546"/>
        <v>254784.8599303588</v>
      </c>
      <c r="N816" s="24">
        <f t="shared" si="546"/>
        <v>272027.97941849998</v>
      </c>
      <c r="O816" s="24">
        <f t="shared" si="546"/>
        <v>248746.08908849998</v>
      </c>
      <c r="P816" s="24">
        <f t="shared" si="546"/>
        <v>256037.77682549998</v>
      </c>
      <c r="Q816" s="24">
        <f t="shared" si="546"/>
        <v>245738.9759275</v>
      </c>
      <c r="R816" s="24">
        <f t="shared" si="546"/>
        <v>3102711.211826738</v>
      </c>
      <c r="S816" s="31"/>
    </row>
    <row r="817" spans="1:19" x14ac:dyDescent="0.2">
      <c r="C817" s="61"/>
      <c r="F817" s="50"/>
      <c r="G817" s="50"/>
      <c r="S817" s="31"/>
    </row>
    <row r="818" spans="1:19" x14ac:dyDescent="0.2">
      <c r="A818" t="s">
        <v>305</v>
      </c>
      <c r="B818" t="s">
        <v>304</v>
      </c>
      <c r="C818" s="61"/>
      <c r="F818" s="40">
        <f t="shared" ref="F818:N818" si="547">F812</f>
        <v>5318.8072910000001</v>
      </c>
      <c r="G818" s="40">
        <f t="shared" si="547"/>
        <v>5414.4547240000002</v>
      </c>
      <c r="H818" s="40">
        <f t="shared" si="547"/>
        <v>5155.3727120000003</v>
      </c>
      <c r="I818" s="40">
        <f t="shared" si="547"/>
        <v>5211.4883799999998</v>
      </c>
      <c r="J818" s="40">
        <f t="shared" si="547"/>
        <v>4387.1187360000004</v>
      </c>
      <c r="K818" s="40">
        <f t="shared" si="547"/>
        <v>5436.8981450000001</v>
      </c>
      <c r="L818" s="40">
        <f t="shared" si="547"/>
        <v>4422.0971550000004</v>
      </c>
      <c r="M818" s="40">
        <f t="shared" si="547"/>
        <v>4834.3725080000004</v>
      </c>
      <c r="N818" s="40">
        <f t="shared" si="547"/>
        <v>5379.6200570000001</v>
      </c>
      <c r="O818" s="40">
        <f t="shared" ref="O818:Q818" si="548">O812</f>
        <v>4630.9393199999995</v>
      </c>
      <c r="P818" s="40">
        <f t="shared" si="548"/>
        <v>4867.4598070000002</v>
      </c>
      <c r="Q818" s="40">
        <f t="shared" si="548"/>
        <v>4537.6612400000004</v>
      </c>
      <c r="R818" s="23">
        <f>SUM(F818:Q818)</f>
        <v>59596.290074999997</v>
      </c>
      <c r="S818" s="31"/>
    </row>
    <row r="819" spans="1:19" x14ac:dyDescent="0.2">
      <c r="C819" s="61"/>
      <c r="F819" s="23"/>
      <c r="G819" s="23"/>
      <c r="H819" s="23"/>
      <c r="I819" s="23"/>
      <c r="K819" s="23"/>
      <c r="L819" s="23"/>
      <c r="M819" s="23"/>
      <c r="N819" s="23"/>
      <c r="O819" s="23"/>
      <c r="P819" s="23"/>
      <c r="Q819" s="23"/>
      <c r="R819" s="100"/>
      <c r="S819" s="31"/>
    </row>
    <row r="820" spans="1:19" ht="15.75" x14ac:dyDescent="0.25">
      <c r="B820" s="15" t="s">
        <v>145</v>
      </c>
      <c r="H820" s="701" t="s">
        <v>591</v>
      </c>
      <c r="J820" s="15"/>
      <c r="S820" s="31"/>
    </row>
    <row r="821" spans="1:19" x14ac:dyDescent="0.2">
      <c r="B821" s="172" t="s">
        <v>7</v>
      </c>
      <c r="C821" s="50"/>
      <c r="D821" s="50"/>
      <c r="E821" s="50"/>
      <c r="F821" s="50"/>
      <c r="G821" s="50"/>
      <c r="H821" s="50"/>
      <c r="I821" s="50"/>
      <c r="J821" s="50"/>
      <c r="K821" s="50"/>
      <c r="L821" s="50"/>
      <c r="M821" s="50"/>
      <c r="N821" s="50"/>
      <c r="O821" s="50"/>
      <c r="P821" s="50"/>
      <c r="Q821" s="50"/>
      <c r="R821" s="50"/>
      <c r="S821" s="31"/>
    </row>
    <row r="822" spans="1:19" x14ac:dyDescent="0.2">
      <c r="B822" s="868"/>
      <c r="C822" s="869"/>
      <c r="D822" s="869"/>
      <c r="E822" s="869"/>
      <c r="F822" s="870"/>
      <c r="G822" s="870"/>
      <c r="H822" s="870"/>
      <c r="I822" s="870"/>
      <c r="J822" s="870"/>
      <c r="K822" s="870"/>
      <c r="L822" s="870"/>
      <c r="M822" s="870"/>
      <c r="N822" s="870"/>
      <c r="O822" s="870"/>
      <c r="P822" s="870"/>
      <c r="Q822" s="871"/>
      <c r="R822" s="26"/>
      <c r="S822" s="31"/>
    </row>
    <row r="823" spans="1:19" x14ac:dyDescent="0.2">
      <c r="B823" s="872"/>
      <c r="C823" s="873"/>
      <c r="D823" s="873"/>
      <c r="E823" s="873"/>
      <c r="F823" s="874"/>
      <c r="G823" s="874"/>
      <c r="H823" s="874"/>
      <c r="I823" s="874"/>
      <c r="J823" s="874"/>
      <c r="K823" s="874"/>
      <c r="L823" s="874"/>
      <c r="M823" s="874"/>
      <c r="N823" s="874"/>
      <c r="O823" s="874"/>
      <c r="P823" s="874"/>
      <c r="Q823" s="875"/>
      <c r="R823" s="50"/>
      <c r="S823" s="31"/>
    </row>
    <row r="824" spans="1:19" x14ac:dyDescent="0.2">
      <c r="B824" s="872"/>
      <c r="C824" s="873"/>
      <c r="D824" s="873"/>
      <c r="E824" s="873"/>
      <c r="F824" s="876"/>
      <c r="G824" s="876"/>
      <c r="H824" s="876"/>
      <c r="I824" s="876"/>
      <c r="J824" s="876"/>
      <c r="K824" s="876"/>
      <c r="L824" s="876"/>
      <c r="M824" s="876"/>
      <c r="N824" s="876"/>
      <c r="O824" s="876"/>
      <c r="P824" s="876"/>
      <c r="Q824" s="877"/>
      <c r="R824" s="20"/>
      <c r="S824" s="31"/>
    </row>
    <row r="825" spans="1:19" x14ac:dyDescent="0.2">
      <c r="B825" s="872"/>
      <c r="C825" s="873"/>
      <c r="D825" s="873"/>
      <c r="E825" s="873"/>
      <c r="F825" s="876"/>
      <c r="G825" s="876"/>
      <c r="H825" s="876"/>
      <c r="I825" s="876"/>
      <c r="J825" s="876"/>
      <c r="K825" s="876"/>
      <c r="L825" s="876"/>
      <c r="M825" s="876"/>
      <c r="N825" s="876"/>
      <c r="O825" s="876"/>
      <c r="P825" s="876"/>
      <c r="Q825" s="877"/>
      <c r="R825" s="20"/>
      <c r="S825" s="31"/>
    </row>
    <row r="826" spans="1:19" ht="20.25" x14ac:dyDescent="0.3">
      <c r="B826" s="872"/>
      <c r="C826" s="873"/>
      <c r="D826" s="873"/>
      <c r="E826" s="873"/>
      <c r="F826" s="876"/>
      <c r="G826" s="876"/>
      <c r="H826" s="876"/>
      <c r="I826" s="901" t="s">
        <v>600</v>
      </c>
      <c r="J826" s="876"/>
      <c r="K826" s="876"/>
      <c r="L826" s="876"/>
      <c r="M826" s="876"/>
      <c r="N826" s="876"/>
      <c r="O826" s="876"/>
      <c r="P826" s="876"/>
      <c r="Q826" s="877"/>
      <c r="R826" s="20"/>
      <c r="S826" s="31"/>
    </row>
    <row r="827" spans="1:19" x14ac:dyDescent="0.2">
      <c r="B827" s="872"/>
      <c r="C827" s="873"/>
      <c r="D827" s="873"/>
      <c r="E827" s="873"/>
      <c r="F827" s="876"/>
      <c r="G827" s="876"/>
      <c r="H827" s="876"/>
      <c r="I827" s="876"/>
      <c r="J827" s="876"/>
      <c r="K827" s="876"/>
      <c r="L827" s="876"/>
      <c r="M827" s="876"/>
      <c r="N827" s="876"/>
      <c r="O827" s="876"/>
      <c r="P827" s="876"/>
      <c r="Q827" s="877"/>
      <c r="R827" s="20"/>
      <c r="S827" s="31"/>
    </row>
    <row r="828" spans="1:19" x14ac:dyDescent="0.2">
      <c r="B828" s="872"/>
      <c r="C828" s="873"/>
      <c r="D828" s="873"/>
      <c r="E828" s="873"/>
      <c r="F828" s="876"/>
      <c r="G828" s="876"/>
      <c r="H828" s="876"/>
      <c r="I828" s="876"/>
      <c r="J828" s="876"/>
      <c r="K828" s="876"/>
      <c r="L828" s="876"/>
      <c r="M828" s="876"/>
      <c r="N828" s="876"/>
      <c r="O828" s="876"/>
      <c r="P828" s="876"/>
      <c r="Q828" s="877"/>
      <c r="R828" s="20"/>
      <c r="S828" s="31"/>
    </row>
    <row r="829" spans="1:19" x14ac:dyDescent="0.2">
      <c r="B829" s="872"/>
      <c r="C829" s="873"/>
      <c r="D829" s="873"/>
      <c r="E829" s="873"/>
      <c r="F829" s="876"/>
      <c r="G829" s="876"/>
      <c r="H829" s="876"/>
      <c r="I829" s="876"/>
      <c r="J829" s="876"/>
      <c r="K829" s="876"/>
      <c r="L829" s="876"/>
      <c r="M829" s="876"/>
      <c r="N829" s="876"/>
      <c r="O829" s="876"/>
      <c r="P829" s="876"/>
      <c r="Q829" s="877"/>
      <c r="R829" s="20"/>
      <c r="S829" s="31"/>
    </row>
    <row r="830" spans="1:19" x14ac:dyDescent="0.2">
      <c r="B830" s="872"/>
      <c r="C830" s="873"/>
      <c r="D830" s="873"/>
      <c r="E830" s="873"/>
      <c r="F830" s="876"/>
      <c r="G830" s="876"/>
      <c r="H830" s="876"/>
      <c r="I830" s="876"/>
      <c r="J830" s="876"/>
      <c r="K830" s="876"/>
      <c r="L830" s="876"/>
      <c r="M830" s="876"/>
      <c r="N830" s="876"/>
      <c r="O830" s="876"/>
      <c r="P830" s="876"/>
      <c r="Q830" s="877"/>
      <c r="R830" s="20"/>
      <c r="S830" s="31"/>
    </row>
    <row r="831" spans="1:19" x14ac:dyDescent="0.2">
      <c r="B831" s="878"/>
      <c r="C831" s="879"/>
      <c r="D831" s="879"/>
      <c r="E831" s="879"/>
      <c r="F831" s="880"/>
      <c r="G831" s="880"/>
      <c r="H831" s="880"/>
      <c r="I831" s="880"/>
      <c r="J831" s="880"/>
      <c r="K831" s="880"/>
      <c r="L831" s="880"/>
      <c r="M831" s="880"/>
      <c r="N831" s="880"/>
      <c r="O831" s="880"/>
      <c r="P831" s="880"/>
      <c r="Q831" s="881"/>
      <c r="R831" s="26"/>
      <c r="S831" s="31"/>
    </row>
    <row r="832" spans="1:19" x14ac:dyDescent="0.2">
      <c r="B832" s="50"/>
      <c r="C832" s="50"/>
      <c r="D832" s="50"/>
      <c r="E832" s="50"/>
      <c r="F832" s="50"/>
      <c r="G832" s="50"/>
      <c r="H832" s="50"/>
      <c r="I832" s="50"/>
      <c r="J832" s="50"/>
      <c r="K832" s="50"/>
      <c r="L832" s="50"/>
      <c r="M832" s="50"/>
      <c r="N832" s="50"/>
      <c r="O832" s="50"/>
      <c r="P832" s="50"/>
      <c r="Q832" s="50"/>
      <c r="R832" s="50"/>
      <c r="S832" s="31"/>
    </row>
    <row r="833" spans="1:19" x14ac:dyDescent="0.2">
      <c r="B833" s="172" t="s">
        <v>8</v>
      </c>
      <c r="C833" s="50"/>
      <c r="D833" s="50"/>
      <c r="E833" s="50"/>
      <c r="F833" s="50"/>
      <c r="G833" s="50"/>
      <c r="H833" s="50"/>
      <c r="I833" s="50"/>
      <c r="J833" s="50"/>
      <c r="K833" s="50"/>
      <c r="L833" s="50"/>
      <c r="M833" s="50"/>
      <c r="N833" s="50"/>
      <c r="O833" s="50"/>
      <c r="P833" s="50"/>
      <c r="Q833" s="50"/>
      <c r="R833" s="50"/>
      <c r="S833" s="31"/>
    </row>
    <row r="834" spans="1:19" x14ac:dyDescent="0.2">
      <c r="B834" s="868"/>
      <c r="C834" s="869"/>
      <c r="D834" s="869"/>
      <c r="E834" s="869"/>
      <c r="F834" s="882"/>
      <c r="G834" s="882"/>
      <c r="H834" s="882"/>
      <c r="I834" s="882"/>
      <c r="J834" s="882"/>
      <c r="K834" s="882"/>
      <c r="L834" s="882"/>
      <c r="M834" s="882"/>
      <c r="N834" s="882"/>
      <c r="O834" s="882"/>
      <c r="P834" s="882"/>
      <c r="Q834" s="882"/>
      <c r="R834" s="883"/>
      <c r="S834" s="31"/>
    </row>
    <row r="835" spans="1:19" s="30" customFormat="1" x14ac:dyDescent="0.2">
      <c r="B835" s="872"/>
      <c r="C835" s="873"/>
      <c r="D835" s="873"/>
      <c r="E835" s="873"/>
      <c r="F835" s="884"/>
      <c r="G835" s="884"/>
      <c r="H835" s="884"/>
      <c r="I835" s="884"/>
      <c r="J835" s="884"/>
      <c r="K835" s="884"/>
      <c r="L835" s="884"/>
      <c r="M835" s="884"/>
      <c r="N835" s="884"/>
      <c r="O835" s="884"/>
      <c r="P835" s="884"/>
      <c r="Q835" s="884"/>
      <c r="R835" s="885"/>
      <c r="S835" s="31"/>
    </row>
    <row r="836" spans="1:19" s="30" customFormat="1" x14ac:dyDescent="0.2">
      <c r="B836" s="872"/>
      <c r="C836" s="873"/>
      <c r="D836" s="873"/>
      <c r="E836" s="873"/>
      <c r="F836" s="886"/>
      <c r="G836" s="886"/>
      <c r="H836" s="886"/>
      <c r="I836" s="886"/>
      <c r="J836" s="886"/>
      <c r="K836" s="886"/>
      <c r="L836" s="886"/>
      <c r="M836" s="886"/>
      <c r="N836" s="886"/>
      <c r="O836" s="886"/>
      <c r="P836" s="886"/>
      <c r="Q836" s="886"/>
      <c r="R836" s="885"/>
      <c r="S836" s="31"/>
    </row>
    <row r="837" spans="1:19" s="30" customFormat="1" ht="20.25" x14ac:dyDescent="0.3">
      <c r="B837" s="872"/>
      <c r="C837" s="873"/>
      <c r="D837" s="873"/>
      <c r="E837" s="873"/>
      <c r="F837" s="886"/>
      <c r="G837" s="886"/>
      <c r="H837" s="886"/>
      <c r="I837" s="902" t="s">
        <v>600</v>
      </c>
      <c r="J837" s="886"/>
      <c r="K837" s="886"/>
      <c r="L837" s="886"/>
      <c r="M837" s="886"/>
      <c r="N837" s="886"/>
      <c r="O837" s="886"/>
      <c r="P837" s="886"/>
      <c r="Q837" s="886"/>
      <c r="R837" s="885"/>
      <c r="S837" s="31"/>
    </row>
    <row r="838" spans="1:19" s="30" customFormat="1" x14ac:dyDescent="0.2">
      <c r="B838" s="872"/>
      <c r="C838" s="873"/>
      <c r="D838" s="873"/>
      <c r="E838" s="873"/>
      <c r="F838" s="886"/>
      <c r="G838" s="886"/>
      <c r="H838" s="886"/>
      <c r="I838" s="886"/>
      <c r="J838" s="886"/>
      <c r="K838" s="886"/>
      <c r="L838" s="886"/>
      <c r="M838" s="886"/>
      <c r="N838" s="886"/>
      <c r="O838" s="886"/>
      <c r="P838" s="886"/>
      <c r="Q838" s="886"/>
      <c r="R838" s="885"/>
      <c r="S838" s="31"/>
    </row>
    <row r="839" spans="1:19" s="30" customFormat="1" x14ac:dyDescent="0.2">
      <c r="B839" s="872"/>
      <c r="C839" s="873"/>
      <c r="D839" s="873"/>
      <c r="E839" s="873"/>
      <c r="F839" s="886"/>
      <c r="G839" s="886"/>
      <c r="H839" s="886"/>
      <c r="I839" s="886"/>
      <c r="J839" s="886"/>
      <c r="K839" s="886"/>
      <c r="L839" s="886"/>
      <c r="M839" s="886"/>
      <c r="N839" s="886"/>
      <c r="O839" s="886"/>
      <c r="P839" s="886"/>
      <c r="Q839" s="886"/>
      <c r="R839" s="885"/>
      <c r="S839" s="31"/>
    </row>
    <row r="840" spans="1:19" s="30" customFormat="1" x14ac:dyDescent="0.2">
      <c r="B840" s="872"/>
      <c r="C840" s="873"/>
      <c r="D840" s="873"/>
      <c r="E840" s="873"/>
      <c r="F840" s="886"/>
      <c r="G840" s="886"/>
      <c r="H840" s="886"/>
      <c r="I840" s="886"/>
      <c r="J840" s="886"/>
      <c r="K840" s="886"/>
      <c r="L840" s="886"/>
      <c r="M840" s="886"/>
      <c r="N840" s="886"/>
      <c r="O840" s="886"/>
      <c r="P840" s="886"/>
      <c r="Q840" s="886"/>
      <c r="R840" s="885"/>
      <c r="S840" s="31"/>
    </row>
    <row r="841" spans="1:19" s="30" customFormat="1" x14ac:dyDescent="0.2">
      <c r="B841" s="878"/>
      <c r="C841" s="879"/>
      <c r="D841" s="879"/>
      <c r="E841" s="879"/>
      <c r="F841" s="887"/>
      <c r="G841" s="887"/>
      <c r="H841" s="887"/>
      <c r="I841" s="887"/>
      <c r="J841" s="887"/>
      <c r="K841" s="887"/>
      <c r="L841" s="887"/>
      <c r="M841" s="887"/>
      <c r="N841" s="887"/>
      <c r="O841" s="887"/>
      <c r="P841" s="887"/>
      <c r="Q841" s="887"/>
      <c r="R841" s="888"/>
      <c r="S841" s="31"/>
    </row>
    <row r="842" spans="1:19" s="30" customFormat="1" x14ac:dyDescent="0.2">
      <c r="B842" s="31"/>
      <c r="C842" s="31" t="s">
        <v>450</v>
      </c>
      <c r="D842" s="31"/>
      <c r="E842" s="31" t="s">
        <v>10</v>
      </c>
      <c r="F842" s="123">
        <f>'Weather Adj'!D182</f>
        <v>1921334.9100000001</v>
      </c>
      <c r="G842" s="169">
        <f>'Weather Adj'!E182</f>
        <v>1869187.75</v>
      </c>
      <c r="H842" s="169">
        <f>'Weather Adj'!F182</f>
        <v>2068982.99</v>
      </c>
      <c r="I842" s="169">
        <f>'Weather Adj'!G182</f>
        <v>3006871.56</v>
      </c>
      <c r="J842" s="169">
        <f>'Weather Adj'!H182</f>
        <v>3833917.62</v>
      </c>
      <c r="K842" s="169">
        <f>'Weather Adj'!I182</f>
        <v>4352917.41</v>
      </c>
      <c r="L842" s="169">
        <f>'Weather Adj'!J182</f>
        <v>4443467.74</v>
      </c>
      <c r="M842" s="169">
        <f>'Weather Adj'!K182</f>
        <v>3867486.2699999996</v>
      </c>
      <c r="N842" s="169">
        <f>'Weather Adj'!L182</f>
        <v>3813818.93</v>
      </c>
      <c r="O842" s="169">
        <f>'Weather Adj'!M182</f>
        <v>3266173.4099999997</v>
      </c>
      <c r="P842" s="169">
        <f>'Weather Adj'!N182</f>
        <v>2607580.04</v>
      </c>
      <c r="Q842" s="169">
        <f>'Weather Adj'!O182</f>
        <v>2223953.0499999998</v>
      </c>
      <c r="R842" s="124">
        <f>SUM(R836:R841)</f>
        <v>0</v>
      </c>
      <c r="S842" s="31"/>
    </row>
    <row r="843" spans="1:19" s="30" customFormat="1" x14ac:dyDescent="0.2">
      <c r="B843" s="889"/>
      <c r="C843" s="890"/>
      <c r="D843" s="890"/>
      <c r="E843" s="890"/>
      <c r="F843" s="891"/>
      <c r="G843" s="891"/>
      <c r="H843" s="891"/>
      <c r="I843" s="891"/>
      <c r="J843" s="891"/>
      <c r="K843" s="891"/>
      <c r="L843" s="891"/>
      <c r="M843" s="891"/>
      <c r="N843" s="891"/>
      <c r="O843" s="891"/>
      <c r="P843" s="891"/>
      <c r="Q843" s="891"/>
      <c r="R843" s="892"/>
      <c r="S843" s="31"/>
    </row>
    <row r="844" spans="1:19" x14ac:dyDescent="0.2">
      <c r="B844" s="50"/>
      <c r="C844" s="50"/>
      <c r="D844" s="50"/>
      <c r="E844" s="50"/>
      <c r="F844" s="50"/>
      <c r="G844" s="50"/>
      <c r="H844" s="50"/>
      <c r="I844" s="50"/>
      <c r="J844" s="50"/>
      <c r="K844" s="50"/>
      <c r="L844" s="50"/>
      <c r="M844" s="50"/>
      <c r="N844" s="50"/>
      <c r="O844" s="50"/>
      <c r="P844" s="50"/>
      <c r="Q844" s="50"/>
      <c r="R844" s="50"/>
      <c r="S844" s="31"/>
    </row>
    <row r="845" spans="1:19" ht="15.75" x14ac:dyDescent="0.25">
      <c r="D845" s="50"/>
      <c r="E845" s="50"/>
      <c r="F845" s="50"/>
      <c r="G845" s="50"/>
      <c r="H845" s="701" t="s">
        <v>591</v>
      </c>
      <c r="I845" s="50"/>
      <c r="J845" s="50"/>
      <c r="K845" s="50"/>
      <c r="L845" s="50"/>
      <c r="M845" s="50"/>
      <c r="N845" s="50"/>
      <c r="O845" s="50"/>
      <c r="P845" s="50"/>
      <c r="Q845" s="50"/>
      <c r="R845" s="50"/>
      <c r="S845" s="31"/>
    </row>
    <row r="846" spans="1:19" ht="15.75" x14ac:dyDescent="0.25">
      <c r="B846" s="172" t="s">
        <v>9</v>
      </c>
      <c r="C846" s="50"/>
      <c r="D846" s="50"/>
      <c r="E846" s="50"/>
      <c r="F846" s="50"/>
      <c r="G846" s="50"/>
      <c r="H846" s="701"/>
      <c r="I846" s="50"/>
      <c r="J846" s="50"/>
      <c r="K846" s="50"/>
      <c r="L846" s="50"/>
      <c r="M846" s="50"/>
      <c r="N846" s="50"/>
      <c r="O846" s="50"/>
      <c r="P846" s="50"/>
      <c r="Q846" s="50"/>
      <c r="R846" s="50"/>
      <c r="S846" s="31"/>
    </row>
    <row r="847" spans="1:19" x14ac:dyDescent="0.2">
      <c r="A847" t="s">
        <v>147</v>
      </c>
      <c r="B847" s="868"/>
      <c r="C847" s="869"/>
      <c r="D847" s="869"/>
      <c r="E847" s="869"/>
      <c r="F847" s="893"/>
      <c r="G847" s="893"/>
      <c r="H847" s="893"/>
      <c r="I847" s="893"/>
      <c r="J847" s="893"/>
      <c r="K847" s="893"/>
      <c r="L847" s="893"/>
      <c r="M847" s="893"/>
      <c r="N847" s="893"/>
      <c r="O847" s="893"/>
      <c r="P847" s="893"/>
      <c r="Q847" s="893"/>
      <c r="R847" s="898"/>
      <c r="S847" s="31"/>
    </row>
    <row r="848" spans="1:19" x14ac:dyDescent="0.2">
      <c r="B848" s="872"/>
      <c r="C848" s="873"/>
      <c r="D848" s="873"/>
      <c r="E848" s="873"/>
      <c r="F848" s="894"/>
      <c r="G848" s="894"/>
      <c r="H848" s="894"/>
      <c r="I848" s="894"/>
      <c r="J848" s="894"/>
      <c r="K848" s="894"/>
      <c r="L848" s="894"/>
      <c r="M848" s="894"/>
      <c r="N848" s="894"/>
      <c r="O848" s="894"/>
      <c r="P848" s="894"/>
      <c r="Q848" s="894"/>
      <c r="R848" s="899"/>
      <c r="S848" s="31"/>
    </row>
    <row r="849" spans="1:19" x14ac:dyDescent="0.2">
      <c r="B849" s="872"/>
      <c r="C849" s="873"/>
      <c r="D849" s="873"/>
      <c r="E849" s="873"/>
      <c r="F849" s="894"/>
      <c r="G849" s="894"/>
      <c r="H849" s="894"/>
      <c r="I849" s="894"/>
      <c r="J849" s="894"/>
      <c r="K849" s="894"/>
      <c r="L849" s="894"/>
      <c r="M849" s="894"/>
      <c r="N849" s="894"/>
      <c r="O849" s="894"/>
      <c r="P849" s="894"/>
      <c r="Q849" s="894"/>
      <c r="R849" s="899"/>
      <c r="S849" s="31"/>
    </row>
    <row r="850" spans="1:19" x14ac:dyDescent="0.2">
      <c r="B850" s="872"/>
      <c r="C850" s="873"/>
      <c r="D850" s="873"/>
      <c r="E850" s="873"/>
      <c r="F850" s="894"/>
      <c r="G850" s="894"/>
      <c r="H850" s="894"/>
      <c r="I850" s="894"/>
      <c r="J850" s="894"/>
      <c r="K850" s="894"/>
      <c r="L850" s="894"/>
      <c r="M850" s="894"/>
      <c r="N850" s="894"/>
      <c r="O850" s="894"/>
      <c r="P850" s="894"/>
      <c r="Q850" s="894"/>
      <c r="R850" s="899"/>
      <c r="S850" s="31"/>
    </row>
    <row r="851" spans="1:19" x14ac:dyDescent="0.2">
      <c r="B851" s="872"/>
      <c r="C851" s="873"/>
      <c r="D851" s="873"/>
      <c r="E851" s="873"/>
      <c r="F851" s="894"/>
      <c r="G851" s="894"/>
      <c r="H851" s="894"/>
      <c r="I851" s="894"/>
      <c r="J851" s="894"/>
      <c r="K851" s="894"/>
      <c r="L851" s="894"/>
      <c r="M851" s="894"/>
      <c r="N851" s="894"/>
      <c r="O851" s="894"/>
      <c r="P851" s="894"/>
      <c r="Q851" s="894"/>
      <c r="R851" s="899"/>
      <c r="S851" s="31"/>
    </row>
    <row r="852" spans="1:19" ht="20.25" x14ac:dyDescent="0.3">
      <c r="B852" s="872"/>
      <c r="C852" s="873"/>
      <c r="D852" s="873"/>
      <c r="E852" s="873"/>
      <c r="F852" s="894"/>
      <c r="G852" s="894"/>
      <c r="H852" s="894"/>
      <c r="I852" s="903" t="s">
        <v>600</v>
      </c>
      <c r="J852" s="894"/>
      <c r="K852" s="894"/>
      <c r="L852" s="894"/>
      <c r="M852" s="894"/>
      <c r="N852" s="894"/>
      <c r="O852" s="894"/>
      <c r="P852" s="894"/>
      <c r="Q852" s="894"/>
      <c r="R852" s="899"/>
      <c r="S852" s="31"/>
    </row>
    <row r="853" spans="1:19" x14ac:dyDescent="0.2">
      <c r="B853" s="872"/>
      <c r="C853" s="873"/>
      <c r="D853" s="873"/>
      <c r="E853" s="873"/>
      <c r="F853" s="894"/>
      <c r="G853" s="894"/>
      <c r="H853" s="894"/>
      <c r="I853" s="894"/>
      <c r="J853" s="894"/>
      <c r="K853" s="894"/>
      <c r="L853" s="894"/>
      <c r="M853" s="894"/>
      <c r="N853" s="894"/>
      <c r="O853" s="894"/>
      <c r="P853" s="894"/>
      <c r="Q853" s="894"/>
      <c r="R853" s="899"/>
      <c r="S853" s="31"/>
    </row>
    <row r="854" spans="1:19" x14ac:dyDescent="0.2">
      <c r="B854" s="872"/>
      <c r="C854" s="873"/>
      <c r="D854" s="873"/>
      <c r="E854" s="873"/>
      <c r="F854" s="895"/>
      <c r="G854" s="895"/>
      <c r="H854" s="895"/>
      <c r="I854" s="895"/>
      <c r="J854" s="895"/>
      <c r="K854" s="895"/>
      <c r="L854" s="895"/>
      <c r="M854" s="895"/>
      <c r="N854" s="895"/>
      <c r="O854" s="895"/>
      <c r="P854" s="895"/>
      <c r="Q854" s="895"/>
      <c r="R854" s="900"/>
      <c r="S854" s="31"/>
    </row>
    <row r="855" spans="1:19" x14ac:dyDescent="0.2">
      <c r="A855" t="s">
        <v>147</v>
      </c>
      <c r="B855" s="872"/>
      <c r="C855" s="873"/>
      <c r="D855" s="873"/>
      <c r="E855" s="873"/>
      <c r="F855" s="894"/>
      <c r="G855" s="894"/>
      <c r="H855" s="894"/>
      <c r="I855" s="894"/>
      <c r="J855" s="894"/>
      <c r="K855" s="894"/>
      <c r="L855" s="894"/>
      <c r="M855" s="894"/>
      <c r="N855" s="894"/>
      <c r="O855" s="894"/>
      <c r="P855" s="894"/>
      <c r="Q855" s="894"/>
      <c r="R855" s="899"/>
      <c r="S855" s="31"/>
    </row>
    <row r="856" spans="1:19" x14ac:dyDescent="0.2">
      <c r="A856" t="s">
        <v>551</v>
      </c>
      <c r="B856" s="872"/>
      <c r="C856" s="873"/>
      <c r="D856" s="873"/>
      <c r="E856" s="873"/>
      <c r="F856" s="894"/>
      <c r="G856" s="894"/>
      <c r="H856" s="894"/>
      <c r="I856" s="894"/>
      <c r="J856" s="894"/>
      <c r="K856" s="894"/>
      <c r="L856" s="894"/>
      <c r="M856" s="894"/>
      <c r="N856" s="894"/>
      <c r="O856" s="894"/>
      <c r="P856" s="894"/>
      <c r="Q856" s="894"/>
      <c r="R856" s="899"/>
      <c r="S856" s="31"/>
    </row>
    <row r="857" spans="1:19" x14ac:dyDescent="0.2">
      <c r="A857" t="s">
        <v>147</v>
      </c>
      <c r="B857" s="872"/>
      <c r="C857" s="873"/>
      <c r="D857" s="873"/>
      <c r="E857" s="873"/>
      <c r="F857" s="895"/>
      <c r="G857" s="895"/>
      <c r="H857" s="895"/>
      <c r="I857" s="895"/>
      <c r="J857" s="895"/>
      <c r="K857" s="895"/>
      <c r="L857" s="895"/>
      <c r="M857" s="895"/>
      <c r="N857" s="895"/>
      <c r="O857" s="895"/>
      <c r="P857" s="895"/>
      <c r="Q857" s="895"/>
      <c r="R857" s="897"/>
      <c r="S857" s="31"/>
    </row>
    <row r="858" spans="1:19" x14ac:dyDescent="0.2">
      <c r="B858" s="878"/>
      <c r="C858" s="879"/>
      <c r="D858" s="879"/>
      <c r="E858" s="879"/>
      <c r="F858" s="896"/>
      <c r="G858" s="896"/>
      <c r="H858" s="896"/>
      <c r="I858" s="896"/>
      <c r="J858" s="896"/>
      <c r="K858" s="896"/>
      <c r="L858" s="896"/>
      <c r="M858" s="896"/>
      <c r="N858" s="896"/>
      <c r="O858" s="896"/>
      <c r="P858" s="896"/>
      <c r="Q858" s="897"/>
      <c r="R858" s="40"/>
      <c r="S858" s="31"/>
    </row>
    <row r="859" spans="1:19" x14ac:dyDescent="0.2">
      <c r="F859" s="23"/>
      <c r="G859" s="23"/>
      <c r="H859" s="23"/>
      <c r="I859" s="23"/>
      <c r="J859" s="23"/>
      <c r="K859" s="23"/>
      <c r="L859" s="23"/>
      <c r="M859" s="23"/>
      <c r="N859" s="23"/>
      <c r="O859" s="23"/>
      <c r="P859" s="23"/>
      <c r="Q859" s="23"/>
      <c r="R859" s="23"/>
      <c r="S859" s="31"/>
    </row>
    <row r="860" spans="1:19" x14ac:dyDescent="0.2">
      <c r="B860" s="15" t="s">
        <v>77</v>
      </c>
      <c r="S860" s="31"/>
    </row>
    <row r="861" spans="1:19" x14ac:dyDescent="0.2">
      <c r="B861" s="15" t="s">
        <v>66</v>
      </c>
      <c r="S861" s="31"/>
    </row>
    <row r="862" spans="1:19" x14ac:dyDescent="0.2">
      <c r="B862" s="102" t="s">
        <v>11</v>
      </c>
      <c r="D862">
        <v>16</v>
      </c>
      <c r="F862" s="22">
        <f t="shared" ref="F862:Q862" si="549">F15</f>
        <v>43.47768421052632</v>
      </c>
      <c r="G862" s="22">
        <f t="shared" si="549"/>
        <v>43.206684210526319</v>
      </c>
      <c r="H862" s="22">
        <f t="shared" si="549"/>
        <v>40.764105263157894</v>
      </c>
      <c r="I862" s="22">
        <f t="shared" si="549"/>
        <v>43.372736842105262</v>
      </c>
      <c r="J862" s="22">
        <f t="shared" si="549"/>
        <v>41.239421052631577</v>
      </c>
      <c r="K862" s="22">
        <f t="shared" si="549"/>
        <v>42.110894736842106</v>
      </c>
      <c r="L862" s="22">
        <f t="shared" si="549"/>
        <v>41.98047368421053</v>
      </c>
      <c r="M862" s="22">
        <f t="shared" si="549"/>
        <v>38.085421052631581</v>
      </c>
      <c r="N862" s="22">
        <f t="shared" si="549"/>
        <v>43.992421052631578</v>
      </c>
      <c r="O862" s="22">
        <f t="shared" si="549"/>
        <v>43.244789473684207</v>
      </c>
      <c r="P862" s="22">
        <f t="shared" si="549"/>
        <v>43.088157894736838</v>
      </c>
      <c r="Q862" s="22">
        <f t="shared" si="549"/>
        <v>40.281684210526315</v>
      </c>
      <c r="R862" s="107">
        <f>SUM(F862:Q862)</f>
        <v>504.84447368421053</v>
      </c>
      <c r="S862" s="62"/>
    </row>
    <row r="863" spans="1:19" x14ac:dyDescent="0.2">
      <c r="B863" s="102"/>
      <c r="F863" s="22"/>
      <c r="G863" s="22"/>
      <c r="H863" s="22"/>
      <c r="I863" s="22"/>
      <c r="J863" s="22"/>
      <c r="K863" s="22"/>
      <c r="L863" s="22"/>
      <c r="M863" s="22"/>
      <c r="N863" s="22"/>
      <c r="O863" s="22"/>
      <c r="P863" s="22"/>
      <c r="Q863" s="22"/>
      <c r="R863" s="22"/>
      <c r="S863" s="31"/>
    </row>
    <row r="864" spans="1:19" x14ac:dyDescent="0.2">
      <c r="B864" t="s">
        <v>316</v>
      </c>
      <c r="S864" s="31"/>
    </row>
    <row r="865" spans="3:19" x14ac:dyDescent="0.2">
      <c r="C865" t="s">
        <v>72</v>
      </c>
      <c r="D865">
        <v>23</v>
      </c>
      <c r="E865" s="22"/>
      <c r="F865" s="22">
        <f t="shared" ref="F865:Q865" si="550">F36</f>
        <v>791033.10106899915</v>
      </c>
      <c r="G865" s="22">
        <f t="shared" si="550"/>
        <v>799125.72983479116</v>
      </c>
      <c r="H865" s="22">
        <f t="shared" si="550"/>
        <v>753288.30126336252</v>
      </c>
      <c r="I865" s="22">
        <f t="shared" si="550"/>
        <v>788504.85519922257</v>
      </c>
      <c r="J865" s="22">
        <f t="shared" si="550"/>
        <v>754044.3041788144</v>
      </c>
      <c r="K865" s="22">
        <f t="shared" si="550"/>
        <v>778711.52441646787</v>
      </c>
      <c r="L865" s="22">
        <f t="shared" si="550"/>
        <v>781852.52976234653</v>
      </c>
      <c r="M865" s="22">
        <f t="shared" si="550"/>
        <v>710122.15909090906</v>
      </c>
      <c r="N865" s="22">
        <f t="shared" si="550"/>
        <v>810554.56545454555</v>
      </c>
      <c r="O865" s="22">
        <f t="shared" si="550"/>
        <v>796412.53272727272</v>
      </c>
      <c r="P865" s="22">
        <f t="shared" si="550"/>
        <v>800300.15272727271</v>
      </c>
      <c r="Q865" s="22">
        <f t="shared" si="550"/>
        <v>765726.25818181818</v>
      </c>
      <c r="R865" s="107">
        <f>SUM(F865:Q865)</f>
        <v>9329676.0139058214</v>
      </c>
      <c r="S865" s="62"/>
    </row>
    <row r="866" spans="3:19" x14ac:dyDescent="0.2">
      <c r="C866" t="s">
        <v>75</v>
      </c>
      <c r="D866">
        <v>53</v>
      </c>
      <c r="E866" s="22"/>
      <c r="F866" s="22">
        <f t="shared" ref="F866:Q866" si="551">F56</f>
        <v>1.0145772594752187</v>
      </c>
      <c r="G866" s="22">
        <f t="shared" si="551"/>
        <v>1.0505344995140915</v>
      </c>
      <c r="H866" s="22">
        <f t="shared" si="551"/>
        <v>0.9659863945578232</v>
      </c>
      <c r="I866" s="22">
        <f t="shared" si="551"/>
        <v>1.0174927113702625</v>
      </c>
      <c r="J866" s="22">
        <f t="shared" si="551"/>
        <v>1.0165208940719146</v>
      </c>
      <c r="K866" s="22">
        <f t="shared" si="551"/>
        <v>0.98158582913684955</v>
      </c>
      <c r="L866" s="22">
        <f t="shared" si="551"/>
        <v>1.2354545454545454</v>
      </c>
      <c r="M866" s="22">
        <f t="shared" si="551"/>
        <v>0.25</v>
      </c>
      <c r="N866" s="22">
        <f t="shared" si="551"/>
        <v>0</v>
      </c>
      <c r="O866" s="22">
        <f t="shared" si="551"/>
        <v>0</v>
      </c>
      <c r="P866" s="22">
        <f t="shared" si="551"/>
        <v>0</v>
      </c>
      <c r="Q866" s="22">
        <f t="shared" si="551"/>
        <v>0</v>
      </c>
      <c r="R866" s="107">
        <f>SUM(F866:Q866)</f>
        <v>7.5321521335807056</v>
      </c>
      <c r="S866" s="62"/>
    </row>
    <row r="867" spans="3:19" x14ac:dyDescent="0.2">
      <c r="C867" t="s">
        <v>101</v>
      </c>
      <c r="D867">
        <v>31</v>
      </c>
      <c r="E867" s="22"/>
      <c r="F867" s="22">
        <f t="shared" ref="F867:Q867" si="552">F78</f>
        <v>55936.156343956711</v>
      </c>
      <c r="G867" s="22">
        <f t="shared" si="552"/>
        <v>56724.969933854481</v>
      </c>
      <c r="H867" s="22">
        <f t="shared" si="552"/>
        <v>53454.891160553219</v>
      </c>
      <c r="I867" s="22">
        <f t="shared" si="552"/>
        <v>55802.520745640417</v>
      </c>
      <c r="J867" s="22">
        <f t="shared" si="552"/>
        <v>53601.754359591105</v>
      </c>
      <c r="K867" s="22">
        <f t="shared" si="552"/>
        <v>55562.214992229521</v>
      </c>
      <c r="L867" s="22">
        <f t="shared" si="552"/>
        <v>55587.03296056504</v>
      </c>
      <c r="M867" s="22">
        <f t="shared" si="552"/>
        <v>50550.286933490293</v>
      </c>
      <c r="N867" s="22">
        <f t="shared" si="552"/>
        <v>57714.630076515597</v>
      </c>
      <c r="O867" s="22">
        <f t="shared" si="552"/>
        <v>56418.82960565039</v>
      </c>
      <c r="P867" s="22">
        <f t="shared" si="552"/>
        <v>56698.709888059711</v>
      </c>
      <c r="Q867" s="22">
        <f t="shared" si="552"/>
        <v>54030.333644278617</v>
      </c>
      <c r="R867" s="107">
        <f>SUM(F867:Q867)</f>
        <v>662082.33064438507</v>
      </c>
      <c r="S867" s="62"/>
    </row>
    <row r="868" spans="3:19" x14ac:dyDescent="0.2">
      <c r="C868" t="s">
        <v>538</v>
      </c>
      <c r="D868" s="21" t="s">
        <v>387</v>
      </c>
      <c r="E868" s="22"/>
      <c r="F868" s="22">
        <f t="shared" ref="F868:R868" si="553">F123</f>
        <v>2</v>
      </c>
      <c r="G868" s="22">
        <f t="shared" si="553"/>
        <v>2</v>
      </c>
      <c r="H868" s="22">
        <f t="shared" si="553"/>
        <v>2.9999999999999996</v>
      </c>
      <c r="I868" s="22">
        <f t="shared" si="553"/>
        <v>2</v>
      </c>
      <c r="J868" s="22">
        <f t="shared" si="553"/>
        <v>2</v>
      </c>
      <c r="K868" s="22">
        <f t="shared" si="553"/>
        <v>2.000020827694831</v>
      </c>
      <c r="L868" s="22">
        <f t="shared" si="553"/>
        <v>2</v>
      </c>
      <c r="M868" s="22">
        <f t="shared" si="553"/>
        <v>2</v>
      </c>
      <c r="N868" s="22">
        <f t="shared" si="553"/>
        <v>2</v>
      </c>
      <c r="O868" s="22">
        <f t="shared" si="553"/>
        <v>2</v>
      </c>
      <c r="P868" s="22">
        <f t="shared" si="553"/>
        <v>2</v>
      </c>
      <c r="Q868" s="22">
        <f t="shared" si="553"/>
        <v>2</v>
      </c>
      <c r="R868" s="22">
        <f t="shared" si="553"/>
        <v>25.000020827694833</v>
      </c>
      <c r="S868" s="62"/>
    </row>
    <row r="869" spans="3:19" x14ac:dyDescent="0.2">
      <c r="C869" t="s">
        <v>102</v>
      </c>
      <c r="D869">
        <v>41</v>
      </c>
      <c r="E869" s="22"/>
      <c r="F869" s="22">
        <f t="shared" ref="F869:Q869" si="554">F175</f>
        <v>1287.9778656126482</v>
      </c>
      <c r="G869" s="22">
        <f t="shared" si="554"/>
        <v>1316.455248133509</v>
      </c>
      <c r="H869" s="22">
        <f t="shared" si="554"/>
        <v>1244.5072463768115</v>
      </c>
      <c r="I869" s="22">
        <f t="shared" si="554"/>
        <v>1291.2735177865613</v>
      </c>
      <c r="J869" s="22">
        <f t="shared" si="554"/>
        <v>1236.0861660079051</v>
      </c>
      <c r="K869" s="22">
        <f t="shared" si="554"/>
        <v>1293.4686895375128</v>
      </c>
      <c r="L869" s="22">
        <f t="shared" si="554"/>
        <v>1289.8973869259485</v>
      </c>
      <c r="M869" s="22">
        <f t="shared" si="554"/>
        <v>1185.0315131521834</v>
      </c>
      <c r="N869" s="22">
        <f t="shared" si="554"/>
        <v>1331.4759093671325</v>
      </c>
      <c r="O869" s="22">
        <f t="shared" si="554"/>
        <v>1305.7300112857019</v>
      </c>
      <c r="P869" s="22">
        <f t="shared" si="554"/>
        <v>1296.0508315324626</v>
      </c>
      <c r="Q869" s="22">
        <f t="shared" si="554"/>
        <v>817.19421215822592</v>
      </c>
      <c r="R869" s="107">
        <f t="shared" ref="R869:R886" si="555">SUM(F869:Q869)</f>
        <v>14895.148597876603</v>
      </c>
      <c r="S869" s="62"/>
    </row>
    <row r="870" spans="3:19" x14ac:dyDescent="0.2">
      <c r="C870" t="s">
        <v>277</v>
      </c>
      <c r="D870" s="21" t="s">
        <v>236</v>
      </c>
      <c r="E870" s="22"/>
      <c r="F870" s="22">
        <f t="shared" ref="F870:Q870" si="556">F263</f>
        <v>72</v>
      </c>
      <c r="G870" s="22">
        <f t="shared" si="556"/>
        <v>73</v>
      </c>
      <c r="H870" s="22">
        <f t="shared" si="556"/>
        <v>73</v>
      </c>
      <c r="I870" s="22">
        <f t="shared" si="556"/>
        <v>74</v>
      </c>
      <c r="J870" s="22">
        <f t="shared" si="556"/>
        <v>75</v>
      </c>
      <c r="K870" s="22">
        <f t="shared" si="556"/>
        <v>74.999888514211207</v>
      </c>
      <c r="L870" s="22">
        <f t="shared" si="556"/>
        <v>77</v>
      </c>
      <c r="M870" s="22">
        <f t="shared" si="556"/>
        <v>78.999999999999986</v>
      </c>
      <c r="N870" s="22">
        <f t="shared" si="556"/>
        <v>78.999999999999986</v>
      </c>
      <c r="O870" s="22">
        <f t="shared" si="556"/>
        <v>81</v>
      </c>
      <c r="P870" s="22">
        <f t="shared" si="556"/>
        <v>81</v>
      </c>
      <c r="Q870" s="22">
        <f t="shared" si="556"/>
        <v>83</v>
      </c>
      <c r="R870" s="107">
        <f t="shared" si="555"/>
        <v>921.99988851421119</v>
      </c>
      <c r="S870" s="62"/>
    </row>
    <row r="871" spans="3:19" x14ac:dyDescent="0.2">
      <c r="C871" t="s">
        <v>278</v>
      </c>
      <c r="D871" s="21" t="s">
        <v>231</v>
      </c>
      <c r="E871" s="22"/>
      <c r="F871" s="22">
        <f t="shared" ref="F871:Q871" si="557">F433</f>
        <v>33</v>
      </c>
      <c r="G871" s="22">
        <f t="shared" si="557"/>
        <v>33</v>
      </c>
      <c r="H871" s="22">
        <f t="shared" si="557"/>
        <v>33</v>
      </c>
      <c r="I871" s="22">
        <f t="shared" si="557"/>
        <v>33</v>
      </c>
      <c r="J871" s="22">
        <f t="shared" si="557"/>
        <v>33</v>
      </c>
      <c r="K871" s="22">
        <f t="shared" si="557"/>
        <v>32.999880693439685</v>
      </c>
      <c r="L871" s="22">
        <f t="shared" si="557"/>
        <v>33</v>
      </c>
      <c r="M871" s="22">
        <f t="shared" si="557"/>
        <v>33</v>
      </c>
      <c r="N871" s="22">
        <f t="shared" si="557"/>
        <v>33</v>
      </c>
      <c r="O871" s="22">
        <f t="shared" si="557"/>
        <v>33.00002141855061</v>
      </c>
      <c r="P871" s="22">
        <f t="shared" si="557"/>
        <v>33</v>
      </c>
      <c r="Q871" s="22">
        <f t="shared" si="557"/>
        <v>33</v>
      </c>
      <c r="R871" s="107">
        <f t="shared" si="555"/>
        <v>395.99990211199025</v>
      </c>
      <c r="S871" s="62"/>
    </row>
    <row r="872" spans="3:19" x14ac:dyDescent="0.2">
      <c r="C872" t="s">
        <v>312</v>
      </c>
      <c r="D872" s="21" t="s">
        <v>232</v>
      </c>
      <c r="E872" s="22"/>
      <c r="F872" s="22">
        <f t="shared" ref="F872:Q872" si="558">F744</f>
        <v>2.9999999999999996</v>
      </c>
      <c r="G872" s="22">
        <f t="shared" si="558"/>
        <v>2.9999999999999996</v>
      </c>
      <c r="H872" s="22">
        <f t="shared" si="558"/>
        <v>2.9999999999999996</v>
      </c>
      <c r="I872" s="22">
        <f t="shared" si="558"/>
        <v>2.9999999999999996</v>
      </c>
      <c r="J872" s="22">
        <f t="shared" si="558"/>
        <v>2.9999999999999996</v>
      </c>
      <c r="K872" s="22">
        <f t="shared" si="558"/>
        <v>3.0000127913274506</v>
      </c>
      <c r="L872" s="22">
        <f t="shared" si="558"/>
        <v>3</v>
      </c>
      <c r="M872" s="22">
        <f t="shared" si="558"/>
        <v>3</v>
      </c>
      <c r="N872" s="22">
        <f t="shared" si="558"/>
        <v>3</v>
      </c>
      <c r="O872" s="22">
        <f t="shared" si="558"/>
        <v>3</v>
      </c>
      <c r="P872" s="22">
        <f t="shared" si="558"/>
        <v>2.9999999999999996</v>
      </c>
      <c r="Q872" s="22">
        <f t="shared" si="558"/>
        <v>2.9999999999999996</v>
      </c>
      <c r="R872" s="107">
        <f t="shared" si="555"/>
        <v>36.00001279132745</v>
      </c>
      <c r="S872" s="62"/>
    </row>
    <row r="873" spans="3:19" x14ac:dyDescent="0.2">
      <c r="C873" t="s">
        <v>134</v>
      </c>
      <c r="D873">
        <v>85</v>
      </c>
      <c r="E873" s="22"/>
      <c r="F873" s="22">
        <f t="shared" ref="F873:Q873" si="559">F344</f>
        <v>22.642907679399361</v>
      </c>
      <c r="G873" s="22">
        <f t="shared" si="559"/>
        <v>23.143396991165101</v>
      </c>
      <c r="H873" s="22">
        <f t="shared" si="559"/>
        <v>22.896424270523134</v>
      </c>
      <c r="I873" s="22">
        <f t="shared" si="559"/>
        <v>24.089516671707617</v>
      </c>
      <c r="J873" s="22">
        <f t="shared" si="559"/>
        <v>23.905858893995589</v>
      </c>
      <c r="K873" s="22">
        <f t="shared" si="559"/>
        <v>25.340302967426002</v>
      </c>
      <c r="L873" s="22">
        <f t="shared" si="559"/>
        <v>24.117983299847172</v>
      </c>
      <c r="M873" s="22">
        <f t="shared" si="559"/>
        <v>23.37605519083894</v>
      </c>
      <c r="N873" s="22">
        <f t="shared" si="559"/>
        <v>24.507833165654986</v>
      </c>
      <c r="O873" s="22">
        <f t="shared" si="559"/>
        <v>24.002119284044948</v>
      </c>
      <c r="P873" s="22">
        <f t="shared" si="559"/>
        <v>24.086570537944109</v>
      </c>
      <c r="Q873" s="22">
        <f t="shared" si="559"/>
        <v>21.373717119054994</v>
      </c>
      <c r="R873" s="107">
        <f t="shared" si="555"/>
        <v>283.4826860716019</v>
      </c>
      <c r="S873" s="62"/>
    </row>
    <row r="874" spans="3:19" x14ac:dyDescent="0.2">
      <c r="C874" t="s">
        <v>133</v>
      </c>
      <c r="D874">
        <v>86</v>
      </c>
      <c r="E874" s="22"/>
      <c r="F874" s="22">
        <f t="shared" ref="F874:Q874" si="560">F511</f>
        <v>225.0993511477011</v>
      </c>
      <c r="G874" s="22">
        <f t="shared" si="560"/>
        <v>225.46549919765576</v>
      </c>
      <c r="H874" s="22">
        <f t="shared" si="560"/>
        <v>215.11086304332656</v>
      </c>
      <c r="I874" s="22">
        <f t="shared" si="560"/>
        <v>223.09404869880692</v>
      </c>
      <c r="J874" s="22">
        <f t="shared" si="560"/>
        <v>212.5506174562199</v>
      </c>
      <c r="K874" s="22">
        <f t="shared" si="560"/>
        <v>220.54810202637975</v>
      </c>
      <c r="L874" s="22">
        <f t="shared" si="560"/>
        <v>221.02480064873632</v>
      </c>
      <c r="M874" s="22">
        <f t="shared" si="560"/>
        <v>202.04635761589404</v>
      </c>
      <c r="N874" s="22">
        <f t="shared" si="560"/>
        <v>229.08034869576969</v>
      </c>
      <c r="O874" s="22">
        <f t="shared" si="560"/>
        <v>223.33720773077445</v>
      </c>
      <c r="P874" s="22">
        <f t="shared" si="560"/>
        <v>221.29097301951776</v>
      </c>
      <c r="Q874" s="22">
        <f t="shared" si="560"/>
        <v>210.97079506314577</v>
      </c>
      <c r="R874" s="107">
        <f t="shared" si="555"/>
        <v>2629.6189643439284</v>
      </c>
      <c r="S874" s="62"/>
    </row>
    <row r="875" spans="3:19" x14ac:dyDescent="0.2">
      <c r="C875" t="s">
        <v>138</v>
      </c>
      <c r="D875">
        <v>87</v>
      </c>
      <c r="E875" s="22"/>
      <c r="F875" s="22">
        <f t="shared" ref="F875:Q875" si="561">F637</f>
        <v>5.0130693501152717</v>
      </c>
      <c r="G875" s="22">
        <f t="shared" si="561"/>
        <v>5.1748862857498912</v>
      </c>
      <c r="H875" s="22">
        <f t="shared" si="561"/>
        <v>4.901177643466883</v>
      </c>
      <c r="I875" s="22">
        <f t="shared" si="561"/>
        <v>4.975668265935572</v>
      </c>
      <c r="J875" s="22">
        <f t="shared" si="561"/>
        <v>5.1083556607888339</v>
      </c>
      <c r="K875" s="22">
        <f t="shared" si="561"/>
        <v>5.1238280397033344</v>
      </c>
      <c r="L875" s="22">
        <f t="shared" si="561"/>
        <v>5.0417959266253032</v>
      </c>
      <c r="M875" s="22">
        <f t="shared" si="561"/>
        <v>4.8582074453736173</v>
      </c>
      <c r="N875" s="22">
        <f t="shared" si="561"/>
        <v>5</v>
      </c>
      <c r="O875" s="22">
        <f t="shared" si="561"/>
        <v>4.9655044510385755</v>
      </c>
      <c r="P875" s="22">
        <f t="shared" si="561"/>
        <v>5.101185884210337</v>
      </c>
      <c r="Q875" s="22">
        <f t="shared" si="561"/>
        <v>4.8688171657187969</v>
      </c>
      <c r="R875" s="107">
        <f t="shared" si="555"/>
        <v>60.132496118726415</v>
      </c>
      <c r="S875" s="62"/>
    </row>
    <row r="876" spans="3:19" x14ac:dyDescent="0.2">
      <c r="C876" t="s">
        <v>104</v>
      </c>
      <c r="D876">
        <v>31</v>
      </c>
      <c r="E876" s="22"/>
      <c r="F876" s="22">
        <f t="shared" ref="F876:Q876" si="562">F101</f>
        <v>2342.3767288033673</v>
      </c>
      <c r="G876" s="22">
        <f t="shared" si="562"/>
        <v>2373.6885147324115</v>
      </c>
      <c r="H876" s="22">
        <f t="shared" si="562"/>
        <v>2229.5706554419726</v>
      </c>
      <c r="I876" s="22">
        <f t="shared" si="562"/>
        <v>2333.3463619963923</v>
      </c>
      <c r="J876" s="22">
        <f t="shared" si="562"/>
        <v>2250.1939266386048</v>
      </c>
      <c r="K876" s="22">
        <f t="shared" si="562"/>
        <v>2314.2957372611745</v>
      </c>
      <c r="L876" s="22">
        <f t="shared" si="562"/>
        <v>2323.4841082989997</v>
      </c>
      <c r="M876" s="22">
        <f t="shared" si="562"/>
        <v>2108.1477339611538</v>
      </c>
      <c r="N876" s="22">
        <f t="shared" si="562"/>
        <v>2392.2798705120663</v>
      </c>
      <c r="O876" s="22">
        <f t="shared" si="562"/>
        <v>2357.4690994702769</v>
      </c>
      <c r="P876" s="22">
        <f t="shared" si="562"/>
        <v>2366.1710199004979</v>
      </c>
      <c r="Q876" s="22">
        <f t="shared" si="562"/>
        <v>2225.5973258706472</v>
      </c>
      <c r="R876" s="107">
        <f t="shared" si="555"/>
        <v>27616.621082887563</v>
      </c>
      <c r="S876" s="62"/>
    </row>
    <row r="877" spans="3:19" x14ac:dyDescent="0.2">
      <c r="C877" t="s">
        <v>537</v>
      </c>
      <c r="D877" s="21" t="s">
        <v>387</v>
      </c>
      <c r="E877" s="22"/>
      <c r="F877" s="22">
        <f t="shared" ref="F877:Q877" si="563">F145</f>
        <v>1</v>
      </c>
      <c r="G877" s="22">
        <f t="shared" si="563"/>
        <v>1</v>
      </c>
      <c r="H877" s="22">
        <f t="shared" si="563"/>
        <v>1</v>
      </c>
      <c r="I877" s="22">
        <f t="shared" si="563"/>
        <v>1</v>
      </c>
      <c r="J877" s="22">
        <f t="shared" si="563"/>
        <v>1</v>
      </c>
      <c r="K877" s="22">
        <f t="shared" si="563"/>
        <v>1.0000104138474155</v>
      </c>
      <c r="L877" s="22">
        <f t="shared" si="563"/>
        <v>1</v>
      </c>
      <c r="M877" s="22">
        <f t="shared" si="563"/>
        <v>1</v>
      </c>
      <c r="N877" s="22">
        <f t="shared" si="563"/>
        <v>1</v>
      </c>
      <c r="O877" s="22">
        <f t="shared" si="563"/>
        <v>1</v>
      </c>
      <c r="P877" s="22">
        <f t="shared" si="563"/>
        <v>1</v>
      </c>
      <c r="Q877" s="22">
        <f t="shared" si="563"/>
        <v>1</v>
      </c>
      <c r="R877" s="649">
        <f t="shared" si="555"/>
        <v>12.000010413847416</v>
      </c>
      <c r="S877" s="62"/>
    </row>
    <row r="878" spans="3:19" x14ac:dyDescent="0.2">
      <c r="C878" t="s">
        <v>105</v>
      </c>
      <c r="D878">
        <v>41</v>
      </c>
      <c r="E878" s="22"/>
      <c r="F878" s="22">
        <f t="shared" ref="F878:Q878" si="564">F221</f>
        <v>80.497848045674132</v>
      </c>
      <c r="G878" s="22">
        <f t="shared" si="564"/>
        <v>80.037417654808962</v>
      </c>
      <c r="H878" s="22">
        <f t="shared" si="564"/>
        <v>76.810803689064556</v>
      </c>
      <c r="I878" s="22">
        <f t="shared" si="564"/>
        <v>78.018093983311388</v>
      </c>
      <c r="J878" s="22">
        <f t="shared" si="564"/>
        <v>73.751075977162927</v>
      </c>
      <c r="K878" s="22">
        <f t="shared" si="564"/>
        <v>76.034583865049214</v>
      </c>
      <c r="L878" s="22">
        <f t="shared" si="564"/>
        <v>73.09532077437278</v>
      </c>
      <c r="M878" s="22">
        <f t="shared" si="564"/>
        <v>69.06155048181266</v>
      </c>
      <c r="N878" s="22">
        <f t="shared" si="564"/>
        <v>74.83974303324942</v>
      </c>
      <c r="O878" s="22">
        <f t="shared" si="564"/>
        <v>74.071099921868225</v>
      </c>
      <c r="P878" s="22">
        <f t="shared" si="564"/>
        <v>74.148642300103347</v>
      </c>
      <c r="Q878" s="22">
        <f t="shared" si="564"/>
        <v>31.613924645306774</v>
      </c>
      <c r="R878" s="107">
        <f t="shared" si="555"/>
        <v>861.98010437178436</v>
      </c>
      <c r="S878" s="62"/>
    </row>
    <row r="879" spans="3:19" x14ac:dyDescent="0.2">
      <c r="C879" t="s">
        <v>313</v>
      </c>
      <c r="D879" s="21" t="s">
        <v>236</v>
      </c>
      <c r="E879" s="22"/>
      <c r="F879" s="22">
        <f t="shared" ref="F879:Q879" si="565">F301</f>
        <v>27</v>
      </c>
      <c r="G879" s="22">
        <f t="shared" si="565"/>
        <v>25.033340924618535</v>
      </c>
      <c r="H879" s="22">
        <f t="shared" si="565"/>
        <v>25</v>
      </c>
      <c r="I879" s="22">
        <f t="shared" si="565"/>
        <v>25</v>
      </c>
      <c r="J879" s="22">
        <f t="shared" si="565"/>
        <v>25</v>
      </c>
      <c r="K879" s="22">
        <f t="shared" si="565"/>
        <v>24.999962838070402</v>
      </c>
      <c r="L879" s="22">
        <f t="shared" si="565"/>
        <v>25</v>
      </c>
      <c r="M879" s="22">
        <f t="shared" si="565"/>
        <v>25.035719108710332</v>
      </c>
      <c r="N879" s="22">
        <f t="shared" si="565"/>
        <v>25</v>
      </c>
      <c r="O879" s="22">
        <f t="shared" si="565"/>
        <v>24</v>
      </c>
      <c r="P879" s="22">
        <f t="shared" si="565"/>
        <v>22</v>
      </c>
      <c r="Q879" s="22">
        <f t="shared" si="565"/>
        <v>22</v>
      </c>
      <c r="R879" s="107">
        <f t="shared" si="555"/>
        <v>295.06902287139928</v>
      </c>
      <c r="S879" s="62"/>
    </row>
    <row r="880" spans="3:19" x14ac:dyDescent="0.2">
      <c r="C880" t="s">
        <v>314</v>
      </c>
      <c r="D880" s="21" t="s">
        <v>231</v>
      </c>
      <c r="E880" s="22"/>
      <c r="F880" s="22">
        <f t="shared" ref="F880:Q880" si="566">F470</f>
        <v>69.033338330085456</v>
      </c>
      <c r="G880" s="22">
        <f t="shared" si="566"/>
        <v>69.033328336581221</v>
      </c>
      <c r="H880" s="22">
        <f t="shared" si="566"/>
        <v>68.937500624594009</v>
      </c>
      <c r="I880" s="22">
        <f t="shared" si="566"/>
        <v>68.362504372158099</v>
      </c>
      <c r="J880" s="22">
        <f t="shared" si="566"/>
        <v>69.000000000000014</v>
      </c>
      <c r="K880" s="22">
        <f t="shared" si="566"/>
        <v>68.999750540828444</v>
      </c>
      <c r="L880" s="22">
        <f t="shared" si="566"/>
        <v>69</v>
      </c>
      <c r="M880" s="22">
        <f t="shared" si="566"/>
        <v>69</v>
      </c>
      <c r="N880" s="22">
        <f t="shared" si="566"/>
        <v>69</v>
      </c>
      <c r="O880" s="22">
        <f t="shared" si="566"/>
        <v>69.000032127825918</v>
      </c>
      <c r="P880" s="22">
        <f t="shared" si="566"/>
        <v>70</v>
      </c>
      <c r="Q880" s="22">
        <f t="shared" si="566"/>
        <v>71</v>
      </c>
      <c r="R880" s="107">
        <f t="shared" si="555"/>
        <v>830.36645433207309</v>
      </c>
      <c r="S880" s="62"/>
    </row>
    <row r="881" spans="2:19" x14ac:dyDescent="0.2">
      <c r="C881" t="s">
        <v>329</v>
      </c>
      <c r="D881" s="21" t="s">
        <v>298</v>
      </c>
      <c r="E881" s="22"/>
      <c r="F881" s="22">
        <f t="shared" ref="F881:Q881" si="567">F594</f>
        <v>4</v>
      </c>
      <c r="G881" s="22">
        <f t="shared" si="567"/>
        <v>4</v>
      </c>
      <c r="H881" s="22">
        <f t="shared" si="567"/>
        <v>4</v>
      </c>
      <c r="I881" s="22">
        <f t="shared" si="567"/>
        <v>4</v>
      </c>
      <c r="J881" s="22">
        <f t="shared" si="567"/>
        <v>2</v>
      </c>
      <c r="K881" s="22">
        <f t="shared" si="567"/>
        <v>1.9999719301096293</v>
      </c>
      <c r="L881" s="22">
        <f t="shared" si="567"/>
        <v>2</v>
      </c>
      <c r="M881" s="22">
        <f t="shared" si="567"/>
        <v>2</v>
      </c>
      <c r="N881" s="22">
        <f t="shared" si="567"/>
        <v>2</v>
      </c>
      <c r="O881" s="22">
        <f t="shared" si="567"/>
        <v>2</v>
      </c>
      <c r="P881" s="22">
        <f t="shared" si="567"/>
        <v>2</v>
      </c>
      <c r="Q881" s="22">
        <f t="shared" si="567"/>
        <v>2</v>
      </c>
      <c r="R881" s="107">
        <f t="shared" si="555"/>
        <v>31.999971930109631</v>
      </c>
      <c r="S881" s="62"/>
    </row>
    <row r="882" spans="2:19" x14ac:dyDescent="0.2">
      <c r="C882" t="s">
        <v>315</v>
      </c>
      <c r="D882" s="21" t="s">
        <v>232</v>
      </c>
      <c r="E882" s="22"/>
      <c r="F882" s="22">
        <f t="shared" ref="F882:Q882" si="568">F790</f>
        <v>5.9999999999999991</v>
      </c>
      <c r="G882" s="22">
        <f t="shared" si="568"/>
        <v>5.9999999999999991</v>
      </c>
      <c r="H882" s="22">
        <f t="shared" si="568"/>
        <v>5.9999999999999991</v>
      </c>
      <c r="I882" s="22">
        <f t="shared" si="568"/>
        <v>5.9999999999999991</v>
      </c>
      <c r="J882" s="22">
        <f t="shared" si="568"/>
        <v>5.9999999999999991</v>
      </c>
      <c r="K882" s="22">
        <f t="shared" si="568"/>
        <v>6.0000255826549012</v>
      </c>
      <c r="L882" s="22">
        <f t="shared" si="568"/>
        <v>6</v>
      </c>
      <c r="M882" s="22">
        <f t="shared" si="568"/>
        <v>6.7666701791359323</v>
      </c>
      <c r="N882" s="22">
        <f t="shared" si="568"/>
        <v>7</v>
      </c>
      <c r="O882" s="22">
        <f t="shared" si="568"/>
        <v>7</v>
      </c>
      <c r="P882" s="22">
        <f t="shared" si="568"/>
        <v>7</v>
      </c>
      <c r="Q882" s="22">
        <f t="shared" si="568"/>
        <v>7</v>
      </c>
      <c r="R882" s="107">
        <f t="shared" si="555"/>
        <v>76.766695761790828</v>
      </c>
      <c r="S882" s="62"/>
    </row>
    <row r="883" spans="2:19" x14ac:dyDescent="0.2">
      <c r="C883" t="s">
        <v>135</v>
      </c>
      <c r="D883">
        <v>85</v>
      </c>
      <c r="E883" s="22"/>
      <c r="F883" s="22">
        <f t="shared" ref="F883:Q883" si="569">F391</f>
        <v>4.0689467709182781</v>
      </c>
      <c r="G883" s="22">
        <f t="shared" si="569"/>
        <v>4.04005372475656</v>
      </c>
      <c r="H883" s="22">
        <f t="shared" si="569"/>
        <v>3.967749156553301</v>
      </c>
      <c r="I883" s="22">
        <f t="shared" si="569"/>
        <v>4.1100078348603315</v>
      </c>
      <c r="J883" s="22">
        <f t="shared" si="569"/>
        <v>3.9844102268911592</v>
      </c>
      <c r="K883" s="22">
        <f t="shared" si="569"/>
        <v>3.9576420884246191</v>
      </c>
      <c r="L883" s="22">
        <f t="shared" si="569"/>
        <v>4.0277920564751035</v>
      </c>
      <c r="M883" s="22">
        <f t="shared" si="569"/>
        <v>3.8663685274665016</v>
      </c>
      <c r="N883" s="22">
        <f t="shared" si="569"/>
        <v>4.0635687604948423</v>
      </c>
      <c r="O883" s="22">
        <f t="shared" si="569"/>
        <v>4.0043178780713475</v>
      </c>
      <c r="P883" s="22">
        <f t="shared" si="569"/>
        <v>4.0188672366334286</v>
      </c>
      <c r="Q883" s="22">
        <f t="shared" si="569"/>
        <v>3.9250961591045805</v>
      </c>
      <c r="R883" s="107">
        <f t="shared" si="555"/>
        <v>48.03482042065005</v>
      </c>
      <c r="S883" s="62"/>
    </row>
    <row r="884" spans="2:19" x14ac:dyDescent="0.2">
      <c r="C884" t="s">
        <v>136</v>
      </c>
      <c r="D884">
        <v>86</v>
      </c>
      <c r="E884" s="22"/>
      <c r="F884" s="22">
        <f t="shared" ref="F884:Q884" si="570">F555</f>
        <v>4.1890043954510565</v>
      </c>
      <c r="G884" s="22">
        <f t="shared" si="570"/>
        <v>4.0010465359659522</v>
      </c>
      <c r="H884" s="22">
        <f t="shared" si="570"/>
        <v>3.9609990930021626</v>
      </c>
      <c r="I884" s="22">
        <f t="shared" si="570"/>
        <v>4.0724202888439267</v>
      </c>
      <c r="J884" s="22">
        <f t="shared" si="570"/>
        <v>3.9504639642782391</v>
      </c>
      <c r="K884" s="22">
        <f t="shared" si="570"/>
        <v>4.0265456061345182</v>
      </c>
      <c r="L884" s="22">
        <f t="shared" si="570"/>
        <v>4.0333153128801191</v>
      </c>
      <c r="M884" s="22">
        <f t="shared" si="570"/>
        <v>3.8418705230436547</v>
      </c>
      <c r="N884" s="22">
        <f t="shared" si="570"/>
        <v>4.0787944316799569</v>
      </c>
      <c r="O884" s="22">
        <f t="shared" si="570"/>
        <v>4.0183808622786863</v>
      </c>
      <c r="P884" s="22">
        <f t="shared" si="570"/>
        <v>4.0172933409873703</v>
      </c>
      <c r="Q884" s="22">
        <f t="shared" si="570"/>
        <v>3.8964552238805967</v>
      </c>
      <c r="R884" s="107">
        <f t="shared" si="555"/>
        <v>48.086589578426235</v>
      </c>
      <c r="S884" s="62"/>
    </row>
    <row r="885" spans="2:19" x14ac:dyDescent="0.2">
      <c r="C885" t="s">
        <v>137</v>
      </c>
      <c r="D885">
        <v>87</v>
      </c>
      <c r="E885" s="22"/>
      <c r="F885" s="22">
        <f t="shared" ref="F885:Q885" si="571">F693</f>
        <v>0</v>
      </c>
      <c r="G885" s="22">
        <f t="shared" si="571"/>
        <v>0</v>
      </c>
      <c r="H885" s="22">
        <f t="shared" si="571"/>
        <v>0</v>
      </c>
      <c r="I885" s="22">
        <f t="shared" si="571"/>
        <v>0</v>
      </c>
      <c r="J885" s="22">
        <f t="shared" si="571"/>
        <v>0</v>
      </c>
      <c r="K885" s="22">
        <f t="shared" si="571"/>
        <v>0</v>
      </c>
      <c r="L885" s="22">
        <f t="shared" si="571"/>
        <v>0</v>
      </c>
      <c r="M885" s="22">
        <f t="shared" si="571"/>
        <v>0</v>
      </c>
      <c r="N885" s="22">
        <f t="shared" si="571"/>
        <v>0</v>
      </c>
      <c r="O885" s="22">
        <f t="shared" si="571"/>
        <v>0</v>
      </c>
      <c r="P885" s="22">
        <f t="shared" si="571"/>
        <v>0</v>
      </c>
      <c r="Q885" s="22">
        <f t="shared" si="571"/>
        <v>0</v>
      </c>
      <c r="R885" s="107">
        <f t="shared" si="555"/>
        <v>0</v>
      </c>
      <c r="S885" s="62"/>
    </row>
    <row r="886" spans="2:19" x14ac:dyDescent="0.2">
      <c r="C886" t="s">
        <v>146</v>
      </c>
      <c r="F886" s="22">
        <f t="shared" ref="F886:N886" si="572">F834</f>
        <v>0</v>
      </c>
      <c r="G886" s="22">
        <f t="shared" si="572"/>
        <v>0</v>
      </c>
      <c r="H886" s="22">
        <f t="shared" si="572"/>
        <v>0</v>
      </c>
      <c r="I886" s="22">
        <f t="shared" si="572"/>
        <v>0</v>
      </c>
      <c r="J886" s="22">
        <f t="shared" si="572"/>
        <v>0</v>
      </c>
      <c r="K886" s="22">
        <f t="shared" si="572"/>
        <v>0</v>
      </c>
      <c r="L886" s="22">
        <f t="shared" si="572"/>
        <v>0</v>
      </c>
      <c r="M886" s="22">
        <f t="shared" si="572"/>
        <v>0</v>
      </c>
      <c r="N886" s="22">
        <f t="shared" si="572"/>
        <v>0</v>
      </c>
      <c r="O886" s="22">
        <f t="shared" ref="O886:Q886" si="573">O834</f>
        <v>0</v>
      </c>
      <c r="P886" s="22">
        <f t="shared" si="573"/>
        <v>0</v>
      </c>
      <c r="Q886" s="22">
        <f t="shared" si="573"/>
        <v>0</v>
      </c>
      <c r="R886" s="107">
        <f t="shared" si="555"/>
        <v>0</v>
      </c>
      <c r="S886" s="62"/>
    </row>
    <row r="887" spans="2:19" x14ac:dyDescent="0.2">
      <c r="C887" t="s">
        <v>283</v>
      </c>
      <c r="F887" s="39">
        <f t="shared" ref="F887:R887" si="574">SUM(F865:F886)</f>
        <v>851159.17105035076</v>
      </c>
      <c r="G887" s="39">
        <f t="shared" si="574"/>
        <v>860099.8230356623</v>
      </c>
      <c r="H887" s="39">
        <f t="shared" si="574"/>
        <v>810762.8218296495</v>
      </c>
      <c r="I887" s="39">
        <f t="shared" si="574"/>
        <v>848487.73557747283</v>
      </c>
      <c r="J887" s="39">
        <f t="shared" si="574"/>
        <v>811672.60593412525</v>
      </c>
      <c r="K887" s="39">
        <f t="shared" si="574"/>
        <v>838433.51595005032</v>
      </c>
      <c r="L887" s="39">
        <f t="shared" si="574"/>
        <v>841603.52068070101</v>
      </c>
      <c r="M887" s="39">
        <f t="shared" si="574"/>
        <v>764493.72807058494</v>
      </c>
      <c r="N887" s="39">
        <f t="shared" si="574"/>
        <v>872555.52159902721</v>
      </c>
      <c r="O887" s="39">
        <f t="shared" ref="O887:Q887" si="575">SUM(O865:O886)</f>
        <v>857050.96012735355</v>
      </c>
      <c r="P887" s="39">
        <f t="shared" si="575"/>
        <v>861214.74799908488</v>
      </c>
      <c r="Q887" s="39">
        <f t="shared" si="575"/>
        <v>823300.032169502</v>
      </c>
      <c r="R887" s="129">
        <f t="shared" si="574"/>
        <v>10040834.184023565</v>
      </c>
      <c r="S887" s="62"/>
    </row>
    <row r="888" spans="2:19" x14ac:dyDescent="0.2">
      <c r="F888" s="43"/>
      <c r="G888" s="43"/>
      <c r="H888" s="43"/>
      <c r="I888" s="43"/>
      <c r="J888" s="43"/>
      <c r="K888" s="43"/>
      <c r="L888" s="43"/>
      <c r="M888" s="43"/>
      <c r="N888" s="43"/>
      <c r="O888" s="43"/>
      <c r="P888" s="43"/>
      <c r="Q888" s="43"/>
      <c r="R888" s="43"/>
      <c r="S888" s="62"/>
    </row>
    <row r="889" spans="2:19" x14ac:dyDescent="0.2">
      <c r="B889" t="s">
        <v>317</v>
      </c>
      <c r="F889" s="43"/>
      <c r="G889" s="43"/>
      <c r="H889" s="43"/>
      <c r="I889" s="43"/>
      <c r="J889" s="43"/>
      <c r="K889" s="43"/>
      <c r="L889" s="43"/>
      <c r="M889" s="43"/>
      <c r="N889" s="43"/>
      <c r="O889" s="43"/>
      <c r="P889" s="43"/>
      <c r="Q889" s="43"/>
      <c r="R889" s="43"/>
      <c r="S889" s="62"/>
    </row>
    <row r="890" spans="2:19" x14ac:dyDescent="0.2">
      <c r="C890" s="80" t="s">
        <v>284</v>
      </c>
      <c r="D890">
        <v>23</v>
      </c>
      <c r="F890" s="43">
        <f t="shared" ref="F890:N890" si="576">F865</f>
        <v>791033.10106899915</v>
      </c>
      <c r="G890" s="43">
        <f t="shared" si="576"/>
        <v>799125.72983479116</v>
      </c>
      <c r="H890" s="43">
        <f t="shared" si="576"/>
        <v>753288.30126336252</v>
      </c>
      <c r="I890" s="43">
        <f t="shared" si="576"/>
        <v>788504.85519922257</v>
      </c>
      <c r="J890" s="43">
        <f t="shared" si="576"/>
        <v>754044.3041788144</v>
      </c>
      <c r="K890" s="43">
        <f t="shared" si="576"/>
        <v>778711.52441646787</v>
      </c>
      <c r="L890" s="43">
        <f t="shared" si="576"/>
        <v>781852.52976234653</v>
      </c>
      <c r="M890" s="43">
        <f t="shared" si="576"/>
        <v>710122.15909090906</v>
      </c>
      <c r="N890" s="43">
        <f t="shared" si="576"/>
        <v>810554.56545454555</v>
      </c>
      <c r="O890" s="43">
        <f t="shared" ref="O890:Q890" si="577">O865</f>
        <v>796412.53272727272</v>
      </c>
      <c r="P890" s="43">
        <f t="shared" si="577"/>
        <v>800300.15272727271</v>
      </c>
      <c r="Q890" s="43">
        <f t="shared" si="577"/>
        <v>765726.25818181818</v>
      </c>
      <c r="R890" s="107">
        <f t="shared" ref="R890:R902" si="578">SUM(F890:Q890)</f>
        <v>9329676.0139058214</v>
      </c>
      <c r="S890" s="62"/>
    </row>
    <row r="891" spans="2:19" x14ac:dyDescent="0.2">
      <c r="C891" s="80" t="s">
        <v>72</v>
      </c>
      <c r="D891">
        <v>53</v>
      </c>
      <c r="F891" s="43">
        <f t="shared" ref="F891:N891" si="579">F866</f>
        <v>1.0145772594752187</v>
      </c>
      <c r="G891" s="43">
        <f t="shared" si="579"/>
        <v>1.0505344995140915</v>
      </c>
      <c r="H891" s="43">
        <f t="shared" si="579"/>
        <v>0.9659863945578232</v>
      </c>
      <c r="I891" s="43">
        <f t="shared" si="579"/>
        <v>1.0174927113702625</v>
      </c>
      <c r="J891" s="43">
        <f t="shared" si="579"/>
        <v>1.0165208940719146</v>
      </c>
      <c r="K891" s="43">
        <f t="shared" si="579"/>
        <v>0.98158582913684955</v>
      </c>
      <c r="L891" s="43">
        <f t="shared" si="579"/>
        <v>1.2354545454545454</v>
      </c>
      <c r="M891" s="43">
        <f t="shared" si="579"/>
        <v>0.25</v>
      </c>
      <c r="N891" s="43">
        <f t="shared" si="579"/>
        <v>0</v>
      </c>
      <c r="O891" s="43">
        <f t="shared" ref="O891:Q891" si="580">O866</f>
        <v>0</v>
      </c>
      <c r="P891" s="43">
        <f t="shared" si="580"/>
        <v>0</v>
      </c>
      <c r="Q891" s="43">
        <f t="shared" si="580"/>
        <v>0</v>
      </c>
      <c r="R891" s="107">
        <f t="shared" si="578"/>
        <v>7.5321521335807056</v>
      </c>
      <c r="S891" s="62"/>
    </row>
    <row r="892" spans="2:19" x14ac:dyDescent="0.2">
      <c r="C892" s="81" t="s">
        <v>73</v>
      </c>
      <c r="D892">
        <v>31</v>
      </c>
      <c r="F892" s="43">
        <f>F867+F876</f>
        <v>58278.533072760081</v>
      </c>
      <c r="G892" s="43">
        <f t="shared" ref="G892:N892" si="581">G867+G876</f>
        <v>59098.658448586895</v>
      </c>
      <c r="H892" s="43">
        <f t="shared" si="581"/>
        <v>55684.461815995193</v>
      </c>
      <c r="I892" s="43">
        <f t="shared" si="581"/>
        <v>58135.867107636812</v>
      </c>
      <c r="J892" s="43">
        <f t="shared" si="581"/>
        <v>55851.948286229708</v>
      </c>
      <c r="K892" s="43">
        <f t="shared" si="581"/>
        <v>57876.510729490692</v>
      </c>
      <c r="L892" s="43">
        <f t="shared" si="581"/>
        <v>57910.517068864043</v>
      </c>
      <c r="M892" s="43">
        <f t="shared" si="581"/>
        <v>52658.434667451445</v>
      </c>
      <c r="N892" s="43">
        <f t="shared" si="581"/>
        <v>60106.909947027663</v>
      </c>
      <c r="O892" s="43">
        <f t="shared" ref="O892:Q892" si="582">O867+O876</f>
        <v>58776.298705120666</v>
      </c>
      <c r="P892" s="43">
        <f t="shared" si="582"/>
        <v>59064.880907960207</v>
      </c>
      <c r="Q892" s="43">
        <f t="shared" si="582"/>
        <v>56255.93097014926</v>
      </c>
      <c r="R892" s="107">
        <f t="shared" si="578"/>
        <v>689698.95172727259</v>
      </c>
      <c r="S892" s="62"/>
    </row>
    <row r="893" spans="2:19" x14ac:dyDescent="0.2">
      <c r="C893" s="80" t="s">
        <v>74</v>
      </c>
      <c r="D893">
        <v>41</v>
      </c>
      <c r="F893" s="43">
        <f t="shared" ref="F893:N893" si="583">F869+F878</f>
        <v>1368.4757136583223</v>
      </c>
      <c r="G893" s="43">
        <f t="shared" si="583"/>
        <v>1396.4926657883179</v>
      </c>
      <c r="H893" s="43">
        <f t="shared" si="583"/>
        <v>1321.3180500658762</v>
      </c>
      <c r="I893" s="43">
        <f t="shared" si="583"/>
        <v>1369.2916117698728</v>
      </c>
      <c r="J893" s="43">
        <f t="shared" si="583"/>
        <v>1309.837241985068</v>
      </c>
      <c r="K893" s="43">
        <f t="shared" si="583"/>
        <v>1369.5032734025619</v>
      </c>
      <c r="L893" s="43">
        <f t="shared" si="583"/>
        <v>1362.9927077003213</v>
      </c>
      <c r="M893" s="43">
        <f t="shared" si="583"/>
        <v>1254.0930636339961</v>
      </c>
      <c r="N893" s="43">
        <f t="shared" si="583"/>
        <v>1406.3156524003821</v>
      </c>
      <c r="O893" s="43">
        <f t="shared" ref="O893:Q893" si="584">O869+O878</f>
        <v>1379.8011112075701</v>
      </c>
      <c r="P893" s="43">
        <f t="shared" si="584"/>
        <v>1370.1994738325659</v>
      </c>
      <c r="Q893" s="43">
        <f t="shared" si="584"/>
        <v>848.80813680353265</v>
      </c>
      <c r="R893" s="107">
        <f t="shared" si="578"/>
        <v>15757.12870224839</v>
      </c>
      <c r="S893" s="62"/>
    </row>
    <row r="894" spans="2:19" x14ac:dyDescent="0.2">
      <c r="C894" t="s">
        <v>388</v>
      </c>
      <c r="D894" s="21" t="s">
        <v>387</v>
      </c>
      <c r="F894" s="43">
        <f>F868+F877</f>
        <v>3</v>
      </c>
      <c r="G894" s="43">
        <f t="shared" ref="G894:Q894" si="585">G868+G877</f>
        <v>3</v>
      </c>
      <c r="H894" s="43">
        <f t="shared" si="585"/>
        <v>3.9999999999999996</v>
      </c>
      <c r="I894" s="43">
        <f t="shared" si="585"/>
        <v>3</v>
      </c>
      <c r="J894" s="43">
        <f t="shared" si="585"/>
        <v>3</v>
      </c>
      <c r="K894" s="43">
        <f t="shared" si="585"/>
        <v>3.0000312415422465</v>
      </c>
      <c r="L894" s="43">
        <f t="shared" si="585"/>
        <v>3</v>
      </c>
      <c r="M894" s="43">
        <f t="shared" si="585"/>
        <v>3</v>
      </c>
      <c r="N894" s="43">
        <f t="shared" si="585"/>
        <v>3</v>
      </c>
      <c r="O894" s="43">
        <f t="shared" si="585"/>
        <v>3</v>
      </c>
      <c r="P894" s="43">
        <f t="shared" si="585"/>
        <v>3</v>
      </c>
      <c r="Q894" s="43">
        <f t="shared" si="585"/>
        <v>3</v>
      </c>
      <c r="R894" s="107">
        <f t="shared" si="578"/>
        <v>37.000031241542246</v>
      </c>
      <c r="S894" s="62"/>
    </row>
    <row r="895" spans="2:19" x14ac:dyDescent="0.2">
      <c r="C895" s="80" t="s">
        <v>285</v>
      </c>
      <c r="D895">
        <v>85</v>
      </c>
      <c r="F895" s="43">
        <f t="shared" ref="F895:N895" si="586">F873+F883</f>
        <v>26.711854450317638</v>
      </c>
      <c r="G895" s="43">
        <f t="shared" si="586"/>
        <v>27.183450715921662</v>
      </c>
      <c r="H895" s="43">
        <f t="shared" si="586"/>
        <v>26.864173427076434</v>
      </c>
      <c r="I895" s="43">
        <f t="shared" si="586"/>
        <v>28.199524506567947</v>
      </c>
      <c r="J895" s="43">
        <f t="shared" si="586"/>
        <v>27.890269120886749</v>
      </c>
      <c r="K895" s="43">
        <f t="shared" si="586"/>
        <v>29.297945055850622</v>
      </c>
      <c r="L895" s="43">
        <f t="shared" si="586"/>
        <v>28.145775356322275</v>
      </c>
      <c r="M895" s="43">
        <f t="shared" si="586"/>
        <v>27.242423718305442</v>
      </c>
      <c r="N895" s="43">
        <f t="shared" si="586"/>
        <v>28.571401926149829</v>
      </c>
      <c r="O895" s="43">
        <f t="shared" ref="O895:Q895" si="587">O873+O883</f>
        <v>28.006437162116296</v>
      </c>
      <c r="P895" s="43">
        <f t="shared" si="587"/>
        <v>28.105437774577538</v>
      </c>
      <c r="Q895" s="43">
        <f t="shared" si="587"/>
        <v>25.298813278159574</v>
      </c>
      <c r="R895" s="107">
        <f t="shared" si="578"/>
        <v>331.51750649225198</v>
      </c>
      <c r="S895" s="62"/>
    </row>
    <row r="896" spans="2:19" x14ac:dyDescent="0.2">
      <c r="C896" s="80" t="s">
        <v>286</v>
      </c>
      <c r="D896">
        <v>86</v>
      </c>
      <c r="F896" s="43">
        <f t="shared" ref="F896:N896" si="588">F874+F884</f>
        <v>229.28835554315216</v>
      </c>
      <c r="G896" s="43">
        <f t="shared" si="588"/>
        <v>229.4665457336217</v>
      </c>
      <c r="H896" s="43">
        <f t="shared" si="588"/>
        <v>219.07186213632872</v>
      </c>
      <c r="I896" s="43">
        <f t="shared" si="588"/>
        <v>227.16646898765083</v>
      </c>
      <c r="J896" s="43">
        <f t="shared" si="588"/>
        <v>216.50108142049814</v>
      </c>
      <c r="K896" s="43">
        <f t="shared" si="588"/>
        <v>224.57464763251426</v>
      </c>
      <c r="L896" s="43">
        <f t="shared" si="588"/>
        <v>225.05811596161644</v>
      </c>
      <c r="M896" s="43">
        <f t="shared" si="588"/>
        <v>205.88822813893771</v>
      </c>
      <c r="N896" s="43">
        <f t="shared" si="588"/>
        <v>233.15914312744965</v>
      </c>
      <c r="O896" s="43">
        <f t="shared" ref="O896:Q896" si="589">O874+O884</f>
        <v>227.35558859305314</v>
      </c>
      <c r="P896" s="43">
        <f t="shared" si="589"/>
        <v>225.30826636050514</v>
      </c>
      <c r="Q896" s="43">
        <f t="shared" si="589"/>
        <v>214.86725028702637</v>
      </c>
      <c r="R896" s="107">
        <f t="shared" si="578"/>
        <v>2677.7055539223543</v>
      </c>
      <c r="S896" s="62"/>
    </row>
    <row r="897" spans="2:19" x14ac:dyDescent="0.2">
      <c r="C897" s="80" t="s">
        <v>287</v>
      </c>
      <c r="D897">
        <v>87</v>
      </c>
      <c r="F897" s="43">
        <f t="shared" ref="F897:N897" si="590">F875+F885</f>
        <v>5.0130693501152717</v>
      </c>
      <c r="G897" s="43">
        <f t="shared" si="590"/>
        <v>5.1748862857498912</v>
      </c>
      <c r="H897" s="43">
        <f t="shared" si="590"/>
        <v>4.901177643466883</v>
      </c>
      <c r="I897" s="43">
        <f t="shared" si="590"/>
        <v>4.975668265935572</v>
      </c>
      <c r="J897" s="43">
        <f t="shared" si="590"/>
        <v>5.1083556607888339</v>
      </c>
      <c r="K897" s="43">
        <f t="shared" si="590"/>
        <v>5.1238280397033344</v>
      </c>
      <c r="L897" s="43">
        <f t="shared" si="590"/>
        <v>5.0417959266253032</v>
      </c>
      <c r="M897" s="43">
        <f t="shared" si="590"/>
        <v>4.8582074453736173</v>
      </c>
      <c r="N897" s="43">
        <f t="shared" si="590"/>
        <v>5</v>
      </c>
      <c r="O897" s="43">
        <f t="shared" ref="O897:Q897" si="591">O875+O885</f>
        <v>4.9655044510385755</v>
      </c>
      <c r="P897" s="43">
        <f t="shared" si="591"/>
        <v>5.101185884210337</v>
      </c>
      <c r="Q897" s="43">
        <f t="shared" si="591"/>
        <v>4.8688171657187969</v>
      </c>
      <c r="R897" s="107">
        <f t="shared" si="578"/>
        <v>60.132496118726415</v>
      </c>
      <c r="S897" s="62"/>
    </row>
    <row r="898" spans="2:19" x14ac:dyDescent="0.2">
      <c r="C898" t="s">
        <v>288</v>
      </c>
      <c r="D898" s="21" t="s">
        <v>236</v>
      </c>
      <c r="F898" s="43">
        <f t="shared" ref="F898:N898" si="592">F870+F879</f>
        <v>99</v>
      </c>
      <c r="G898" s="43">
        <f t="shared" si="592"/>
        <v>98.033340924618528</v>
      </c>
      <c r="H898" s="43">
        <f t="shared" si="592"/>
        <v>98</v>
      </c>
      <c r="I898" s="43">
        <f t="shared" si="592"/>
        <v>99</v>
      </c>
      <c r="J898" s="43">
        <f t="shared" si="592"/>
        <v>100</v>
      </c>
      <c r="K898" s="43">
        <f t="shared" si="592"/>
        <v>99.99985135228161</v>
      </c>
      <c r="L898" s="43">
        <f t="shared" si="592"/>
        <v>102</v>
      </c>
      <c r="M898" s="43">
        <f t="shared" si="592"/>
        <v>104.03571910871031</v>
      </c>
      <c r="N898" s="43">
        <f t="shared" si="592"/>
        <v>103.99999999999999</v>
      </c>
      <c r="O898" s="43">
        <f t="shared" ref="O898:Q898" si="593">O870+O879</f>
        <v>105</v>
      </c>
      <c r="P898" s="43">
        <f t="shared" si="593"/>
        <v>103</v>
      </c>
      <c r="Q898" s="43">
        <f t="shared" si="593"/>
        <v>105</v>
      </c>
      <c r="R898" s="107">
        <f t="shared" si="578"/>
        <v>1217.0689113856104</v>
      </c>
      <c r="S898" s="62"/>
    </row>
    <row r="899" spans="2:19" x14ac:dyDescent="0.2">
      <c r="C899" t="s">
        <v>289</v>
      </c>
      <c r="D899" s="21" t="s">
        <v>231</v>
      </c>
      <c r="F899" s="43">
        <f t="shared" ref="F899:N899" si="594">F871+F880</f>
        <v>102.03333833008546</v>
      </c>
      <c r="G899" s="43">
        <f t="shared" si="594"/>
        <v>102.03332833658122</v>
      </c>
      <c r="H899" s="43">
        <f t="shared" si="594"/>
        <v>101.93750062459401</v>
      </c>
      <c r="I899" s="43">
        <f t="shared" si="594"/>
        <v>101.3625043721581</v>
      </c>
      <c r="J899" s="43">
        <f t="shared" si="594"/>
        <v>102.00000000000001</v>
      </c>
      <c r="K899" s="43">
        <f t="shared" si="594"/>
        <v>101.99963123426812</v>
      </c>
      <c r="L899" s="43">
        <f t="shared" si="594"/>
        <v>102</v>
      </c>
      <c r="M899" s="43">
        <f t="shared" si="594"/>
        <v>102</v>
      </c>
      <c r="N899" s="43">
        <f t="shared" si="594"/>
        <v>102</v>
      </c>
      <c r="O899" s="43">
        <f t="shared" ref="O899:Q899" si="595">O871+O880</f>
        <v>102.00005354637653</v>
      </c>
      <c r="P899" s="43">
        <f t="shared" si="595"/>
        <v>103</v>
      </c>
      <c r="Q899" s="43">
        <f t="shared" si="595"/>
        <v>104</v>
      </c>
      <c r="R899" s="107">
        <f t="shared" si="578"/>
        <v>1226.3663564440635</v>
      </c>
      <c r="S899" s="62"/>
    </row>
    <row r="900" spans="2:19" x14ac:dyDescent="0.2">
      <c r="C900" t="s">
        <v>325</v>
      </c>
      <c r="D900" s="21" t="s">
        <v>298</v>
      </c>
      <c r="F900" s="43">
        <f t="shared" ref="F900:N900" si="596">F881</f>
        <v>4</v>
      </c>
      <c r="G900" s="43">
        <f t="shared" si="596"/>
        <v>4</v>
      </c>
      <c r="H900" s="43">
        <f t="shared" si="596"/>
        <v>4</v>
      </c>
      <c r="I900" s="43">
        <f t="shared" si="596"/>
        <v>4</v>
      </c>
      <c r="J900" s="43">
        <f t="shared" si="596"/>
        <v>2</v>
      </c>
      <c r="K900" s="43">
        <f t="shared" si="596"/>
        <v>1.9999719301096293</v>
      </c>
      <c r="L900" s="43">
        <f t="shared" si="596"/>
        <v>2</v>
      </c>
      <c r="M900" s="43">
        <f t="shared" si="596"/>
        <v>2</v>
      </c>
      <c r="N900" s="43">
        <f t="shared" si="596"/>
        <v>2</v>
      </c>
      <c r="O900" s="43">
        <f t="shared" ref="O900:Q900" si="597">O881</f>
        <v>2</v>
      </c>
      <c r="P900" s="43">
        <f t="shared" si="597"/>
        <v>2</v>
      </c>
      <c r="Q900" s="43">
        <f t="shared" si="597"/>
        <v>2</v>
      </c>
      <c r="R900" s="107">
        <f t="shared" si="578"/>
        <v>31.999971930109631</v>
      </c>
      <c r="S900" s="62"/>
    </row>
    <row r="901" spans="2:19" x14ac:dyDescent="0.2">
      <c r="C901" t="s">
        <v>290</v>
      </c>
      <c r="D901" s="21" t="s">
        <v>232</v>
      </c>
      <c r="F901" s="43">
        <f t="shared" ref="F901:N901" si="598">F872+F882</f>
        <v>8.9999999999999982</v>
      </c>
      <c r="G901" s="43">
        <f t="shared" si="598"/>
        <v>8.9999999999999982</v>
      </c>
      <c r="H901" s="43">
        <f t="shared" si="598"/>
        <v>8.9999999999999982</v>
      </c>
      <c r="I901" s="43">
        <f t="shared" si="598"/>
        <v>8.9999999999999982</v>
      </c>
      <c r="J901" s="43">
        <f t="shared" si="598"/>
        <v>8.9999999999999982</v>
      </c>
      <c r="K901" s="43">
        <f t="shared" si="598"/>
        <v>9.0000383739823526</v>
      </c>
      <c r="L901" s="43">
        <f t="shared" si="598"/>
        <v>9</v>
      </c>
      <c r="M901" s="43">
        <f t="shared" si="598"/>
        <v>9.7666701791359323</v>
      </c>
      <c r="N901" s="43">
        <f t="shared" si="598"/>
        <v>10</v>
      </c>
      <c r="O901" s="43">
        <f t="shared" ref="O901:Q901" si="599">O872+O882</f>
        <v>10</v>
      </c>
      <c r="P901" s="43">
        <f t="shared" si="599"/>
        <v>10</v>
      </c>
      <c r="Q901" s="43">
        <f t="shared" si="599"/>
        <v>10</v>
      </c>
      <c r="R901" s="107">
        <f t="shared" si="578"/>
        <v>112.76670855311828</v>
      </c>
      <c r="S901" s="62"/>
    </row>
    <row r="902" spans="2:19" x14ac:dyDescent="0.2">
      <c r="C902" s="80" t="s">
        <v>238</v>
      </c>
      <c r="F902" s="43">
        <f t="shared" ref="F902:K902" si="600">F886</f>
        <v>0</v>
      </c>
      <c r="G902" s="43">
        <f t="shared" si="600"/>
        <v>0</v>
      </c>
      <c r="H902" s="43">
        <f t="shared" si="600"/>
        <v>0</v>
      </c>
      <c r="I902" s="43">
        <f t="shared" si="600"/>
        <v>0</v>
      </c>
      <c r="J902" s="43">
        <f t="shared" si="600"/>
        <v>0</v>
      </c>
      <c r="K902" s="43">
        <f t="shared" si="600"/>
        <v>0</v>
      </c>
      <c r="L902" s="43">
        <f>L886</f>
        <v>0</v>
      </c>
      <c r="M902" s="43">
        <f>M886</f>
        <v>0</v>
      </c>
      <c r="N902" s="43">
        <f>N886</f>
        <v>0</v>
      </c>
      <c r="O902" s="43">
        <f t="shared" ref="O902:Q902" si="601">O886</f>
        <v>0</v>
      </c>
      <c r="P902" s="43">
        <f t="shared" si="601"/>
        <v>0</v>
      </c>
      <c r="Q902" s="43">
        <f t="shared" si="601"/>
        <v>0</v>
      </c>
      <c r="R902" s="107">
        <f t="shared" si="578"/>
        <v>0</v>
      </c>
      <c r="S902" s="62"/>
    </row>
    <row r="903" spans="2:19" x14ac:dyDescent="0.2">
      <c r="C903" t="s">
        <v>283</v>
      </c>
      <c r="F903" s="39">
        <f t="shared" ref="F903:K903" si="602">SUM(F890:F902)</f>
        <v>851159.17105035076</v>
      </c>
      <c r="G903" s="39">
        <f t="shared" si="602"/>
        <v>860099.82303566241</v>
      </c>
      <c r="H903" s="39">
        <f t="shared" si="602"/>
        <v>810762.82182964962</v>
      </c>
      <c r="I903" s="39">
        <f t="shared" si="602"/>
        <v>848487.73557747295</v>
      </c>
      <c r="J903" s="39">
        <f t="shared" si="602"/>
        <v>811672.60593412537</v>
      </c>
      <c r="K903" s="39">
        <f t="shared" si="602"/>
        <v>838433.51595005055</v>
      </c>
      <c r="L903" s="39">
        <f>SUM(L890:L902)</f>
        <v>841603.52068070101</v>
      </c>
      <c r="M903" s="39">
        <f>SUM(M890:M902)</f>
        <v>764493.72807058494</v>
      </c>
      <c r="N903" s="39">
        <f>SUM(N890:N902)</f>
        <v>872555.52159902721</v>
      </c>
      <c r="O903" s="39">
        <f t="shared" ref="O903:Q903" si="603">SUM(O890:O902)</f>
        <v>857050.96012735367</v>
      </c>
      <c r="P903" s="39">
        <f t="shared" si="603"/>
        <v>861214.74799908488</v>
      </c>
      <c r="Q903" s="39">
        <f t="shared" si="603"/>
        <v>823300.03216950188</v>
      </c>
      <c r="R903" s="129">
        <f>SUM(R890:R902)</f>
        <v>10040834.184023561</v>
      </c>
      <c r="S903" s="62"/>
    </row>
    <row r="904" spans="2:19" x14ac:dyDescent="0.2">
      <c r="C904" t="s">
        <v>292</v>
      </c>
      <c r="F904" s="689">
        <f t="shared" ref="F904:R904" si="604">F903-F887</f>
        <v>0</v>
      </c>
      <c r="G904" s="689">
        <f t="shared" si="604"/>
        <v>0</v>
      </c>
      <c r="H904" s="689">
        <f t="shared" si="604"/>
        <v>0</v>
      </c>
      <c r="I904" s="689">
        <f t="shared" si="604"/>
        <v>0</v>
      </c>
      <c r="J904" s="689">
        <f t="shared" si="604"/>
        <v>0</v>
      </c>
      <c r="K904" s="689">
        <f t="shared" si="604"/>
        <v>0</v>
      </c>
      <c r="L904" s="689">
        <f t="shared" si="604"/>
        <v>0</v>
      </c>
      <c r="M904" s="689">
        <f t="shared" si="604"/>
        <v>0</v>
      </c>
      <c r="N904" s="689">
        <f t="shared" si="604"/>
        <v>0</v>
      </c>
      <c r="O904" s="689">
        <f t="shared" ref="O904:Q904" si="605">O903-O887</f>
        <v>0</v>
      </c>
      <c r="P904" s="689">
        <f t="shared" si="605"/>
        <v>0</v>
      </c>
      <c r="Q904" s="689">
        <f t="shared" si="605"/>
        <v>0</v>
      </c>
      <c r="R904" s="689">
        <f t="shared" si="604"/>
        <v>0</v>
      </c>
      <c r="S904" s="31"/>
    </row>
    <row r="905" spans="2:19" x14ac:dyDescent="0.2">
      <c r="F905" s="43"/>
      <c r="G905" s="43"/>
      <c r="H905" s="43"/>
      <c r="I905" s="43"/>
      <c r="J905" s="43"/>
      <c r="K905" s="43"/>
      <c r="L905" s="43"/>
      <c r="M905" s="43"/>
      <c r="N905" s="43"/>
      <c r="O905" s="43"/>
      <c r="P905" s="43"/>
      <c r="Q905" s="43"/>
      <c r="R905" s="43"/>
      <c r="S905" s="31"/>
    </row>
    <row r="906" spans="2:19" x14ac:dyDescent="0.2">
      <c r="B906" t="s">
        <v>84</v>
      </c>
      <c r="F906" s="22"/>
      <c r="G906" s="22"/>
      <c r="H906" s="22"/>
      <c r="I906" s="22"/>
      <c r="J906" s="22"/>
      <c r="K906" s="22"/>
      <c r="L906" s="22"/>
      <c r="M906" s="22"/>
      <c r="N906" s="22"/>
      <c r="O906" s="22"/>
      <c r="P906" s="22"/>
      <c r="Q906" s="22"/>
      <c r="R906" s="22"/>
      <c r="S906" s="31"/>
    </row>
    <row r="907" spans="2:19" x14ac:dyDescent="0.2">
      <c r="C907" s="30" t="s">
        <v>71</v>
      </c>
      <c r="D907" s="30">
        <v>16</v>
      </c>
      <c r="F907" s="91">
        <f t="shared" ref="F907:Q907" si="606">F17</f>
        <v>826.07600000000002</v>
      </c>
      <c r="G907" s="91">
        <f t="shared" si="606"/>
        <v>820.92700000000002</v>
      </c>
      <c r="H907" s="91">
        <f t="shared" si="606"/>
        <v>774.51800000000003</v>
      </c>
      <c r="I907" s="91">
        <f t="shared" si="606"/>
        <v>824.08199999999999</v>
      </c>
      <c r="J907" s="91">
        <f t="shared" si="606"/>
        <v>783.54899999999998</v>
      </c>
      <c r="K907" s="91">
        <f t="shared" si="606"/>
        <v>800.10699999999997</v>
      </c>
      <c r="L907" s="91">
        <f t="shared" si="606"/>
        <v>797.62900000000002</v>
      </c>
      <c r="M907" s="91">
        <f t="shared" si="606"/>
        <v>723.62300000000005</v>
      </c>
      <c r="N907" s="91">
        <f t="shared" si="606"/>
        <v>835.85599999999999</v>
      </c>
      <c r="O907" s="91">
        <f t="shared" si="606"/>
        <v>821.65099999999995</v>
      </c>
      <c r="P907" s="91">
        <f t="shared" si="606"/>
        <v>818.67499999999995</v>
      </c>
      <c r="Q907" s="91">
        <f t="shared" si="606"/>
        <v>765.35199999999998</v>
      </c>
      <c r="R907" s="22">
        <f t="shared" ref="R907:R919" si="607">SUM(F907:Q907)</f>
        <v>9592.0450000000001</v>
      </c>
      <c r="S907" s="62"/>
    </row>
    <row r="908" spans="2:19" x14ac:dyDescent="0.2">
      <c r="C908" t="s">
        <v>72</v>
      </c>
      <c r="D908">
        <v>23</v>
      </c>
      <c r="F908" s="22">
        <f t="shared" ref="F908:Q908" si="608">F37</f>
        <v>13443846.632999999</v>
      </c>
      <c r="G908" s="22">
        <f t="shared" si="608"/>
        <v>12736009.979</v>
      </c>
      <c r="H908" s="22">
        <f t="shared" si="608"/>
        <v>21647719.936999999</v>
      </c>
      <c r="I908" s="22">
        <f t="shared" si="608"/>
        <v>46155974.25</v>
      </c>
      <c r="J908" s="22">
        <f t="shared" si="608"/>
        <v>73741897.160999998</v>
      </c>
      <c r="K908" s="22">
        <f t="shared" si="608"/>
        <v>88509622.627000004</v>
      </c>
      <c r="L908" s="22">
        <f t="shared" si="608"/>
        <v>97226692.343999997</v>
      </c>
      <c r="M908" s="22">
        <f t="shared" si="608"/>
        <v>73367926.152999997</v>
      </c>
      <c r="N908" s="22">
        <f t="shared" si="608"/>
        <v>75843560.385000005</v>
      </c>
      <c r="O908" s="22">
        <f t="shared" si="608"/>
        <v>50269722.055</v>
      </c>
      <c r="P908" s="22">
        <f t="shared" si="608"/>
        <v>30887232.546</v>
      </c>
      <c r="Q908" s="22">
        <f t="shared" si="608"/>
        <v>19275348.866999999</v>
      </c>
      <c r="R908" s="22">
        <f t="shared" si="607"/>
        <v>603105552.93699992</v>
      </c>
      <c r="S908" s="62"/>
    </row>
    <row r="909" spans="2:19" x14ac:dyDescent="0.2">
      <c r="C909" t="s">
        <v>75</v>
      </c>
      <c r="D909">
        <v>53</v>
      </c>
      <c r="F909" s="22">
        <f t="shared" ref="F909:Q909" si="609">F57</f>
        <v>9.0079999999999991</v>
      </c>
      <c r="G909" s="22">
        <f t="shared" si="609"/>
        <v>9.2899999999999991</v>
      </c>
      <c r="H909" s="22">
        <f t="shared" si="609"/>
        <v>23.614000000000001</v>
      </c>
      <c r="I909" s="22">
        <f t="shared" si="609"/>
        <v>52.81</v>
      </c>
      <c r="J909" s="22">
        <f t="shared" si="609"/>
        <v>67.945999999999998</v>
      </c>
      <c r="K909" s="22">
        <f t="shared" si="609"/>
        <v>68.12700000000001</v>
      </c>
      <c r="L909" s="22">
        <f t="shared" si="609"/>
        <v>56.914999999999999</v>
      </c>
      <c r="M909" s="22">
        <f t="shared" si="609"/>
        <v>7.5629999999999997</v>
      </c>
      <c r="N909" s="22">
        <f t="shared" si="609"/>
        <v>0</v>
      </c>
      <c r="O909" s="22">
        <f t="shared" si="609"/>
        <v>0</v>
      </c>
      <c r="P909" s="22">
        <f t="shared" si="609"/>
        <v>0</v>
      </c>
      <c r="Q909" s="22">
        <f t="shared" si="609"/>
        <v>0</v>
      </c>
      <c r="R909" s="22">
        <f t="shared" si="607"/>
        <v>295.27300000000002</v>
      </c>
      <c r="S909" s="62"/>
    </row>
    <row r="910" spans="2:19" x14ac:dyDescent="0.2">
      <c r="C910" t="s">
        <v>101</v>
      </c>
      <c r="D910">
        <v>31</v>
      </c>
      <c r="F910" s="22">
        <f t="shared" ref="F910:Q910" si="610">F79</f>
        <v>7628079.7920000004</v>
      </c>
      <c r="G910" s="22">
        <f t="shared" si="610"/>
        <v>7453085.6330000004</v>
      </c>
      <c r="H910" s="22">
        <f t="shared" si="610"/>
        <v>9048012.2430000007</v>
      </c>
      <c r="I910" s="22">
        <f t="shared" si="610"/>
        <v>15932676.433</v>
      </c>
      <c r="J910" s="22">
        <f t="shared" si="610"/>
        <v>23966771.149999999</v>
      </c>
      <c r="K910" s="22">
        <f t="shared" si="610"/>
        <v>29413050.791000001</v>
      </c>
      <c r="L910" s="22">
        <f t="shared" si="610"/>
        <v>31601920.164999999</v>
      </c>
      <c r="M910" s="22">
        <f t="shared" si="610"/>
        <v>25012454.664999999</v>
      </c>
      <c r="N910" s="22">
        <f t="shared" si="610"/>
        <v>25668437.872000001</v>
      </c>
      <c r="O910" s="22">
        <f t="shared" si="610"/>
        <v>18094159.793000001</v>
      </c>
      <c r="P910" s="22">
        <f t="shared" si="610"/>
        <v>12124126.560000001</v>
      </c>
      <c r="Q910" s="22">
        <f t="shared" si="610"/>
        <v>8894243.5490000006</v>
      </c>
      <c r="R910" s="22">
        <f t="shared" si="607"/>
        <v>214837018.646</v>
      </c>
      <c r="S910" s="62"/>
    </row>
    <row r="911" spans="2:19" x14ac:dyDescent="0.2">
      <c r="C911" t="s">
        <v>102</v>
      </c>
      <c r="D911">
        <v>41</v>
      </c>
      <c r="F911" s="22">
        <f t="shared" ref="F911:Q911" si="611">F180</f>
        <v>2436691.1039999998</v>
      </c>
      <c r="G911" s="22">
        <f t="shared" si="611"/>
        <v>2305053.4160000002</v>
      </c>
      <c r="H911" s="22">
        <f t="shared" si="611"/>
        <v>2868775.9019999998</v>
      </c>
      <c r="I911" s="22">
        <f t="shared" si="611"/>
        <v>4444093.4029999999</v>
      </c>
      <c r="J911" s="22">
        <f t="shared" si="611"/>
        <v>5802995.9620000003</v>
      </c>
      <c r="K911" s="22">
        <f t="shared" si="611"/>
        <v>6803789.2349999994</v>
      </c>
      <c r="L911" s="22">
        <f t="shared" si="611"/>
        <v>7214330.9359999998</v>
      </c>
      <c r="M911" s="22">
        <f t="shared" si="611"/>
        <v>5992951.0830000006</v>
      </c>
      <c r="N911" s="22">
        <f t="shared" si="611"/>
        <v>6261605.6830000002</v>
      </c>
      <c r="O911" s="22">
        <f t="shared" si="611"/>
        <v>4926100.1710000001</v>
      </c>
      <c r="P911" s="22">
        <f t="shared" si="611"/>
        <v>3756633.523</v>
      </c>
      <c r="Q911" s="22">
        <f t="shared" si="611"/>
        <v>1688485.8959999999</v>
      </c>
      <c r="R911" s="22">
        <f t="shared" si="607"/>
        <v>54501506.313999996</v>
      </c>
      <c r="S911" s="62"/>
    </row>
    <row r="912" spans="2:19" x14ac:dyDescent="0.2">
      <c r="C912" t="s">
        <v>134</v>
      </c>
      <c r="D912">
        <v>85</v>
      </c>
      <c r="F912" s="22">
        <f t="shared" ref="F912:Q912" si="612">F349</f>
        <v>718072.78200000001</v>
      </c>
      <c r="G912" s="22">
        <f t="shared" si="612"/>
        <v>664389.50499999989</v>
      </c>
      <c r="H912" s="22">
        <f t="shared" si="612"/>
        <v>792053.55200000003</v>
      </c>
      <c r="I912" s="22">
        <f t="shared" si="612"/>
        <v>1249577.3330000001</v>
      </c>
      <c r="J912" s="22">
        <f t="shared" si="612"/>
        <v>1554481.9750000001</v>
      </c>
      <c r="K912" s="22">
        <f t="shared" si="612"/>
        <v>1866442.2080000001</v>
      </c>
      <c r="L912" s="22">
        <f t="shared" si="612"/>
        <v>1780824.939</v>
      </c>
      <c r="M912" s="22">
        <f t="shared" si="612"/>
        <v>1536379.5380000002</v>
      </c>
      <c r="N912" s="22">
        <f t="shared" si="612"/>
        <v>1643991.1359999999</v>
      </c>
      <c r="O912" s="22">
        <f t="shared" si="612"/>
        <v>1250763.1359999999</v>
      </c>
      <c r="P912" s="22">
        <f t="shared" si="612"/>
        <v>920234.88600000006</v>
      </c>
      <c r="Q912" s="22">
        <f t="shared" si="612"/>
        <v>709740.74400000006</v>
      </c>
      <c r="R912" s="22">
        <f t="shared" si="607"/>
        <v>14686951.734000001</v>
      </c>
      <c r="S912" s="62"/>
    </row>
    <row r="913" spans="2:19" x14ac:dyDescent="0.2">
      <c r="C913" t="s">
        <v>133</v>
      </c>
      <c r="D913">
        <v>86</v>
      </c>
      <c r="F913" s="22">
        <f t="shared" ref="F913:Q913" si="613">F515</f>
        <v>208746.55599999998</v>
      </c>
      <c r="G913" s="22">
        <f t="shared" si="613"/>
        <v>193052.79699999999</v>
      </c>
      <c r="H913" s="22">
        <f t="shared" si="613"/>
        <v>320287.72700000001</v>
      </c>
      <c r="I913" s="22">
        <f t="shared" si="613"/>
        <v>750962.98400000005</v>
      </c>
      <c r="J913" s="22">
        <f t="shared" si="613"/>
        <v>1030574.388</v>
      </c>
      <c r="K913" s="22">
        <f t="shared" si="613"/>
        <v>1282526.0389999999</v>
      </c>
      <c r="L913" s="22">
        <f t="shared" si="613"/>
        <v>1258725.409</v>
      </c>
      <c r="M913" s="22">
        <f t="shared" si="613"/>
        <v>1049738.9580000001</v>
      </c>
      <c r="N913" s="22">
        <f t="shared" si="613"/>
        <v>1110593.162</v>
      </c>
      <c r="O913" s="22">
        <f t="shared" si="613"/>
        <v>846297.72800000012</v>
      </c>
      <c r="P913" s="22">
        <f t="shared" si="613"/>
        <v>477239.02300000004</v>
      </c>
      <c r="Q913" s="22">
        <f t="shared" si="613"/>
        <v>307851.304</v>
      </c>
      <c r="R913" s="22">
        <f t="shared" si="607"/>
        <v>8836596.0750000011</v>
      </c>
      <c r="S913" s="62"/>
    </row>
    <row r="914" spans="2:19" x14ac:dyDescent="0.2">
      <c r="C914" t="s">
        <v>138</v>
      </c>
      <c r="D914">
        <v>87</v>
      </c>
      <c r="F914" s="22">
        <f t="shared" ref="F914:Q914" si="614">F645</f>
        <v>1205163.1340000001</v>
      </c>
      <c r="G914" s="22">
        <f t="shared" si="614"/>
        <v>1191232.98</v>
      </c>
      <c r="H914" s="22">
        <f t="shared" si="614"/>
        <v>1297454.0249999999</v>
      </c>
      <c r="I914" s="22">
        <f t="shared" si="614"/>
        <v>1956862.8969999999</v>
      </c>
      <c r="J914" s="22">
        <f t="shared" si="614"/>
        <v>2346051.3509999998</v>
      </c>
      <c r="K914" s="22">
        <f t="shared" si="614"/>
        <v>2817477.4819999998</v>
      </c>
      <c r="L914" s="22">
        <f t="shared" si="614"/>
        <v>2582095.4070000001</v>
      </c>
      <c r="M914" s="22">
        <f t="shared" si="614"/>
        <v>2453869.7620000001</v>
      </c>
      <c r="N914" s="22">
        <f t="shared" si="614"/>
        <v>2432020.3769999999</v>
      </c>
      <c r="O914" s="22">
        <f t="shared" si="614"/>
        <v>2074669.916</v>
      </c>
      <c r="P914" s="22">
        <f t="shared" si="614"/>
        <v>1485710.202</v>
      </c>
      <c r="Q914" s="22">
        <f t="shared" si="614"/>
        <v>1430551.095</v>
      </c>
      <c r="R914" s="22">
        <f t="shared" si="607"/>
        <v>23273158.627999999</v>
      </c>
      <c r="S914" s="62"/>
    </row>
    <row r="915" spans="2:19" x14ac:dyDescent="0.2">
      <c r="C915" t="s">
        <v>104</v>
      </c>
      <c r="D915">
        <v>31</v>
      </c>
      <c r="F915" s="22">
        <f t="shared" ref="F915:Q915" si="615">F102</f>
        <v>395133.00599999999</v>
      </c>
      <c r="G915" s="22">
        <f t="shared" si="615"/>
        <v>415618.07</v>
      </c>
      <c r="H915" s="22">
        <f t="shared" si="615"/>
        <v>530299.97600000002</v>
      </c>
      <c r="I915" s="22">
        <f t="shared" si="615"/>
        <v>1002186.794</v>
      </c>
      <c r="J915" s="22">
        <f t="shared" si="615"/>
        <v>1580920.077</v>
      </c>
      <c r="K915" s="22">
        <f t="shared" si="615"/>
        <v>1965067.7910000002</v>
      </c>
      <c r="L915" s="22">
        <f t="shared" si="615"/>
        <v>2219846.37</v>
      </c>
      <c r="M915" s="22">
        <f t="shared" si="615"/>
        <v>1724909.0430000001</v>
      </c>
      <c r="N915" s="22">
        <f t="shared" si="615"/>
        <v>1692363.3740000001</v>
      </c>
      <c r="O915" s="22">
        <f t="shared" si="615"/>
        <v>1108860.2120000001</v>
      </c>
      <c r="P915" s="22">
        <f t="shared" si="615"/>
        <v>678225.22699999996</v>
      </c>
      <c r="Q915" s="22">
        <f t="shared" si="615"/>
        <v>454283.88400000002</v>
      </c>
      <c r="R915" s="22">
        <f t="shared" si="607"/>
        <v>13767713.823999999</v>
      </c>
      <c r="S915" s="62"/>
    </row>
    <row r="916" spans="2:19" x14ac:dyDescent="0.2">
      <c r="C916" t="s">
        <v>105</v>
      </c>
      <c r="D916">
        <v>41</v>
      </c>
      <c r="F916" s="22">
        <f t="shared" ref="F916:Q916" si="616">F226</f>
        <v>715686.64599999995</v>
      </c>
      <c r="G916" s="22">
        <f t="shared" si="616"/>
        <v>723322.54399999999</v>
      </c>
      <c r="H916" s="22">
        <f t="shared" si="616"/>
        <v>721587.85899999994</v>
      </c>
      <c r="I916" s="22">
        <f t="shared" si="616"/>
        <v>893700.30300000007</v>
      </c>
      <c r="J916" s="22">
        <f t="shared" si="616"/>
        <v>902546.43400000012</v>
      </c>
      <c r="K916" s="22">
        <f t="shared" si="616"/>
        <v>967290.95299999998</v>
      </c>
      <c r="L916" s="22">
        <f t="shared" si="616"/>
        <v>984923.92099999997</v>
      </c>
      <c r="M916" s="22">
        <f t="shared" si="616"/>
        <v>881329.02300000004</v>
      </c>
      <c r="N916" s="22">
        <f t="shared" si="616"/>
        <v>921278.62699999998</v>
      </c>
      <c r="O916" s="22">
        <f t="shared" si="616"/>
        <v>819888.06</v>
      </c>
      <c r="P916" s="22">
        <f t="shared" si="616"/>
        <v>725118.15899999999</v>
      </c>
      <c r="Q916" s="22">
        <f t="shared" si="616"/>
        <v>208689.174</v>
      </c>
      <c r="R916" s="22">
        <f t="shared" si="607"/>
        <v>9465361.7030000016</v>
      </c>
      <c r="S916" s="62"/>
    </row>
    <row r="917" spans="2:19" x14ac:dyDescent="0.2">
      <c r="C917" t="s">
        <v>135</v>
      </c>
      <c r="D917">
        <v>85</v>
      </c>
      <c r="F917" s="22">
        <f t="shared" ref="F917:Q917" si="617">F396</f>
        <v>118216.663</v>
      </c>
      <c r="G917" s="22">
        <f t="shared" si="617"/>
        <v>108078.61899999999</v>
      </c>
      <c r="H917" s="22">
        <f t="shared" si="617"/>
        <v>117621.26699999999</v>
      </c>
      <c r="I917" s="22">
        <f t="shared" si="617"/>
        <v>132658.54500000001</v>
      </c>
      <c r="J917" s="22">
        <f t="shared" si="617"/>
        <v>150576.024</v>
      </c>
      <c r="K917" s="22">
        <f t="shared" si="617"/>
        <v>162942.16400000002</v>
      </c>
      <c r="L917" s="22">
        <f t="shared" si="617"/>
        <v>152783.32999999999</v>
      </c>
      <c r="M917" s="22">
        <f t="shared" si="617"/>
        <v>144144.49599999998</v>
      </c>
      <c r="N917" s="22">
        <f t="shared" si="617"/>
        <v>145396.611</v>
      </c>
      <c r="O917" s="22">
        <f t="shared" si="617"/>
        <v>149688.77699999997</v>
      </c>
      <c r="P917" s="22">
        <f t="shared" si="617"/>
        <v>126713.5</v>
      </c>
      <c r="Q917" s="22">
        <f t="shared" si="617"/>
        <v>112017.696</v>
      </c>
      <c r="R917" s="22">
        <f t="shared" si="607"/>
        <v>1620837.692</v>
      </c>
      <c r="S917" s="62"/>
    </row>
    <row r="918" spans="2:19" x14ac:dyDescent="0.2">
      <c r="C918" t="s">
        <v>136</v>
      </c>
      <c r="D918">
        <v>86</v>
      </c>
      <c r="F918" s="22">
        <f t="shared" ref="F918:Q918" si="618">F559</f>
        <v>7050.719000000001</v>
      </c>
      <c r="G918" s="22">
        <f t="shared" si="618"/>
        <v>6990.4639999999999</v>
      </c>
      <c r="H918" s="22">
        <f t="shared" si="618"/>
        <v>59473.29</v>
      </c>
      <c r="I918" s="22">
        <f t="shared" si="618"/>
        <v>65278.603999999999</v>
      </c>
      <c r="J918" s="22">
        <f t="shared" si="618"/>
        <v>18252.848999999998</v>
      </c>
      <c r="K918" s="22">
        <f t="shared" si="618"/>
        <v>18496.313999999998</v>
      </c>
      <c r="L918" s="22">
        <f t="shared" si="618"/>
        <v>17702.267</v>
      </c>
      <c r="M918" s="22">
        <f t="shared" si="618"/>
        <v>18723.310999999998</v>
      </c>
      <c r="N918" s="22">
        <f t="shared" si="618"/>
        <v>17030.457000000002</v>
      </c>
      <c r="O918" s="22">
        <f t="shared" si="618"/>
        <v>21970.927</v>
      </c>
      <c r="P918" s="22">
        <f t="shared" si="618"/>
        <v>11131.916000000001</v>
      </c>
      <c r="Q918" s="22">
        <f t="shared" si="618"/>
        <v>8571.3490000000002</v>
      </c>
      <c r="R918" s="22">
        <f t="shared" si="607"/>
        <v>270672.46699999995</v>
      </c>
      <c r="S918" s="62"/>
    </row>
    <row r="919" spans="2:19" x14ac:dyDescent="0.2">
      <c r="C919" t="s">
        <v>137</v>
      </c>
      <c r="D919">
        <v>87</v>
      </c>
      <c r="F919" s="22">
        <f t="shared" ref="F919:Q919" si="619">F701</f>
        <v>0</v>
      </c>
      <c r="G919" s="22">
        <f t="shared" si="619"/>
        <v>0</v>
      </c>
      <c r="H919" s="22">
        <f t="shared" si="619"/>
        <v>0</v>
      </c>
      <c r="I919" s="22">
        <f t="shared" si="619"/>
        <v>0</v>
      </c>
      <c r="J919" s="22">
        <f t="shared" si="619"/>
        <v>0</v>
      </c>
      <c r="K919" s="22">
        <f t="shared" si="619"/>
        <v>0</v>
      </c>
      <c r="L919" s="22">
        <f t="shared" si="619"/>
        <v>0</v>
      </c>
      <c r="M919" s="22">
        <f t="shared" si="619"/>
        <v>0</v>
      </c>
      <c r="N919" s="22">
        <f t="shared" si="619"/>
        <v>0</v>
      </c>
      <c r="O919" s="22">
        <f t="shared" si="619"/>
        <v>0</v>
      </c>
      <c r="P919" s="22">
        <f t="shared" si="619"/>
        <v>0</v>
      </c>
      <c r="Q919" s="22">
        <f t="shared" si="619"/>
        <v>0</v>
      </c>
      <c r="R919" s="22">
        <f t="shared" si="607"/>
        <v>0</v>
      </c>
      <c r="S919" s="62"/>
    </row>
    <row r="920" spans="2:19" x14ac:dyDescent="0.2">
      <c r="C920" t="s">
        <v>86</v>
      </c>
      <c r="F920" s="39">
        <f t="shared" ref="F920:R920" si="620">SUM(F907:F919)</f>
        <v>26877522.119000003</v>
      </c>
      <c r="G920" s="39">
        <f t="shared" si="620"/>
        <v>25797664.223999999</v>
      </c>
      <c r="H920" s="39">
        <f t="shared" si="620"/>
        <v>37404083.909999996</v>
      </c>
      <c r="I920" s="39">
        <f t="shared" si="620"/>
        <v>72584848.438000008</v>
      </c>
      <c r="J920" s="39">
        <f t="shared" si="620"/>
        <v>111095918.866</v>
      </c>
      <c r="K920" s="39">
        <f t="shared" si="620"/>
        <v>133807573.838</v>
      </c>
      <c r="L920" s="39">
        <f t="shared" si="620"/>
        <v>145040699.63200003</v>
      </c>
      <c r="M920" s="39">
        <f t="shared" si="620"/>
        <v>112183157.21799999</v>
      </c>
      <c r="N920" s="39">
        <f t="shared" si="620"/>
        <v>115737113.54000002</v>
      </c>
      <c r="O920" s="39">
        <f t="shared" ref="O920:Q920" si="621">SUM(O907:O919)</f>
        <v>79562942.425999984</v>
      </c>
      <c r="P920" s="39">
        <f t="shared" si="621"/>
        <v>51193184.217000008</v>
      </c>
      <c r="Q920" s="39">
        <f t="shared" si="621"/>
        <v>33090548.909999996</v>
      </c>
      <c r="R920" s="129">
        <f t="shared" si="620"/>
        <v>944375257.33799994</v>
      </c>
      <c r="S920" s="62"/>
    </row>
    <row r="921" spans="2:19" x14ac:dyDescent="0.2">
      <c r="S921" s="31"/>
    </row>
    <row r="922" spans="2:19" x14ac:dyDescent="0.2">
      <c r="B922" t="s">
        <v>85</v>
      </c>
      <c r="S922" s="31"/>
    </row>
    <row r="923" spans="2:19" x14ac:dyDescent="0.2">
      <c r="C923" t="s">
        <v>388</v>
      </c>
      <c r="D923" s="21" t="s">
        <v>387</v>
      </c>
      <c r="F923" s="22">
        <f t="shared" ref="F923:R923" si="622">F124</f>
        <v>833.33</v>
      </c>
      <c r="G923" s="22">
        <f t="shared" si="622"/>
        <v>852.46</v>
      </c>
      <c r="H923" s="22">
        <f t="shared" si="622"/>
        <v>1004.34</v>
      </c>
      <c r="I923" s="22">
        <f t="shared" si="622"/>
        <v>1858.11</v>
      </c>
      <c r="J923" s="22">
        <f t="shared" si="622"/>
        <v>2420.34</v>
      </c>
      <c r="K923" s="22">
        <f t="shared" si="622"/>
        <v>3639.8599999999997</v>
      </c>
      <c r="L923" s="22">
        <f t="shared" si="622"/>
        <v>2356.8000000000002</v>
      </c>
      <c r="M923" s="22">
        <f t="shared" si="622"/>
        <v>2713.47</v>
      </c>
      <c r="N923" s="22">
        <f t="shared" si="622"/>
        <v>2240.84</v>
      </c>
      <c r="O923" s="22">
        <f t="shared" si="622"/>
        <v>1514.91</v>
      </c>
      <c r="P923" s="22">
        <f t="shared" si="622"/>
        <v>975.42</v>
      </c>
      <c r="Q923" s="22">
        <f t="shared" si="622"/>
        <v>955</v>
      </c>
      <c r="R923" s="22">
        <f t="shared" si="622"/>
        <v>21364.879999999994</v>
      </c>
      <c r="S923" s="686"/>
    </row>
    <row r="924" spans="2:19" x14ac:dyDescent="0.2">
      <c r="C924" t="s">
        <v>259</v>
      </c>
      <c r="D924" s="21" t="s">
        <v>236</v>
      </c>
      <c r="F924" s="22">
        <f t="shared" ref="F924:R924" si="623">F268</f>
        <v>842278.49</v>
      </c>
      <c r="G924" s="22">
        <f t="shared" si="623"/>
        <v>919204.60000000009</v>
      </c>
      <c r="H924" s="22">
        <f t="shared" si="623"/>
        <v>874618.36</v>
      </c>
      <c r="I924" s="22">
        <f t="shared" si="623"/>
        <v>1038625.68</v>
      </c>
      <c r="J924" s="22">
        <f t="shared" si="623"/>
        <v>1151459.2390000001</v>
      </c>
      <c r="K924" s="22">
        <f t="shared" si="623"/>
        <v>1237799.6400000001</v>
      </c>
      <c r="L924" s="22">
        <f t="shared" si="623"/>
        <v>1309932.3900000001</v>
      </c>
      <c r="M924" s="22">
        <f t="shared" si="623"/>
        <v>1187686.01</v>
      </c>
      <c r="N924" s="22">
        <f t="shared" si="623"/>
        <v>1250467.8599999999</v>
      </c>
      <c r="O924" s="22">
        <f t="shared" si="623"/>
        <v>1133840.93</v>
      </c>
      <c r="P924" s="22">
        <f t="shared" si="623"/>
        <v>1023426.22</v>
      </c>
      <c r="Q924" s="22">
        <f t="shared" si="623"/>
        <v>813156.53</v>
      </c>
      <c r="R924" s="22">
        <f t="shared" si="623"/>
        <v>12782495.949000001</v>
      </c>
      <c r="S924" s="686"/>
    </row>
    <row r="925" spans="2:19" x14ac:dyDescent="0.2">
      <c r="C925" t="s">
        <v>260</v>
      </c>
      <c r="D925" s="21" t="s">
        <v>231</v>
      </c>
      <c r="F925" s="22">
        <f t="shared" ref="F925:R925" si="624">F438</f>
        <v>1570935.13</v>
      </c>
      <c r="G925" s="22">
        <f t="shared" si="624"/>
        <v>1652500.78</v>
      </c>
      <c r="H925" s="22">
        <f t="shared" si="624"/>
        <v>1563451.74</v>
      </c>
      <c r="I925" s="22">
        <f t="shared" si="624"/>
        <v>1821545.78</v>
      </c>
      <c r="J925" s="22">
        <f t="shared" si="624"/>
        <v>1979027.12</v>
      </c>
      <c r="K925" s="22">
        <f t="shared" si="624"/>
        <v>2153272.2800000003</v>
      </c>
      <c r="L925" s="22">
        <f t="shared" si="624"/>
        <v>2213984.92</v>
      </c>
      <c r="M925" s="22">
        <f t="shared" si="624"/>
        <v>1964790.4500000002</v>
      </c>
      <c r="N925" s="22">
        <f t="shared" si="624"/>
        <v>2105813.58</v>
      </c>
      <c r="O925" s="22">
        <f t="shared" si="624"/>
        <v>1852946.1</v>
      </c>
      <c r="P925" s="22">
        <f t="shared" si="624"/>
        <v>1863363.12</v>
      </c>
      <c r="Q925" s="22">
        <f t="shared" si="624"/>
        <v>1750711.3499999999</v>
      </c>
      <c r="R925" s="22">
        <f t="shared" si="624"/>
        <v>22492342.350000001</v>
      </c>
      <c r="S925" s="686"/>
    </row>
    <row r="926" spans="2:19" x14ac:dyDescent="0.2">
      <c r="C926" t="s">
        <v>256</v>
      </c>
      <c r="D926" s="21" t="s">
        <v>232</v>
      </c>
      <c r="F926" s="22">
        <f t="shared" ref="F926:Q926" si="625">F752</f>
        <v>1084131.21</v>
      </c>
      <c r="G926" s="22">
        <f t="shared" si="625"/>
        <v>1076261.75</v>
      </c>
      <c r="H926" s="22">
        <f t="shared" si="625"/>
        <v>1104327.17</v>
      </c>
      <c r="I926" s="22">
        <f t="shared" si="625"/>
        <v>1492017.02</v>
      </c>
      <c r="J926" s="22">
        <f t="shared" si="625"/>
        <v>1844255.06</v>
      </c>
      <c r="K926" s="22">
        <f t="shared" si="625"/>
        <v>2076878.6400000001</v>
      </c>
      <c r="L926" s="22">
        <f t="shared" si="625"/>
        <v>2119316.87</v>
      </c>
      <c r="M926" s="22">
        <f t="shared" si="625"/>
        <v>1871108.9500000002</v>
      </c>
      <c r="N926" s="22">
        <f t="shared" si="625"/>
        <v>1860191.65</v>
      </c>
      <c r="O926" s="22">
        <f t="shared" si="625"/>
        <v>1637011.8800000001</v>
      </c>
      <c r="P926" s="22">
        <f t="shared" si="625"/>
        <v>1388275.8499999999</v>
      </c>
      <c r="Q926" s="22">
        <f t="shared" si="625"/>
        <v>1192987.95</v>
      </c>
      <c r="R926" s="22">
        <f t="shared" ref="R926:R932" si="626">SUM(F926:Q926)</f>
        <v>18746764.000000004</v>
      </c>
      <c r="S926" s="686"/>
    </row>
    <row r="927" spans="2:19" x14ac:dyDescent="0.2">
      <c r="C927" t="s">
        <v>388</v>
      </c>
      <c r="D927" s="21" t="s">
        <v>387</v>
      </c>
      <c r="F927" s="22">
        <f t="shared" ref="F927:Q927" si="627">F146</f>
        <v>76.98</v>
      </c>
      <c r="G927" s="22">
        <f t="shared" si="627"/>
        <v>27.25</v>
      </c>
      <c r="H927" s="22">
        <f t="shared" si="627"/>
        <v>242.87</v>
      </c>
      <c r="I927" s="22">
        <f t="shared" si="627"/>
        <v>1980.63</v>
      </c>
      <c r="J927" s="22">
        <f t="shared" si="627"/>
        <v>3346.76</v>
      </c>
      <c r="K927" s="22">
        <f t="shared" si="627"/>
        <v>4385.21</v>
      </c>
      <c r="L927" s="22">
        <f t="shared" si="627"/>
        <v>2645.87</v>
      </c>
      <c r="M927" s="22">
        <f t="shared" si="627"/>
        <v>3836.98</v>
      </c>
      <c r="N927" s="22">
        <f t="shared" si="627"/>
        <v>2823.34</v>
      </c>
      <c r="O927" s="22">
        <f t="shared" si="627"/>
        <v>2002.65</v>
      </c>
      <c r="P927" s="22">
        <f t="shared" si="627"/>
        <v>642.91</v>
      </c>
      <c r="Q927" s="22">
        <f t="shared" si="627"/>
        <v>37.44</v>
      </c>
      <c r="R927" s="22">
        <f t="shared" si="626"/>
        <v>22048.89</v>
      </c>
      <c r="S927" s="686"/>
    </row>
    <row r="928" spans="2:19" x14ac:dyDescent="0.2">
      <c r="C928" t="s">
        <v>261</v>
      </c>
      <c r="D928" s="21" t="s">
        <v>236</v>
      </c>
      <c r="F928" s="22">
        <f t="shared" ref="F928:Q928" si="628">F306</f>
        <v>566917.64</v>
      </c>
      <c r="G928" s="22">
        <f t="shared" si="628"/>
        <v>536778.17999999993</v>
      </c>
      <c r="H928" s="22">
        <f t="shared" si="628"/>
        <v>501521.2</v>
      </c>
      <c r="I928" s="22">
        <f t="shared" si="628"/>
        <v>548774.43999999994</v>
      </c>
      <c r="J928" s="22">
        <f t="shared" si="628"/>
        <v>530865.47</v>
      </c>
      <c r="K928" s="22">
        <f t="shared" si="628"/>
        <v>502356.32999999996</v>
      </c>
      <c r="L928" s="22">
        <f t="shared" si="628"/>
        <v>587041.71</v>
      </c>
      <c r="M928" s="22">
        <f t="shared" si="628"/>
        <v>560063.15999999992</v>
      </c>
      <c r="N928" s="22">
        <f t="shared" si="628"/>
        <v>653291.67999999993</v>
      </c>
      <c r="O928" s="22">
        <f t="shared" si="628"/>
        <v>562059.31000000006</v>
      </c>
      <c r="P928" s="22">
        <f t="shared" si="628"/>
        <v>465111.51</v>
      </c>
      <c r="Q928" s="22">
        <f t="shared" si="628"/>
        <v>456972.94</v>
      </c>
      <c r="R928" s="22">
        <f t="shared" si="626"/>
        <v>6471753.5699999994</v>
      </c>
      <c r="S928" s="686"/>
    </row>
    <row r="929" spans="2:22" x14ac:dyDescent="0.2">
      <c r="C929" t="s">
        <v>257</v>
      </c>
      <c r="D929" s="21" t="s">
        <v>231</v>
      </c>
      <c r="F929" s="22">
        <f t="shared" ref="F929:Q929" si="629">F475</f>
        <v>4280828.5600000005</v>
      </c>
      <c r="G929" s="22">
        <f t="shared" si="629"/>
        <v>4715349.79</v>
      </c>
      <c r="H929" s="22">
        <f t="shared" si="629"/>
        <v>4631320.07</v>
      </c>
      <c r="I929" s="22">
        <f t="shared" si="629"/>
        <v>5126915.4399999995</v>
      </c>
      <c r="J929" s="22">
        <f t="shared" si="629"/>
        <v>4478198.82</v>
      </c>
      <c r="K929" s="22">
        <f t="shared" si="629"/>
        <v>4595260.34</v>
      </c>
      <c r="L929" s="22">
        <f t="shared" si="629"/>
        <v>4463633.12</v>
      </c>
      <c r="M929" s="22">
        <f t="shared" si="629"/>
        <v>4116771.16</v>
      </c>
      <c r="N929" s="22">
        <f t="shared" si="629"/>
        <v>4871480.7699999996</v>
      </c>
      <c r="O929" s="22">
        <f t="shared" si="629"/>
        <v>4319936.82</v>
      </c>
      <c r="P929" s="22">
        <f t="shared" si="629"/>
        <v>4256767.37</v>
      </c>
      <c r="Q929" s="22">
        <f t="shared" si="629"/>
        <v>4233782.51</v>
      </c>
      <c r="R929" s="22">
        <f t="shared" si="626"/>
        <v>54090244.769999988</v>
      </c>
      <c r="S929" s="686"/>
    </row>
    <row r="930" spans="2:22" x14ac:dyDescent="0.2">
      <c r="C930" t="s">
        <v>326</v>
      </c>
      <c r="D930" s="21" t="s">
        <v>298</v>
      </c>
      <c r="F930" s="22">
        <f t="shared" ref="F930:Q930" si="630">F598</f>
        <v>24835.61</v>
      </c>
      <c r="G930" s="22">
        <f t="shared" si="630"/>
        <v>18950.099999999999</v>
      </c>
      <c r="H930" s="22">
        <f t="shared" si="630"/>
        <v>14249</v>
      </c>
      <c r="I930" s="22">
        <f t="shared" si="630"/>
        <v>31358.14</v>
      </c>
      <c r="J930" s="22">
        <f t="shared" si="630"/>
        <v>28587.62</v>
      </c>
      <c r="K930" s="22">
        <f t="shared" si="630"/>
        <v>29791.48</v>
      </c>
      <c r="L930" s="22">
        <f t="shared" si="630"/>
        <v>49343.94</v>
      </c>
      <c r="M930" s="22">
        <f t="shared" si="630"/>
        <v>52603.87</v>
      </c>
      <c r="N930" s="22">
        <f t="shared" si="630"/>
        <v>40825.67</v>
      </c>
      <c r="O930" s="22">
        <f t="shared" si="630"/>
        <v>24785.5</v>
      </c>
      <c r="P930" s="22">
        <f t="shared" si="630"/>
        <v>18363.18</v>
      </c>
      <c r="Q930" s="22">
        <f t="shared" si="630"/>
        <v>20942.59</v>
      </c>
      <c r="R930" s="22">
        <f t="shared" si="626"/>
        <v>354636.7</v>
      </c>
      <c r="S930" s="686"/>
    </row>
    <row r="931" spans="2:22" x14ac:dyDescent="0.2">
      <c r="C931" t="s">
        <v>258</v>
      </c>
      <c r="D931" s="21" t="s">
        <v>232</v>
      </c>
      <c r="F931" s="22">
        <f t="shared" ref="F931:Q931" si="631">F798</f>
        <v>7598296.1299999999</v>
      </c>
      <c r="G931" s="22">
        <f t="shared" si="631"/>
        <v>7734935.3200000003</v>
      </c>
      <c r="H931" s="22">
        <f t="shared" si="631"/>
        <v>7364818.1600000001</v>
      </c>
      <c r="I931" s="22">
        <f t="shared" si="631"/>
        <v>7444983.4000000004</v>
      </c>
      <c r="J931" s="22">
        <f t="shared" si="631"/>
        <v>6267312.4800000004</v>
      </c>
      <c r="K931" s="22">
        <f t="shared" si="631"/>
        <v>7766997.3499999996</v>
      </c>
      <c r="L931" s="22">
        <f t="shared" si="631"/>
        <v>6317281.6500000004</v>
      </c>
      <c r="M931" s="22">
        <f t="shared" si="631"/>
        <v>6906246.4400000004</v>
      </c>
      <c r="N931" s="22">
        <f t="shared" si="631"/>
        <v>7685171.5099999998</v>
      </c>
      <c r="O931" s="22">
        <f t="shared" si="631"/>
        <v>6615627.5999999996</v>
      </c>
      <c r="P931" s="22">
        <f t="shared" si="631"/>
        <v>6953514.0099999998</v>
      </c>
      <c r="Q931" s="22">
        <f t="shared" si="631"/>
        <v>6482373.2000000002</v>
      </c>
      <c r="R931" s="22">
        <f t="shared" si="626"/>
        <v>85137557.25</v>
      </c>
      <c r="S931" s="686"/>
    </row>
    <row r="932" spans="2:22" x14ac:dyDescent="0.2">
      <c r="C932" t="s">
        <v>275</v>
      </c>
      <c r="F932" s="22">
        <f t="shared" ref="F932:N932" si="632">F842</f>
        <v>1921334.9100000001</v>
      </c>
      <c r="G932" s="22">
        <f t="shared" si="632"/>
        <v>1869187.75</v>
      </c>
      <c r="H932" s="22">
        <f t="shared" si="632"/>
        <v>2068982.99</v>
      </c>
      <c r="I932" s="22">
        <f t="shared" si="632"/>
        <v>3006871.56</v>
      </c>
      <c r="J932" s="22">
        <f t="shared" si="632"/>
        <v>3833917.62</v>
      </c>
      <c r="K932" s="22">
        <f t="shared" si="632"/>
        <v>4352917.41</v>
      </c>
      <c r="L932" s="22">
        <f t="shared" si="632"/>
        <v>4443467.74</v>
      </c>
      <c r="M932" s="22">
        <f t="shared" si="632"/>
        <v>3867486.2699999996</v>
      </c>
      <c r="N932" s="22">
        <f t="shared" si="632"/>
        <v>3813818.93</v>
      </c>
      <c r="O932" s="22">
        <f t="shared" ref="O932:Q932" si="633">O842</f>
        <v>3266173.4099999997</v>
      </c>
      <c r="P932" s="22">
        <f t="shared" si="633"/>
        <v>2607580.04</v>
      </c>
      <c r="Q932" s="22">
        <f t="shared" si="633"/>
        <v>2223953.0499999998</v>
      </c>
      <c r="R932" s="22">
        <f t="shared" si="626"/>
        <v>37275691.68</v>
      </c>
      <c r="S932" s="686"/>
    </row>
    <row r="933" spans="2:22" x14ac:dyDescent="0.2">
      <c r="C933" t="s">
        <v>87</v>
      </c>
      <c r="F933" s="39">
        <f t="shared" ref="F933:R933" si="634">SUM(F923:F932)</f>
        <v>17890467.990000002</v>
      </c>
      <c r="G933" s="39">
        <f t="shared" si="634"/>
        <v>18524047.979999997</v>
      </c>
      <c r="H933" s="39">
        <f t="shared" si="634"/>
        <v>18124535.899999999</v>
      </c>
      <c r="I933" s="39">
        <f t="shared" si="634"/>
        <v>20514930.199999999</v>
      </c>
      <c r="J933" s="39">
        <f t="shared" si="634"/>
        <v>20119390.528999999</v>
      </c>
      <c r="K933" s="39">
        <f t="shared" si="634"/>
        <v>22723298.540000003</v>
      </c>
      <c r="L933" s="39">
        <f t="shared" si="634"/>
        <v>21509005.009999998</v>
      </c>
      <c r="M933" s="39">
        <f t="shared" si="634"/>
        <v>20533306.760000002</v>
      </c>
      <c r="N933" s="39">
        <f t="shared" si="634"/>
        <v>22286125.829999998</v>
      </c>
      <c r="O933" s="39">
        <f t="shared" ref="O933:Q933" si="635">SUM(O923:O932)</f>
        <v>19415899.109999999</v>
      </c>
      <c r="P933" s="39">
        <f t="shared" si="635"/>
        <v>18578019.629999999</v>
      </c>
      <c r="Q933" s="39">
        <f t="shared" si="635"/>
        <v>17175872.559999999</v>
      </c>
      <c r="R933" s="129">
        <f t="shared" si="634"/>
        <v>237394900.039</v>
      </c>
      <c r="S933" s="62"/>
    </row>
    <row r="934" spans="2:22" x14ac:dyDescent="0.2">
      <c r="F934" s="43"/>
      <c r="G934" s="43"/>
      <c r="H934" s="43"/>
      <c r="I934" s="43"/>
      <c r="J934" s="43"/>
      <c r="K934" s="43"/>
      <c r="L934" s="43"/>
      <c r="M934" s="43"/>
      <c r="N934" s="43"/>
      <c r="O934" s="43"/>
      <c r="P934" s="43"/>
      <c r="Q934" s="43"/>
      <c r="R934" s="43"/>
      <c r="S934" s="31"/>
    </row>
    <row r="935" spans="2:22" x14ac:dyDescent="0.2">
      <c r="B935" t="s">
        <v>109</v>
      </c>
      <c r="F935" s="39">
        <f t="shared" ref="F935:R935" si="636">F920+F933</f>
        <v>44767990.109000005</v>
      </c>
      <c r="G935" s="39">
        <f t="shared" si="636"/>
        <v>44321712.203999996</v>
      </c>
      <c r="H935" s="39">
        <f t="shared" si="636"/>
        <v>55528619.809999995</v>
      </c>
      <c r="I935" s="39">
        <f t="shared" si="636"/>
        <v>93099778.638000011</v>
      </c>
      <c r="J935" s="39">
        <f t="shared" si="636"/>
        <v>131215309.395</v>
      </c>
      <c r="K935" s="39">
        <f t="shared" si="636"/>
        <v>156530872.37799999</v>
      </c>
      <c r="L935" s="39">
        <f t="shared" si="636"/>
        <v>166549704.64200002</v>
      </c>
      <c r="M935" s="39">
        <f t="shared" si="636"/>
        <v>132716463.978</v>
      </c>
      <c r="N935" s="39">
        <f t="shared" si="636"/>
        <v>138023239.37</v>
      </c>
      <c r="O935" s="39">
        <f t="shared" ref="O935:Q935" si="637">O920+O933</f>
        <v>98978841.535999984</v>
      </c>
      <c r="P935" s="39">
        <f t="shared" si="637"/>
        <v>69771203.847000003</v>
      </c>
      <c r="Q935" s="39">
        <f t="shared" si="637"/>
        <v>50266421.469999999</v>
      </c>
      <c r="R935" s="129">
        <f t="shared" si="636"/>
        <v>1181770157.3769999</v>
      </c>
      <c r="S935" s="62"/>
    </row>
    <row r="936" spans="2:22" x14ac:dyDescent="0.2">
      <c r="F936" s="43"/>
      <c r="G936" s="43"/>
      <c r="H936" s="43"/>
      <c r="I936" s="43"/>
      <c r="J936" s="43"/>
      <c r="K936" s="43"/>
      <c r="L936" s="43"/>
      <c r="M936" s="43"/>
      <c r="N936" s="43"/>
      <c r="O936" s="43"/>
      <c r="P936" s="43"/>
      <c r="Q936" s="43"/>
      <c r="R936" s="43"/>
      <c r="S936" s="31"/>
    </row>
    <row r="937" spans="2:22" x14ac:dyDescent="0.2">
      <c r="B937" t="s">
        <v>293</v>
      </c>
      <c r="F937" s="43"/>
      <c r="G937" s="43"/>
      <c r="H937" s="43"/>
      <c r="I937" s="43"/>
      <c r="J937" s="43"/>
      <c r="K937" s="43"/>
      <c r="L937" s="43"/>
      <c r="M937" s="43"/>
      <c r="N937" s="43"/>
      <c r="O937" s="43"/>
      <c r="P937" s="43"/>
      <c r="Q937" s="43"/>
      <c r="R937" s="43"/>
      <c r="S937" s="31"/>
    </row>
    <row r="938" spans="2:22" x14ac:dyDescent="0.2">
      <c r="C938" s="80" t="s">
        <v>284</v>
      </c>
      <c r="D938">
        <v>16</v>
      </c>
      <c r="E938" s="22"/>
      <c r="F938" s="43">
        <f t="shared" ref="F938:N938" si="638">F907</f>
        <v>826.07600000000002</v>
      </c>
      <c r="G938" s="43">
        <f t="shared" si="638"/>
        <v>820.92700000000002</v>
      </c>
      <c r="H938" s="43">
        <f t="shared" si="638"/>
        <v>774.51800000000003</v>
      </c>
      <c r="I938" s="43">
        <f t="shared" si="638"/>
        <v>824.08199999999999</v>
      </c>
      <c r="J938" s="43">
        <f t="shared" si="638"/>
        <v>783.54899999999998</v>
      </c>
      <c r="K938" s="43">
        <f t="shared" si="638"/>
        <v>800.10699999999997</v>
      </c>
      <c r="L938" s="43">
        <f t="shared" si="638"/>
        <v>797.62900000000002</v>
      </c>
      <c r="M938" s="43">
        <f t="shared" si="638"/>
        <v>723.62300000000005</v>
      </c>
      <c r="N938" s="43">
        <f t="shared" si="638"/>
        <v>835.85599999999999</v>
      </c>
      <c r="O938" s="43">
        <f t="shared" ref="O938:Q938" si="639">O907</f>
        <v>821.65099999999995</v>
      </c>
      <c r="P938" s="43">
        <f t="shared" si="639"/>
        <v>818.67499999999995</v>
      </c>
      <c r="Q938" s="43">
        <f t="shared" si="639"/>
        <v>765.35199999999998</v>
      </c>
      <c r="R938" s="22">
        <f t="shared" ref="R938:R951" si="640">SUM(F938:Q938)</f>
        <v>9592.0450000000001</v>
      </c>
      <c r="S938" s="62"/>
      <c r="U938" s="22"/>
    </row>
    <row r="939" spans="2:22" x14ac:dyDescent="0.2">
      <c r="C939" s="80" t="s">
        <v>284</v>
      </c>
      <c r="D939">
        <v>23</v>
      </c>
      <c r="E939" s="22"/>
      <c r="F939" s="43">
        <f t="shared" ref="F939:N939" si="641">F908</f>
        <v>13443846.632999999</v>
      </c>
      <c r="G939" s="43">
        <f t="shared" si="641"/>
        <v>12736009.979</v>
      </c>
      <c r="H939" s="43">
        <f t="shared" si="641"/>
        <v>21647719.936999999</v>
      </c>
      <c r="I939" s="43">
        <f t="shared" si="641"/>
        <v>46155974.25</v>
      </c>
      <c r="J939" s="43">
        <f t="shared" si="641"/>
        <v>73741897.160999998</v>
      </c>
      <c r="K939" s="43">
        <f t="shared" si="641"/>
        <v>88509622.627000004</v>
      </c>
      <c r="L939" s="43">
        <f t="shared" si="641"/>
        <v>97226692.343999997</v>
      </c>
      <c r="M939" s="43">
        <f t="shared" si="641"/>
        <v>73367926.152999997</v>
      </c>
      <c r="N939" s="43">
        <f t="shared" si="641"/>
        <v>75843560.385000005</v>
      </c>
      <c r="O939" s="43">
        <f t="shared" ref="O939:Q939" si="642">O908</f>
        <v>50269722.055</v>
      </c>
      <c r="P939" s="43">
        <f t="shared" si="642"/>
        <v>30887232.546</v>
      </c>
      <c r="Q939" s="43">
        <f t="shared" si="642"/>
        <v>19275348.866999999</v>
      </c>
      <c r="R939" s="22">
        <f t="shared" si="640"/>
        <v>603105552.93699992</v>
      </c>
      <c r="S939" s="62"/>
      <c r="U939" s="22"/>
    </row>
    <row r="940" spans="2:22" x14ac:dyDescent="0.2">
      <c r="C940" s="80" t="s">
        <v>72</v>
      </c>
      <c r="D940">
        <v>53</v>
      </c>
      <c r="E940" s="22"/>
      <c r="F940" s="43">
        <f t="shared" ref="F940:N940" si="643">F909</f>
        <v>9.0079999999999991</v>
      </c>
      <c r="G940" s="43">
        <f t="shared" si="643"/>
        <v>9.2899999999999991</v>
      </c>
      <c r="H940" s="43">
        <f t="shared" si="643"/>
        <v>23.614000000000001</v>
      </c>
      <c r="I940" s="43">
        <f t="shared" si="643"/>
        <v>52.81</v>
      </c>
      <c r="J940" s="43">
        <f t="shared" si="643"/>
        <v>67.945999999999998</v>
      </c>
      <c r="K940" s="43">
        <f t="shared" si="643"/>
        <v>68.12700000000001</v>
      </c>
      <c r="L940" s="43">
        <f t="shared" si="643"/>
        <v>56.914999999999999</v>
      </c>
      <c r="M940" s="43">
        <f t="shared" si="643"/>
        <v>7.5629999999999997</v>
      </c>
      <c r="N940" s="43">
        <f t="shared" si="643"/>
        <v>0</v>
      </c>
      <c r="O940" s="43">
        <f t="shared" ref="O940:Q940" si="644">O909</f>
        <v>0</v>
      </c>
      <c r="P940" s="43">
        <f t="shared" si="644"/>
        <v>0</v>
      </c>
      <c r="Q940" s="43">
        <f t="shared" si="644"/>
        <v>0</v>
      </c>
      <c r="R940" s="22">
        <f t="shared" si="640"/>
        <v>295.27300000000002</v>
      </c>
      <c r="S940" s="62"/>
      <c r="U940" s="22"/>
    </row>
    <row r="941" spans="2:22" x14ac:dyDescent="0.2">
      <c r="C941" s="81" t="s">
        <v>73</v>
      </c>
      <c r="D941">
        <v>31</v>
      </c>
      <c r="E941" s="22"/>
      <c r="F941" s="43">
        <f t="shared" ref="F941:N941" si="645">F910+F915</f>
        <v>8023212.7980000004</v>
      </c>
      <c r="G941" s="43">
        <f t="shared" si="645"/>
        <v>7868703.7030000007</v>
      </c>
      <c r="H941" s="43">
        <f t="shared" si="645"/>
        <v>9578312.2190000005</v>
      </c>
      <c r="I941" s="43">
        <f t="shared" si="645"/>
        <v>16934863.227000002</v>
      </c>
      <c r="J941" s="43">
        <f t="shared" si="645"/>
        <v>25547691.226999998</v>
      </c>
      <c r="K941" s="43">
        <f t="shared" si="645"/>
        <v>31378118.582000002</v>
      </c>
      <c r="L941" s="43">
        <f t="shared" si="645"/>
        <v>33821766.534999996</v>
      </c>
      <c r="M941" s="43">
        <f t="shared" si="645"/>
        <v>26737363.708000001</v>
      </c>
      <c r="N941" s="43">
        <f t="shared" si="645"/>
        <v>27360801.246000003</v>
      </c>
      <c r="O941" s="43">
        <f t="shared" ref="O941:Q941" si="646">O910+O915</f>
        <v>19203020.005000003</v>
      </c>
      <c r="P941" s="43">
        <f t="shared" si="646"/>
        <v>12802351.787</v>
      </c>
      <c r="Q941" s="43">
        <f t="shared" si="646"/>
        <v>9348527.4330000002</v>
      </c>
      <c r="R941" s="22">
        <f t="shared" si="640"/>
        <v>228604732.46999997</v>
      </c>
      <c r="S941" s="62"/>
      <c r="U941" s="22"/>
    </row>
    <row r="942" spans="2:22" x14ac:dyDescent="0.2">
      <c r="C942" s="80" t="s">
        <v>74</v>
      </c>
      <c r="D942">
        <v>41</v>
      </c>
      <c r="E942" s="22"/>
      <c r="F942" s="43">
        <f t="shared" ref="F942:N942" si="647">F911+F916</f>
        <v>3152377.75</v>
      </c>
      <c r="G942" s="43">
        <f t="shared" si="647"/>
        <v>3028375.96</v>
      </c>
      <c r="H942" s="43">
        <f t="shared" si="647"/>
        <v>3590363.7609999999</v>
      </c>
      <c r="I942" s="43">
        <f t="shared" si="647"/>
        <v>5337793.7060000002</v>
      </c>
      <c r="J942" s="43">
        <f t="shared" si="647"/>
        <v>6705542.3960000006</v>
      </c>
      <c r="K942" s="43">
        <f t="shared" si="647"/>
        <v>7771080.1879999992</v>
      </c>
      <c r="L942" s="43">
        <f t="shared" si="647"/>
        <v>8199254.8569999998</v>
      </c>
      <c r="M942" s="43">
        <f t="shared" si="647"/>
        <v>6874280.1060000006</v>
      </c>
      <c r="N942" s="43">
        <f t="shared" si="647"/>
        <v>7182884.3100000005</v>
      </c>
      <c r="O942" s="43">
        <f t="shared" ref="O942:Q942" si="648">O911+O916</f>
        <v>5745988.2310000006</v>
      </c>
      <c r="P942" s="43">
        <f t="shared" si="648"/>
        <v>4481751.682</v>
      </c>
      <c r="Q942" s="43">
        <f t="shared" si="648"/>
        <v>1897175.0699999998</v>
      </c>
      <c r="R942" s="22">
        <f t="shared" si="640"/>
        <v>63966868.016999997</v>
      </c>
      <c r="S942" s="62"/>
      <c r="U942" s="22"/>
      <c r="V942" s="17"/>
    </row>
    <row r="943" spans="2:22" x14ac:dyDescent="0.2">
      <c r="C943" t="s">
        <v>539</v>
      </c>
      <c r="D943" s="21" t="s">
        <v>387</v>
      </c>
      <c r="E943" s="22"/>
      <c r="F943" s="43">
        <f>F923+F927</f>
        <v>910.31000000000006</v>
      </c>
      <c r="G943" s="43">
        <f t="shared" ref="G943:Q943" si="649">G923+G927</f>
        <v>879.71</v>
      </c>
      <c r="H943" s="43">
        <f t="shared" si="649"/>
        <v>1247.21</v>
      </c>
      <c r="I943" s="43">
        <f t="shared" si="649"/>
        <v>3838.74</v>
      </c>
      <c r="J943" s="43">
        <f t="shared" si="649"/>
        <v>5767.1</v>
      </c>
      <c r="K943" s="43">
        <f t="shared" si="649"/>
        <v>8025.07</v>
      </c>
      <c r="L943" s="43">
        <f t="shared" si="649"/>
        <v>5002.67</v>
      </c>
      <c r="M943" s="43">
        <f t="shared" si="649"/>
        <v>6550.45</v>
      </c>
      <c r="N943" s="43">
        <f t="shared" si="649"/>
        <v>5064.18</v>
      </c>
      <c r="O943" s="43">
        <f t="shared" si="649"/>
        <v>3517.5600000000004</v>
      </c>
      <c r="P943" s="43">
        <f t="shared" si="649"/>
        <v>1618.33</v>
      </c>
      <c r="Q943" s="43">
        <f t="shared" si="649"/>
        <v>992.44</v>
      </c>
      <c r="R943" s="22">
        <f t="shared" si="640"/>
        <v>43413.770000000004</v>
      </c>
      <c r="S943" s="62"/>
      <c r="U943" s="22"/>
    </row>
    <row r="944" spans="2:22" x14ac:dyDescent="0.2">
      <c r="C944" s="80" t="s">
        <v>285</v>
      </c>
      <c r="D944">
        <v>85</v>
      </c>
      <c r="E944" s="22"/>
      <c r="F944" s="43">
        <f t="shared" ref="F944:N944" si="650">F912+F917</f>
        <v>836289.44500000007</v>
      </c>
      <c r="G944" s="43">
        <f t="shared" si="650"/>
        <v>772468.12399999984</v>
      </c>
      <c r="H944" s="43">
        <f t="shared" si="650"/>
        <v>909674.81900000002</v>
      </c>
      <c r="I944" s="43">
        <f t="shared" si="650"/>
        <v>1382235.878</v>
      </c>
      <c r="J944" s="43">
        <f t="shared" si="650"/>
        <v>1705057.9990000001</v>
      </c>
      <c r="K944" s="43">
        <f t="shared" si="650"/>
        <v>2029384.3720000002</v>
      </c>
      <c r="L944" s="43">
        <f t="shared" si="650"/>
        <v>1933608.2690000001</v>
      </c>
      <c r="M944" s="43">
        <f t="shared" si="650"/>
        <v>1680524.0340000002</v>
      </c>
      <c r="N944" s="43">
        <f t="shared" si="650"/>
        <v>1789387.747</v>
      </c>
      <c r="O944" s="43">
        <f t="shared" ref="O944:Q944" si="651">O912+O917</f>
        <v>1400451.9129999999</v>
      </c>
      <c r="P944" s="43">
        <f t="shared" si="651"/>
        <v>1046948.3860000001</v>
      </c>
      <c r="Q944" s="43">
        <f t="shared" si="651"/>
        <v>821758.44000000006</v>
      </c>
      <c r="R944" s="22">
        <f t="shared" si="640"/>
        <v>16307789.425999999</v>
      </c>
      <c r="S944" s="62"/>
      <c r="U944" s="22"/>
      <c r="V944" s="17"/>
    </row>
    <row r="945" spans="2:21" x14ac:dyDescent="0.2">
      <c r="C945" s="80" t="s">
        <v>286</v>
      </c>
      <c r="D945">
        <v>86</v>
      </c>
      <c r="E945" s="22"/>
      <c r="F945" s="43">
        <f t="shared" ref="F945:N945" si="652">F913+F918</f>
        <v>215797.27499999999</v>
      </c>
      <c r="G945" s="43">
        <f t="shared" si="652"/>
        <v>200043.261</v>
      </c>
      <c r="H945" s="43">
        <f t="shared" si="652"/>
        <v>379761.01699999999</v>
      </c>
      <c r="I945" s="43">
        <f t="shared" si="652"/>
        <v>816241.58800000011</v>
      </c>
      <c r="J945" s="43">
        <f t="shared" si="652"/>
        <v>1048827.237</v>
      </c>
      <c r="K945" s="43">
        <f t="shared" si="652"/>
        <v>1301022.3529999999</v>
      </c>
      <c r="L945" s="43">
        <f t="shared" si="652"/>
        <v>1276427.676</v>
      </c>
      <c r="M945" s="43">
        <f t="shared" si="652"/>
        <v>1068462.2690000001</v>
      </c>
      <c r="N945" s="43">
        <f t="shared" si="652"/>
        <v>1127623.6189999999</v>
      </c>
      <c r="O945" s="43">
        <f t="shared" ref="O945:Q945" si="653">O913+O918</f>
        <v>868268.65500000014</v>
      </c>
      <c r="P945" s="43">
        <f t="shared" si="653"/>
        <v>488370.93900000007</v>
      </c>
      <c r="Q945" s="43">
        <f t="shared" si="653"/>
        <v>316422.65299999999</v>
      </c>
      <c r="R945" s="22">
        <f t="shared" si="640"/>
        <v>9107268.5420000013</v>
      </c>
      <c r="S945" s="62"/>
      <c r="U945" s="22"/>
    </row>
    <row r="946" spans="2:21" x14ac:dyDescent="0.2">
      <c r="C946" s="80" t="s">
        <v>287</v>
      </c>
      <c r="D946">
        <v>87</v>
      </c>
      <c r="E946" s="22"/>
      <c r="F946" s="43">
        <f t="shared" ref="F946:N946" si="654">F914+F919</f>
        <v>1205163.1340000001</v>
      </c>
      <c r="G946" s="43">
        <f t="shared" si="654"/>
        <v>1191232.98</v>
      </c>
      <c r="H946" s="43">
        <f t="shared" si="654"/>
        <v>1297454.0249999999</v>
      </c>
      <c r="I946" s="43">
        <f t="shared" si="654"/>
        <v>1956862.8969999999</v>
      </c>
      <c r="J946" s="43">
        <f t="shared" si="654"/>
        <v>2346051.3509999998</v>
      </c>
      <c r="K946" s="43">
        <f t="shared" si="654"/>
        <v>2817477.4819999998</v>
      </c>
      <c r="L946" s="43">
        <f t="shared" si="654"/>
        <v>2582095.4070000001</v>
      </c>
      <c r="M946" s="43">
        <f t="shared" si="654"/>
        <v>2453869.7620000001</v>
      </c>
      <c r="N946" s="43">
        <f t="shared" si="654"/>
        <v>2432020.3769999999</v>
      </c>
      <c r="O946" s="43">
        <f t="shared" ref="O946:Q946" si="655">O914+O919</f>
        <v>2074669.916</v>
      </c>
      <c r="P946" s="43">
        <f t="shared" si="655"/>
        <v>1485710.202</v>
      </c>
      <c r="Q946" s="43">
        <f t="shared" si="655"/>
        <v>1430551.095</v>
      </c>
      <c r="R946" s="22">
        <f t="shared" si="640"/>
        <v>23273158.627999999</v>
      </c>
      <c r="S946" s="62"/>
      <c r="U946" s="22"/>
    </row>
    <row r="947" spans="2:21" x14ac:dyDescent="0.2">
      <c r="C947" t="s">
        <v>288</v>
      </c>
      <c r="D947" s="21" t="s">
        <v>236</v>
      </c>
      <c r="E947" s="22"/>
      <c r="F947" s="43">
        <f t="shared" ref="F947:N947" si="656">F924+F928</f>
        <v>1409196.13</v>
      </c>
      <c r="G947" s="43">
        <f t="shared" si="656"/>
        <v>1455982.78</v>
      </c>
      <c r="H947" s="43">
        <f t="shared" si="656"/>
        <v>1376139.56</v>
      </c>
      <c r="I947" s="43">
        <f t="shared" si="656"/>
        <v>1587400.12</v>
      </c>
      <c r="J947" s="43">
        <f t="shared" si="656"/>
        <v>1682324.709</v>
      </c>
      <c r="K947" s="43">
        <f t="shared" si="656"/>
        <v>1740155.9700000002</v>
      </c>
      <c r="L947" s="43">
        <f t="shared" si="656"/>
        <v>1896974.1</v>
      </c>
      <c r="M947" s="43">
        <f t="shared" si="656"/>
        <v>1747749.17</v>
      </c>
      <c r="N947" s="43">
        <f t="shared" si="656"/>
        <v>1903759.5399999998</v>
      </c>
      <c r="O947" s="43">
        <f t="shared" ref="O947:Q947" si="657">O924+O928</f>
        <v>1695900.24</v>
      </c>
      <c r="P947" s="43">
        <f t="shared" si="657"/>
        <v>1488537.73</v>
      </c>
      <c r="Q947" s="43">
        <f t="shared" si="657"/>
        <v>1270129.47</v>
      </c>
      <c r="R947" s="22">
        <f t="shared" si="640"/>
        <v>19254249.518999998</v>
      </c>
      <c r="S947" s="62"/>
      <c r="U947" s="22"/>
    </row>
    <row r="948" spans="2:21" x14ac:dyDescent="0.2">
      <c r="C948" t="s">
        <v>289</v>
      </c>
      <c r="D948" s="21" t="s">
        <v>231</v>
      </c>
      <c r="E948" s="22"/>
      <c r="F948" s="43">
        <f t="shared" ref="F948:N948" si="658">F925+F929</f>
        <v>5851763.6900000004</v>
      </c>
      <c r="G948" s="43">
        <f t="shared" si="658"/>
        <v>6367850.5700000003</v>
      </c>
      <c r="H948" s="43">
        <f t="shared" si="658"/>
        <v>6194771.8100000005</v>
      </c>
      <c r="I948" s="43">
        <f t="shared" si="658"/>
        <v>6948461.2199999997</v>
      </c>
      <c r="J948" s="43">
        <f t="shared" si="658"/>
        <v>6457225.9400000004</v>
      </c>
      <c r="K948" s="43">
        <f t="shared" si="658"/>
        <v>6748532.6200000001</v>
      </c>
      <c r="L948" s="43">
        <f t="shared" si="658"/>
        <v>6677618.04</v>
      </c>
      <c r="M948" s="43">
        <f t="shared" si="658"/>
        <v>6081561.6100000003</v>
      </c>
      <c r="N948" s="43">
        <f t="shared" si="658"/>
        <v>6977294.3499999996</v>
      </c>
      <c r="O948" s="43">
        <f t="shared" ref="O948:Q948" si="659">O925+O929</f>
        <v>6172882.9199999999</v>
      </c>
      <c r="P948" s="43">
        <f t="shared" si="659"/>
        <v>6120130.4900000002</v>
      </c>
      <c r="Q948" s="43">
        <f t="shared" si="659"/>
        <v>5984493.8599999994</v>
      </c>
      <c r="R948" s="22">
        <f t="shared" si="640"/>
        <v>76582587.120000005</v>
      </c>
      <c r="S948" s="62"/>
      <c r="U948" s="22"/>
    </row>
    <row r="949" spans="2:21" x14ac:dyDescent="0.2">
      <c r="C949" t="s">
        <v>325</v>
      </c>
      <c r="D949" s="21" t="s">
        <v>298</v>
      </c>
      <c r="E949" s="22"/>
      <c r="F949" s="43">
        <f t="shared" ref="F949:N949" si="660">F930</f>
        <v>24835.61</v>
      </c>
      <c r="G949" s="43">
        <f t="shared" si="660"/>
        <v>18950.099999999999</v>
      </c>
      <c r="H949" s="43">
        <f t="shared" si="660"/>
        <v>14249</v>
      </c>
      <c r="I949" s="43">
        <f t="shared" si="660"/>
        <v>31358.14</v>
      </c>
      <c r="J949" s="43">
        <f t="shared" si="660"/>
        <v>28587.62</v>
      </c>
      <c r="K949" s="43">
        <f t="shared" si="660"/>
        <v>29791.48</v>
      </c>
      <c r="L949" s="43">
        <f t="shared" si="660"/>
        <v>49343.94</v>
      </c>
      <c r="M949" s="43">
        <f t="shared" si="660"/>
        <v>52603.87</v>
      </c>
      <c r="N949" s="43">
        <f t="shared" si="660"/>
        <v>40825.67</v>
      </c>
      <c r="O949" s="43">
        <f t="shared" ref="O949:Q949" si="661">O930</f>
        <v>24785.5</v>
      </c>
      <c r="P949" s="43">
        <f t="shared" si="661"/>
        <v>18363.18</v>
      </c>
      <c r="Q949" s="43">
        <f t="shared" si="661"/>
        <v>20942.59</v>
      </c>
      <c r="R949" s="22">
        <f t="shared" si="640"/>
        <v>354636.7</v>
      </c>
      <c r="S949" s="62"/>
      <c r="U949" s="22"/>
    </row>
    <row r="950" spans="2:21" x14ac:dyDescent="0.2">
      <c r="C950" t="s">
        <v>290</v>
      </c>
      <c r="D950" s="21" t="s">
        <v>232</v>
      </c>
      <c r="E950" s="22"/>
      <c r="F950" s="43">
        <f t="shared" ref="F950:N950" si="662">F926+F931</f>
        <v>8682427.3399999999</v>
      </c>
      <c r="G950" s="43">
        <f t="shared" si="662"/>
        <v>8811197.0700000003</v>
      </c>
      <c r="H950" s="43">
        <f t="shared" si="662"/>
        <v>8469145.3300000001</v>
      </c>
      <c r="I950" s="43">
        <f t="shared" si="662"/>
        <v>8937000.4199999999</v>
      </c>
      <c r="J950" s="43">
        <f t="shared" si="662"/>
        <v>8111567.540000001</v>
      </c>
      <c r="K950" s="43">
        <f t="shared" si="662"/>
        <v>9843875.9900000002</v>
      </c>
      <c r="L950" s="43">
        <f t="shared" si="662"/>
        <v>8436598.5199999996</v>
      </c>
      <c r="M950" s="43">
        <f t="shared" si="662"/>
        <v>8777355.3900000006</v>
      </c>
      <c r="N950" s="43">
        <f t="shared" si="662"/>
        <v>9545363.1600000001</v>
      </c>
      <c r="O950" s="43">
        <f t="shared" ref="O950:Q950" si="663">O926+O931</f>
        <v>8252639.4799999995</v>
      </c>
      <c r="P950" s="43">
        <f t="shared" si="663"/>
        <v>8341789.8599999994</v>
      </c>
      <c r="Q950" s="43">
        <f t="shared" si="663"/>
        <v>7675361.1500000004</v>
      </c>
      <c r="R950" s="22">
        <f t="shared" si="640"/>
        <v>103884321.25000001</v>
      </c>
      <c r="S950" s="62"/>
      <c r="U950" s="22"/>
    </row>
    <row r="951" spans="2:21" x14ac:dyDescent="0.2">
      <c r="C951" s="80" t="s">
        <v>238</v>
      </c>
      <c r="E951" s="22"/>
      <c r="F951" s="43">
        <f t="shared" ref="F951:K951" si="664">F932</f>
        <v>1921334.9100000001</v>
      </c>
      <c r="G951" s="43">
        <f t="shared" si="664"/>
        <v>1869187.75</v>
      </c>
      <c r="H951" s="43">
        <f t="shared" si="664"/>
        <v>2068982.99</v>
      </c>
      <c r="I951" s="43">
        <f t="shared" si="664"/>
        <v>3006871.56</v>
      </c>
      <c r="J951" s="43">
        <f t="shared" si="664"/>
        <v>3833917.62</v>
      </c>
      <c r="K951" s="43">
        <f t="shared" si="664"/>
        <v>4352917.41</v>
      </c>
      <c r="L951" s="43">
        <f>L932</f>
        <v>4443467.74</v>
      </c>
      <c r="M951" s="43">
        <f>M932</f>
        <v>3867486.2699999996</v>
      </c>
      <c r="N951" s="43">
        <f>N932</f>
        <v>3813818.93</v>
      </c>
      <c r="O951" s="43">
        <f t="shared" ref="O951:Q951" si="665">O932</f>
        <v>3266173.4099999997</v>
      </c>
      <c r="P951" s="43">
        <f t="shared" si="665"/>
        <v>2607580.04</v>
      </c>
      <c r="Q951" s="43">
        <f t="shared" si="665"/>
        <v>2223953.0499999998</v>
      </c>
      <c r="R951" s="22">
        <f t="shared" si="640"/>
        <v>37275691.68</v>
      </c>
      <c r="S951" s="62"/>
      <c r="U951" s="22"/>
    </row>
    <row r="952" spans="2:21" x14ac:dyDescent="0.2">
      <c r="C952" t="s">
        <v>109</v>
      </c>
      <c r="F952" s="39">
        <f t="shared" ref="F952:K952" si="666">SUM(F938:F951)</f>
        <v>44767990.108999997</v>
      </c>
      <c r="G952" s="39">
        <f t="shared" si="666"/>
        <v>44321712.204000011</v>
      </c>
      <c r="H952" s="39">
        <f t="shared" si="666"/>
        <v>55528619.809999995</v>
      </c>
      <c r="I952" s="39">
        <f t="shared" si="666"/>
        <v>93099778.638000011</v>
      </c>
      <c r="J952" s="39">
        <f t="shared" si="666"/>
        <v>131215309.395</v>
      </c>
      <c r="K952" s="39">
        <f t="shared" si="666"/>
        <v>156530872.37799999</v>
      </c>
      <c r="L952" s="39">
        <f>SUM(L938:L951)</f>
        <v>166549704.64199999</v>
      </c>
      <c r="M952" s="39">
        <f>SUM(M938:M951)</f>
        <v>132716463.97799999</v>
      </c>
      <c r="N952" s="39">
        <f>SUM(N938:N951)</f>
        <v>138023239.37000003</v>
      </c>
      <c r="O952" s="39">
        <f t="shared" ref="O952:Q952" si="667">SUM(O938:O951)</f>
        <v>98978841.535999998</v>
      </c>
      <c r="P952" s="39">
        <f t="shared" si="667"/>
        <v>69771203.847000003</v>
      </c>
      <c r="Q952" s="39">
        <f t="shared" si="667"/>
        <v>50266421.470000006</v>
      </c>
      <c r="R952" s="129">
        <f>SUM(R938:R951)</f>
        <v>1181770157.3770001</v>
      </c>
      <c r="S952" s="62"/>
      <c r="U952" s="22"/>
    </row>
    <row r="953" spans="2:21" x14ac:dyDescent="0.2">
      <c r="C953" t="s">
        <v>114</v>
      </c>
      <c r="F953" s="690">
        <f t="shared" ref="F953:R953" si="668">F935-F952</f>
        <v>0</v>
      </c>
      <c r="G953" s="690">
        <f t="shared" si="668"/>
        <v>0</v>
      </c>
      <c r="H953" s="690">
        <f t="shared" si="668"/>
        <v>0</v>
      </c>
      <c r="I953" s="690">
        <f t="shared" si="668"/>
        <v>0</v>
      </c>
      <c r="J953" s="690">
        <f t="shared" si="668"/>
        <v>0</v>
      </c>
      <c r="K953" s="690">
        <f t="shared" si="668"/>
        <v>0</v>
      </c>
      <c r="L953" s="690">
        <f t="shared" si="668"/>
        <v>0</v>
      </c>
      <c r="M953" s="690">
        <f t="shared" si="668"/>
        <v>0</v>
      </c>
      <c r="N953" s="690">
        <f t="shared" si="668"/>
        <v>0</v>
      </c>
      <c r="O953" s="690">
        <f t="shared" ref="O953:Q953" si="669">O935-O952</f>
        <v>0</v>
      </c>
      <c r="P953" s="690">
        <f t="shared" si="669"/>
        <v>0</v>
      </c>
      <c r="Q953" s="690">
        <f t="shared" si="669"/>
        <v>0</v>
      </c>
      <c r="R953" s="690">
        <f t="shared" si="668"/>
        <v>0</v>
      </c>
      <c r="S953" s="31"/>
    </row>
    <row r="954" spans="2:21" x14ac:dyDescent="0.2">
      <c r="S954" s="31"/>
    </row>
    <row r="955" spans="2:21" x14ac:dyDescent="0.2">
      <c r="B955" t="s">
        <v>67</v>
      </c>
      <c r="S955" s="31"/>
    </row>
    <row r="956" spans="2:21" x14ac:dyDescent="0.2">
      <c r="C956" t="s">
        <v>102</v>
      </c>
      <c r="D956">
        <v>41</v>
      </c>
      <c r="E956" s="22"/>
      <c r="F956" s="22">
        <f t="shared" ref="F956:Q956" si="670">F181</f>
        <v>299206.70899999997</v>
      </c>
      <c r="G956" s="22">
        <f t="shared" si="670"/>
        <v>286382.19699999999</v>
      </c>
      <c r="H956" s="22">
        <f t="shared" si="670"/>
        <v>273422.99099999998</v>
      </c>
      <c r="I956" s="22">
        <f t="shared" si="670"/>
        <v>280968.92</v>
      </c>
      <c r="J956" s="22">
        <f t="shared" si="670"/>
        <v>269903.56099999999</v>
      </c>
      <c r="K956" s="22">
        <f t="shared" si="670"/>
        <v>284689.35600000003</v>
      </c>
      <c r="L956" s="22">
        <f t="shared" si="670"/>
        <v>289438.478</v>
      </c>
      <c r="M956" s="22">
        <f t="shared" si="670"/>
        <v>267079.92800000001</v>
      </c>
      <c r="N956" s="22">
        <f t="shared" si="670"/>
        <v>290554.50799999997</v>
      </c>
      <c r="O956" s="22">
        <f t="shared" si="670"/>
        <v>287258.95400000003</v>
      </c>
      <c r="P956" s="22">
        <f t="shared" si="670"/>
        <v>285611.61800000002</v>
      </c>
      <c r="Q956" s="22">
        <f t="shared" si="670"/>
        <v>338595.58</v>
      </c>
      <c r="R956" s="22">
        <f t="shared" ref="R956:R971" si="671">SUM(F956:Q956)</f>
        <v>3453112.8</v>
      </c>
      <c r="S956" s="62"/>
      <c r="U956" s="22"/>
    </row>
    <row r="957" spans="2:21" x14ac:dyDescent="0.2">
      <c r="C957" t="s">
        <v>277</v>
      </c>
      <c r="D957" s="21" t="s">
        <v>236</v>
      </c>
      <c r="E957" s="22"/>
      <c r="F957" s="22">
        <f t="shared" ref="F957:Q957" si="672">F269</f>
        <v>57061</v>
      </c>
      <c r="G957" s="22">
        <f t="shared" si="672"/>
        <v>58602</v>
      </c>
      <c r="H957" s="22">
        <f t="shared" si="672"/>
        <v>58602</v>
      </c>
      <c r="I957" s="22">
        <f t="shared" si="672"/>
        <v>59080</v>
      </c>
      <c r="J957" s="22">
        <f t="shared" si="672"/>
        <v>75440</v>
      </c>
      <c r="K957" s="22">
        <f t="shared" si="672"/>
        <v>65691</v>
      </c>
      <c r="L957" s="22">
        <f t="shared" si="672"/>
        <v>61510.601000000002</v>
      </c>
      <c r="M957" s="22">
        <f t="shared" si="672"/>
        <v>60748</v>
      </c>
      <c r="N957" s="22">
        <f t="shared" si="672"/>
        <v>60798</v>
      </c>
      <c r="O957" s="22">
        <f t="shared" si="672"/>
        <v>62130</v>
      </c>
      <c r="P957" s="22">
        <f t="shared" si="672"/>
        <v>59713</v>
      </c>
      <c r="Q957" s="22">
        <f t="shared" si="672"/>
        <v>55707</v>
      </c>
      <c r="R957" s="22">
        <f t="shared" si="671"/>
        <v>735082.60100000002</v>
      </c>
      <c r="S957" s="62"/>
      <c r="U957" s="22"/>
    </row>
    <row r="958" spans="2:21" x14ac:dyDescent="0.2">
      <c r="C958" t="s">
        <v>278</v>
      </c>
      <c r="D958" s="21" t="s">
        <v>231</v>
      </c>
      <c r="E958" s="22"/>
      <c r="F958" s="22">
        <f t="shared" ref="F958:Q958" si="673">F439</f>
        <v>10775</v>
      </c>
      <c r="G958" s="22">
        <f t="shared" si="673"/>
        <v>10775</v>
      </c>
      <c r="H958" s="22">
        <f t="shared" si="673"/>
        <v>10775</v>
      </c>
      <c r="I958" s="22">
        <f t="shared" si="673"/>
        <v>10775</v>
      </c>
      <c r="J958" s="22">
        <f t="shared" si="673"/>
        <v>10775</v>
      </c>
      <c r="K958" s="22">
        <f t="shared" si="673"/>
        <v>10775</v>
      </c>
      <c r="L958" s="22">
        <f t="shared" si="673"/>
        <v>10775</v>
      </c>
      <c r="M958" s="22">
        <f t="shared" si="673"/>
        <v>10775</v>
      </c>
      <c r="N958" s="22">
        <f t="shared" si="673"/>
        <v>10775</v>
      </c>
      <c r="O958" s="22">
        <f t="shared" si="673"/>
        <v>10775</v>
      </c>
      <c r="P958" s="22">
        <f t="shared" si="673"/>
        <v>12175</v>
      </c>
      <c r="Q958" s="22">
        <f t="shared" si="673"/>
        <v>10775</v>
      </c>
      <c r="R958" s="22">
        <f t="shared" si="671"/>
        <v>130700</v>
      </c>
      <c r="S958" s="62"/>
      <c r="U958" s="22"/>
    </row>
    <row r="959" spans="2:21" x14ac:dyDescent="0.2">
      <c r="C959" t="s">
        <v>312</v>
      </c>
      <c r="D959" s="21" t="s">
        <v>232</v>
      </c>
      <c r="E959" s="22"/>
      <c r="F959" s="22">
        <f t="shared" ref="F959:Q959" si="674">F753</f>
        <v>4</v>
      </c>
      <c r="G959" s="22">
        <f t="shared" si="674"/>
        <v>4</v>
      </c>
      <c r="H959" s="22">
        <f t="shared" si="674"/>
        <v>4</v>
      </c>
      <c r="I959" s="22">
        <f t="shared" si="674"/>
        <v>4</v>
      </c>
      <c r="J959" s="22">
        <f t="shared" si="674"/>
        <v>6</v>
      </c>
      <c r="K959" s="22">
        <f t="shared" si="674"/>
        <v>6</v>
      </c>
      <c r="L959" s="22">
        <f t="shared" si="674"/>
        <v>4</v>
      </c>
      <c r="M959" s="22">
        <f t="shared" si="674"/>
        <v>4</v>
      </c>
      <c r="N959" s="22">
        <f t="shared" si="674"/>
        <v>4</v>
      </c>
      <c r="O959" s="22">
        <f t="shared" si="674"/>
        <v>4</v>
      </c>
      <c r="P959" s="22">
        <f t="shared" si="674"/>
        <v>4</v>
      </c>
      <c r="Q959" s="22">
        <f t="shared" si="674"/>
        <v>4</v>
      </c>
      <c r="R959" s="22">
        <f t="shared" si="671"/>
        <v>52</v>
      </c>
      <c r="S959" s="62"/>
      <c r="U959" s="22"/>
    </row>
    <row r="960" spans="2:21" x14ac:dyDescent="0.2">
      <c r="C960" t="s">
        <v>134</v>
      </c>
      <c r="D960">
        <v>85</v>
      </c>
      <c r="E960" s="22"/>
      <c r="F960" s="22">
        <f t="shared" ref="F960:Q960" si="675">F350</f>
        <v>7096.2839999999997</v>
      </c>
      <c r="G960" s="22">
        <f t="shared" si="675"/>
        <v>6845.4089999999997</v>
      </c>
      <c r="H960" s="22">
        <f t="shared" si="675"/>
        <v>6460.2240000000002</v>
      </c>
      <c r="I960" s="22">
        <f t="shared" si="675"/>
        <v>6808.3670000000002</v>
      </c>
      <c r="J960" s="22">
        <f t="shared" si="675"/>
        <v>6825.1880000000001</v>
      </c>
      <c r="K960" s="22">
        <f t="shared" si="675"/>
        <v>6726.2070000000003</v>
      </c>
      <c r="L960" s="22">
        <f t="shared" si="675"/>
        <v>6664.5640000000003</v>
      </c>
      <c r="M960" s="22">
        <f t="shared" si="675"/>
        <v>6315.9459999999999</v>
      </c>
      <c r="N960" s="22">
        <f t="shared" si="675"/>
        <v>6780.259</v>
      </c>
      <c r="O960" s="22">
        <f t="shared" si="675"/>
        <v>6617.7579999999998</v>
      </c>
      <c r="P960" s="22">
        <f t="shared" si="675"/>
        <v>6800.5619999999999</v>
      </c>
      <c r="Q960" s="22">
        <f t="shared" si="675"/>
        <v>4462.2240000000002</v>
      </c>
      <c r="R960" s="22">
        <f t="shared" si="671"/>
        <v>78402.991999999998</v>
      </c>
      <c r="S960" s="62"/>
      <c r="U960" s="22"/>
    </row>
    <row r="961" spans="2:21" x14ac:dyDescent="0.2">
      <c r="C961" t="s">
        <v>133</v>
      </c>
      <c r="D961">
        <v>86</v>
      </c>
      <c r="E961" s="22"/>
      <c r="F961" s="22">
        <f t="shared" ref="F961:Q961" si="676">F516</f>
        <v>6653.8180000000002</v>
      </c>
      <c r="G961" s="22">
        <f t="shared" si="676"/>
        <v>6722.4350000000004</v>
      </c>
      <c r="H961" s="22">
        <f t="shared" si="676"/>
        <v>6371.8159999999998</v>
      </c>
      <c r="I961" s="22">
        <f t="shared" si="676"/>
        <v>6929.2560000000003</v>
      </c>
      <c r="J961" s="22">
        <f t="shared" si="676"/>
        <v>6788.3680000000004</v>
      </c>
      <c r="K961" s="22">
        <f t="shared" si="676"/>
        <v>6850.5789999999997</v>
      </c>
      <c r="L961" s="22">
        <f t="shared" si="676"/>
        <v>6691.5240000000003</v>
      </c>
      <c r="M961" s="22">
        <f t="shared" si="676"/>
        <v>6174.0619999999999</v>
      </c>
      <c r="N961" s="22">
        <f t="shared" si="676"/>
        <v>7285.4610000000002</v>
      </c>
      <c r="O961" s="22">
        <f t="shared" si="676"/>
        <v>6868.29</v>
      </c>
      <c r="P961" s="22">
        <f t="shared" si="676"/>
        <v>6677.3860000000004</v>
      </c>
      <c r="Q961" s="22">
        <f t="shared" si="676"/>
        <v>6560.8559999999998</v>
      </c>
      <c r="R961" s="22">
        <f t="shared" si="671"/>
        <v>80573.850999999995</v>
      </c>
      <c r="S961" s="62"/>
      <c r="U961" s="22"/>
    </row>
    <row r="962" spans="2:21" x14ac:dyDescent="0.2">
      <c r="C962" t="s">
        <v>138</v>
      </c>
      <c r="D962">
        <v>87</v>
      </c>
      <c r="E962" s="22"/>
      <c r="F962" s="22">
        <f t="shared" ref="F962:Q962" si="677">F646</f>
        <v>0</v>
      </c>
      <c r="G962" s="22">
        <f t="shared" si="677"/>
        <v>0</v>
      </c>
      <c r="H962" s="22">
        <f t="shared" si="677"/>
        <v>0</v>
      </c>
      <c r="I962" s="22">
        <f t="shared" si="677"/>
        <v>0</v>
      </c>
      <c r="J962" s="22">
        <f t="shared" si="677"/>
        <v>0</v>
      </c>
      <c r="K962" s="22">
        <f t="shared" si="677"/>
        <v>0</v>
      </c>
      <c r="L962" s="22">
        <f t="shared" si="677"/>
        <v>0</v>
      </c>
      <c r="M962" s="22">
        <f t="shared" si="677"/>
        <v>0</v>
      </c>
      <c r="N962" s="22">
        <f t="shared" si="677"/>
        <v>0</v>
      </c>
      <c r="O962" s="22">
        <f t="shared" si="677"/>
        <v>0</v>
      </c>
      <c r="P962" s="22">
        <f t="shared" si="677"/>
        <v>0</v>
      </c>
      <c r="Q962" s="22">
        <f t="shared" si="677"/>
        <v>0</v>
      </c>
      <c r="R962" s="22">
        <f t="shared" si="671"/>
        <v>0</v>
      </c>
      <c r="S962" s="62"/>
      <c r="U962" s="22"/>
    </row>
    <row r="963" spans="2:21" x14ac:dyDescent="0.2">
      <c r="C963" t="s">
        <v>74</v>
      </c>
      <c r="D963">
        <v>41</v>
      </c>
      <c r="E963" s="22"/>
      <c r="F963" s="22">
        <f t="shared" ref="F963:Q963" si="678">F227</f>
        <v>43084.084999999999</v>
      </c>
      <c r="G963" s="22">
        <f t="shared" si="678"/>
        <v>40720.915000000001</v>
      </c>
      <c r="H963" s="22">
        <f t="shared" si="678"/>
        <v>39251.000999999997</v>
      </c>
      <c r="I963" s="22">
        <f t="shared" si="678"/>
        <v>41478.165000000001</v>
      </c>
      <c r="J963" s="22">
        <f t="shared" si="678"/>
        <v>35383.019</v>
      </c>
      <c r="K963" s="22">
        <f t="shared" si="678"/>
        <v>34661.311000000002</v>
      </c>
      <c r="L963" s="22">
        <f t="shared" si="678"/>
        <v>35039.822</v>
      </c>
      <c r="M963" s="22">
        <f t="shared" si="678"/>
        <v>32922.214999999997</v>
      </c>
      <c r="N963" s="22">
        <f t="shared" si="678"/>
        <v>35515.919000000002</v>
      </c>
      <c r="O963" s="22">
        <f t="shared" si="678"/>
        <v>35497.504000000001</v>
      </c>
      <c r="P963" s="22">
        <f t="shared" si="678"/>
        <v>34267.963000000003</v>
      </c>
      <c r="Q963" s="22">
        <f t="shared" si="678"/>
        <v>41493.053999999996</v>
      </c>
      <c r="R963" s="22">
        <f t="shared" si="671"/>
        <v>449314.97299999994</v>
      </c>
      <c r="S963" s="62"/>
      <c r="U963" s="22"/>
    </row>
    <row r="964" spans="2:21" x14ac:dyDescent="0.2">
      <c r="C964" t="s">
        <v>313</v>
      </c>
      <c r="D964" s="21" t="s">
        <v>236</v>
      </c>
      <c r="E964" s="22"/>
      <c r="F964" s="22">
        <f t="shared" ref="F964:Q964" si="679">F307</f>
        <v>42638</v>
      </c>
      <c r="G964" s="22">
        <f t="shared" si="679"/>
        <v>37406</v>
      </c>
      <c r="H964" s="22">
        <f t="shared" si="679"/>
        <v>37406</v>
      </c>
      <c r="I964" s="22">
        <f t="shared" si="679"/>
        <v>37406</v>
      </c>
      <c r="J964" s="22">
        <f t="shared" si="679"/>
        <v>37406</v>
      </c>
      <c r="K964" s="22">
        <f t="shared" si="679"/>
        <v>40095.934000000001</v>
      </c>
      <c r="L964" s="22">
        <f t="shared" si="679"/>
        <v>37443.966999999997</v>
      </c>
      <c r="M964" s="22">
        <f t="shared" si="679"/>
        <v>37406</v>
      </c>
      <c r="N964" s="22">
        <f t="shared" si="679"/>
        <v>37406</v>
      </c>
      <c r="O964" s="22">
        <f t="shared" si="679"/>
        <v>36530</v>
      </c>
      <c r="P964" s="22">
        <f t="shared" si="679"/>
        <v>26585</v>
      </c>
      <c r="Q964" s="22">
        <f t="shared" si="679"/>
        <v>26585</v>
      </c>
      <c r="R964" s="22">
        <f t="shared" si="671"/>
        <v>434313.90100000001</v>
      </c>
      <c r="S964" s="62"/>
      <c r="U964" s="22"/>
    </row>
    <row r="965" spans="2:21" x14ac:dyDescent="0.2">
      <c r="C965" t="s">
        <v>314</v>
      </c>
      <c r="D965" s="21" t="s">
        <v>231</v>
      </c>
      <c r="E965" s="22"/>
      <c r="F965" s="22">
        <f t="shared" ref="F965:Q965" si="680">F476</f>
        <v>45698</v>
      </c>
      <c r="G965" s="22">
        <f t="shared" si="680"/>
        <v>43998</v>
      </c>
      <c r="H965" s="22">
        <f t="shared" si="680"/>
        <v>44998</v>
      </c>
      <c r="I965" s="22">
        <f t="shared" si="680"/>
        <v>47143.334000000003</v>
      </c>
      <c r="J965" s="22">
        <f t="shared" si="680"/>
        <v>49840</v>
      </c>
      <c r="K965" s="22">
        <f t="shared" si="680"/>
        <v>45913</v>
      </c>
      <c r="L965" s="22">
        <f t="shared" si="680"/>
        <v>45863</v>
      </c>
      <c r="M965" s="22">
        <f t="shared" si="680"/>
        <v>45976</v>
      </c>
      <c r="N965" s="22">
        <f t="shared" si="680"/>
        <v>47273</v>
      </c>
      <c r="O965" s="22">
        <f t="shared" si="680"/>
        <v>46772</v>
      </c>
      <c r="P965" s="22">
        <f t="shared" si="680"/>
        <v>46208</v>
      </c>
      <c r="Q965" s="22">
        <f t="shared" si="680"/>
        <v>45894</v>
      </c>
      <c r="R965" s="22">
        <f t="shared" si="671"/>
        <v>555576.33400000003</v>
      </c>
      <c r="S965" s="62"/>
      <c r="U965" s="22"/>
    </row>
    <row r="966" spans="2:21" x14ac:dyDescent="0.2">
      <c r="C966" t="s">
        <v>326</v>
      </c>
      <c r="D966" s="21" t="s">
        <v>298</v>
      </c>
      <c r="E966" s="22"/>
      <c r="F966" s="22">
        <f t="shared" ref="F966:Q966" si="681">F599</f>
        <v>750</v>
      </c>
      <c r="G966" s="22">
        <f t="shared" si="681"/>
        <v>750</v>
      </c>
      <c r="H966" s="22">
        <f t="shared" si="681"/>
        <v>750</v>
      </c>
      <c r="I966" s="22">
        <f t="shared" si="681"/>
        <v>750</v>
      </c>
      <c r="J966" s="22">
        <f t="shared" si="681"/>
        <v>750</v>
      </c>
      <c r="K966" s="22">
        <f t="shared" si="681"/>
        <v>750</v>
      </c>
      <c r="L966" s="22">
        <f t="shared" si="681"/>
        <v>750</v>
      </c>
      <c r="M966" s="22">
        <f t="shared" si="681"/>
        <v>750</v>
      </c>
      <c r="N966" s="22">
        <f t="shared" si="681"/>
        <v>750</v>
      </c>
      <c r="O966" s="22">
        <f t="shared" si="681"/>
        <v>750</v>
      </c>
      <c r="P966" s="22">
        <f t="shared" si="681"/>
        <v>1500</v>
      </c>
      <c r="Q966" s="22">
        <f t="shared" si="681"/>
        <v>750</v>
      </c>
      <c r="R966" s="22">
        <f t="shared" si="671"/>
        <v>9750</v>
      </c>
      <c r="S966" s="62"/>
      <c r="U966" s="22"/>
    </row>
    <row r="967" spans="2:21" x14ac:dyDescent="0.2">
      <c r="C967" t="s">
        <v>315</v>
      </c>
      <c r="D967" s="21" t="s">
        <v>232</v>
      </c>
      <c r="E967" s="22"/>
      <c r="F967" s="22">
        <f t="shared" ref="F967:Q967" si="682">F799</f>
        <v>23930</v>
      </c>
      <c r="G967" s="22">
        <f t="shared" si="682"/>
        <v>23930</v>
      </c>
      <c r="H967" s="22">
        <f t="shared" si="682"/>
        <v>23930</v>
      </c>
      <c r="I967" s="22">
        <f t="shared" si="682"/>
        <v>24030</v>
      </c>
      <c r="J967" s="22">
        <f t="shared" si="682"/>
        <v>24030</v>
      </c>
      <c r="K967" s="22">
        <f t="shared" si="682"/>
        <v>23930</v>
      </c>
      <c r="L967" s="22">
        <f t="shared" si="682"/>
        <v>23930</v>
      </c>
      <c r="M967" s="22">
        <f t="shared" si="682"/>
        <v>23930</v>
      </c>
      <c r="N967" s="22">
        <f t="shared" si="682"/>
        <v>23930</v>
      </c>
      <c r="O967" s="22">
        <f t="shared" si="682"/>
        <v>23930</v>
      </c>
      <c r="P967" s="22">
        <f t="shared" si="682"/>
        <v>23930</v>
      </c>
      <c r="Q967" s="22">
        <f t="shared" si="682"/>
        <v>23930</v>
      </c>
      <c r="R967" s="22">
        <f t="shared" si="671"/>
        <v>287360</v>
      </c>
      <c r="S967" s="62"/>
      <c r="U967" s="22"/>
    </row>
    <row r="968" spans="2:21" x14ac:dyDescent="0.2">
      <c r="C968" t="s">
        <v>135</v>
      </c>
      <c r="D968">
        <v>85</v>
      </c>
      <c r="E968" s="22"/>
      <c r="F968" s="22">
        <f t="shared" ref="F968:Q968" si="683">F397</f>
        <v>518.69000000000005</v>
      </c>
      <c r="G968" s="22">
        <f t="shared" si="683"/>
        <v>510.01299999999998</v>
      </c>
      <c r="H968" s="22">
        <f t="shared" si="683"/>
        <v>488.32299999999998</v>
      </c>
      <c r="I968" s="22">
        <f t="shared" si="683"/>
        <v>513.17600000000004</v>
      </c>
      <c r="J968" s="22">
        <f t="shared" si="683"/>
        <v>495.04300000000001</v>
      </c>
      <c r="K968" s="22">
        <f t="shared" si="683"/>
        <v>490.26099999999997</v>
      </c>
      <c r="L968" s="22">
        <f t="shared" si="683"/>
        <v>497.79899999999998</v>
      </c>
      <c r="M968" s="22">
        <f t="shared" si="683"/>
        <v>465.29399999999998</v>
      </c>
      <c r="N968" s="22">
        <f t="shared" si="683"/>
        <v>518.226</v>
      </c>
      <c r="O968" s="22">
        <f t="shared" si="683"/>
        <v>498.14</v>
      </c>
      <c r="P968" s="22">
        <f t="shared" si="683"/>
        <v>499.85300000000001</v>
      </c>
      <c r="Q968" s="22">
        <f t="shared" si="683"/>
        <v>498.16500000000002</v>
      </c>
      <c r="R968" s="22">
        <f t="shared" si="671"/>
        <v>5992.9830000000002</v>
      </c>
      <c r="S968" s="62"/>
      <c r="U968" s="22"/>
    </row>
    <row r="969" spans="2:21" x14ac:dyDescent="0.2">
      <c r="C969" t="s">
        <v>136</v>
      </c>
      <c r="D969">
        <v>86</v>
      </c>
      <c r="E969" s="22"/>
      <c r="F969" s="22">
        <f t="shared" ref="F969:Q969" si="684">F560</f>
        <v>138.94300000000001</v>
      </c>
      <c r="G969" s="22">
        <f t="shared" si="684"/>
        <v>132.232</v>
      </c>
      <c r="H969" s="22">
        <f t="shared" si="684"/>
        <v>128.99199999999999</v>
      </c>
      <c r="I969" s="22">
        <f t="shared" si="684"/>
        <v>139.04499999999999</v>
      </c>
      <c r="J969" s="22">
        <f t="shared" si="684"/>
        <v>127.645</v>
      </c>
      <c r="K969" s="22">
        <f t="shared" si="684"/>
        <v>133.49100000000001</v>
      </c>
      <c r="L969" s="22">
        <f t="shared" si="684"/>
        <v>136.14599999999999</v>
      </c>
      <c r="M969" s="22">
        <f t="shared" si="684"/>
        <v>118.42700000000001</v>
      </c>
      <c r="N969" s="22">
        <f t="shared" si="684"/>
        <v>135.71199999999999</v>
      </c>
      <c r="O969" s="22">
        <f t="shared" si="684"/>
        <v>136.22900000000001</v>
      </c>
      <c r="P969" s="22">
        <f t="shared" si="684"/>
        <v>132.31299999999999</v>
      </c>
      <c r="Q969" s="22">
        <f t="shared" si="684"/>
        <v>128.92699999999999</v>
      </c>
      <c r="R969" s="22">
        <f t="shared" si="671"/>
        <v>1588.1019999999996</v>
      </c>
      <c r="S969" s="62"/>
      <c r="U969" s="22"/>
    </row>
    <row r="970" spans="2:21" x14ac:dyDescent="0.2">
      <c r="C970" t="s">
        <v>137</v>
      </c>
      <c r="D970">
        <v>87</v>
      </c>
      <c r="E970" s="22"/>
      <c r="F970" s="22">
        <f t="shared" ref="F970:Q970" si="685">F702</f>
        <v>0</v>
      </c>
      <c r="G970" s="22">
        <f t="shared" si="685"/>
        <v>0</v>
      </c>
      <c r="H970" s="22">
        <f t="shared" si="685"/>
        <v>0</v>
      </c>
      <c r="I970" s="22">
        <f t="shared" si="685"/>
        <v>0</v>
      </c>
      <c r="J970" s="22">
        <f t="shared" si="685"/>
        <v>0</v>
      </c>
      <c r="K970" s="22">
        <f t="shared" si="685"/>
        <v>0</v>
      </c>
      <c r="L970" s="22">
        <f t="shared" si="685"/>
        <v>0</v>
      </c>
      <c r="M970" s="22">
        <f t="shared" si="685"/>
        <v>0</v>
      </c>
      <c r="N970" s="22">
        <f t="shared" si="685"/>
        <v>0</v>
      </c>
      <c r="O970" s="22">
        <f t="shared" si="685"/>
        <v>0</v>
      </c>
      <c r="P970" s="22">
        <f t="shared" si="685"/>
        <v>0</v>
      </c>
      <c r="Q970" s="22">
        <f t="shared" si="685"/>
        <v>0</v>
      </c>
      <c r="R970" s="22">
        <f t="shared" si="671"/>
        <v>0</v>
      </c>
      <c r="S970" s="62"/>
      <c r="U970" s="22"/>
    </row>
    <row r="971" spans="2:21" x14ac:dyDescent="0.2">
      <c r="C971" t="s">
        <v>143</v>
      </c>
      <c r="E971" s="22"/>
      <c r="F971" s="22">
        <f t="shared" ref="F971:N971" si="686">F843</f>
        <v>0</v>
      </c>
      <c r="G971" s="22">
        <f t="shared" si="686"/>
        <v>0</v>
      </c>
      <c r="H971" s="22">
        <f t="shared" si="686"/>
        <v>0</v>
      </c>
      <c r="I971" s="22">
        <f t="shared" si="686"/>
        <v>0</v>
      </c>
      <c r="J971" s="22">
        <f t="shared" si="686"/>
        <v>0</v>
      </c>
      <c r="K971" s="22">
        <f t="shared" si="686"/>
        <v>0</v>
      </c>
      <c r="L971" s="22">
        <f t="shared" si="686"/>
        <v>0</v>
      </c>
      <c r="M971" s="22">
        <f t="shared" si="686"/>
        <v>0</v>
      </c>
      <c r="N971" s="22">
        <f t="shared" si="686"/>
        <v>0</v>
      </c>
      <c r="O971" s="22">
        <f t="shared" ref="O971:Q971" si="687">O843</f>
        <v>0</v>
      </c>
      <c r="P971" s="22">
        <f t="shared" si="687"/>
        <v>0</v>
      </c>
      <c r="Q971" s="22">
        <f t="shared" si="687"/>
        <v>0</v>
      </c>
      <c r="R971" s="22">
        <f t="shared" si="671"/>
        <v>0</v>
      </c>
      <c r="S971" s="62"/>
    </row>
    <row r="972" spans="2:21" x14ac:dyDescent="0.2">
      <c r="C972" t="s">
        <v>81</v>
      </c>
      <c r="F972" s="39">
        <f t="shared" ref="F972:R972" si="688">SUM(F956:F971)</f>
        <v>537554.52899999986</v>
      </c>
      <c r="G972" s="39">
        <f t="shared" si="688"/>
        <v>516778.20099999994</v>
      </c>
      <c r="H972" s="39">
        <f t="shared" si="688"/>
        <v>502588.34699999995</v>
      </c>
      <c r="I972" s="39">
        <f t="shared" si="688"/>
        <v>516025.26299999998</v>
      </c>
      <c r="J972" s="39">
        <f t="shared" si="688"/>
        <v>517769.82400000008</v>
      </c>
      <c r="K972" s="39">
        <f t="shared" si="688"/>
        <v>520712.13900000002</v>
      </c>
      <c r="L972" s="39">
        <f t="shared" si="688"/>
        <v>518744.90100000001</v>
      </c>
      <c r="M972" s="39">
        <f t="shared" si="688"/>
        <v>492664.87199999997</v>
      </c>
      <c r="N972" s="39">
        <f t="shared" si="688"/>
        <v>521726.08500000002</v>
      </c>
      <c r="O972" s="39">
        <f t="shared" ref="O972:Q972" si="689">SUM(O956:O971)</f>
        <v>517767.875</v>
      </c>
      <c r="P972" s="39">
        <f t="shared" si="689"/>
        <v>504104.69500000001</v>
      </c>
      <c r="Q972" s="39">
        <f t="shared" si="689"/>
        <v>555383.8060000001</v>
      </c>
      <c r="R972" s="129">
        <f t="shared" si="688"/>
        <v>6221820.5369999986</v>
      </c>
      <c r="S972" s="62"/>
    </row>
    <row r="973" spans="2:21" x14ac:dyDescent="0.2">
      <c r="S973" s="31"/>
    </row>
    <row r="974" spans="2:21" x14ac:dyDescent="0.2">
      <c r="B974" t="s">
        <v>291</v>
      </c>
      <c r="F974" s="43"/>
      <c r="G974" s="43"/>
      <c r="H974" s="43"/>
      <c r="I974" s="43"/>
      <c r="J974" s="43"/>
      <c r="K974" s="43"/>
      <c r="L974" s="43"/>
      <c r="M974" s="43"/>
      <c r="N974" s="43"/>
      <c r="O974" s="43"/>
      <c r="P974" s="43"/>
      <c r="Q974" s="43"/>
      <c r="R974" s="43"/>
      <c r="S974" s="31"/>
    </row>
    <row r="975" spans="2:21" x14ac:dyDescent="0.2">
      <c r="C975" s="80" t="s">
        <v>74</v>
      </c>
      <c r="D975">
        <v>41</v>
      </c>
      <c r="F975" s="43">
        <f t="shared" ref="F975:N975" si="690">F956+F963</f>
        <v>342290.79399999999</v>
      </c>
      <c r="G975" s="43">
        <f t="shared" si="690"/>
        <v>327103.11199999996</v>
      </c>
      <c r="H975" s="43">
        <f t="shared" si="690"/>
        <v>312673.99199999997</v>
      </c>
      <c r="I975" s="43">
        <f t="shared" si="690"/>
        <v>322447.08499999996</v>
      </c>
      <c r="J975" s="43">
        <f t="shared" si="690"/>
        <v>305286.57999999996</v>
      </c>
      <c r="K975" s="43">
        <f t="shared" si="690"/>
        <v>319350.66700000002</v>
      </c>
      <c r="L975" s="43">
        <f t="shared" si="690"/>
        <v>324478.3</v>
      </c>
      <c r="M975" s="43">
        <f t="shared" si="690"/>
        <v>300002.14300000004</v>
      </c>
      <c r="N975" s="43">
        <f t="shared" si="690"/>
        <v>326070.42699999997</v>
      </c>
      <c r="O975" s="43">
        <f t="shared" ref="O975:Q975" si="691">O956+O963</f>
        <v>322756.45800000004</v>
      </c>
      <c r="P975" s="43">
        <f t="shared" si="691"/>
        <v>319879.58100000001</v>
      </c>
      <c r="Q975" s="43">
        <f t="shared" si="691"/>
        <v>380088.63400000002</v>
      </c>
      <c r="R975" s="22">
        <f t="shared" ref="R975:R983" si="692">SUM(F975:Q975)</f>
        <v>3902427.7730000005</v>
      </c>
      <c r="S975" s="62"/>
      <c r="U975" s="22"/>
    </row>
    <row r="976" spans="2:21" x14ac:dyDescent="0.2">
      <c r="C976" s="80" t="s">
        <v>285</v>
      </c>
      <c r="D976">
        <v>85</v>
      </c>
      <c r="F976" s="43">
        <f t="shared" ref="F976:N976" si="693">F960+F968</f>
        <v>7614.9740000000002</v>
      </c>
      <c r="G976" s="43">
        <f t="shared" si="693"/>
        <v>7355.4219999999996</v>
      </c>
      <c r="H976" s="43">
        <f t="shared" si="693"/>
        <v>6948.5470000000005</v>
      </c>
      <c r="I976" s="43">
        <f t="shared" si="693"/>
        <v>7321.5430000000006</v>
      </c>
      <c r="J976" s="43">
        <f t="shared" si="693"/>
        <v>7320.2309999999998</v>
      </c>
      <c r="K976" s="43">
        <f t="shared" si="693"/>
        <v>7216.4680000000008</v>
      </c>
      <c r="L976" s="43">
        <f t="shared" si="693"/>
        <v>7162.3630000000003</v>
      </c>
      <c r="M976" s="43">
        <f t="shared" si="693"/>
        <v>6781.24</v>
      </c>
      <c r="N976" s="43">
        <f t="shared" si="693"/>
        <v>7298.4849999999997</v>
      </c>
      <c r="O976" s="43">
        <f t="shared" ref="O976:Q976" si="694">O960+O968</f>
        <v>7115.8980000000001</v>
      </c>
      <c r="P976" s="43">
        <f t="shared" si="694"/>
        <v>7300.415</v>
      </c>
      <c r="Q976" s="43">
        <f t="shared" si="694"/>
        <v>4960.3890000000001</v>
      </c>
      <c r="R976" s="22">
        <f t="shared" si="692"/>
        <v>84395.974999999991</v>
      </c>
      <c r="S976" s="62"/>
      <c r="U976" s="22"/>
    </row>
    <row r="977" spans="1:26" x14ac:dyDescent="0.2">
      <c r="C977" s="80" t="s">
        <v>286</v>
      </c>
      <c r="D977">
        <v>86</v>
      </c>
      <c r="F977" s="43">
        <f t="shared" ref="F977:N977" si="695">F961+F969</f>
        <v>6792.7610000000004</v>
      </c>
      <c r="G977" s="43">
        <f t="shared" si="695"/>
        <v>6854.6670000000004</v>
      </c>
      <c r="H977" s="43">
        <f t="shared" si="695"/>
        <v>6500.808</v>
      </c>
      <c r="I977" s="43">
        <f t="shared" si="695"/>
        <v>7068.3010000000004</v>
      </c>
      <c r="J977" s="43">
        <f t="shared" si="695"/>
        <v>6916.0130000000008</v>
      </c>
      <c r="K977" s="43">
        <f t="shared" si="695"/>
        <v>6984.07</v>
      </c>
      <c r="L977" s="43">
        <f t="shared" si="695"/>
        <v>6827.67</v>
      </c>
      <c r="M977" s="43">
        <f t="shared" si="695"/>
        <v>6292.4889999999996</v>
      </c>
      <c r="N977" s="43">
        <f t="shared" si="695"/>
        <v>7421.1730000000007</v>
      </c>
      <c r="O977" s="43">
        <f t="shared" ref="O977:Q977" si="696">O961+O969</f>
        <v>7004.5190000000002</v>
      </c>
      <c r="P977" s="43">
        <f t="shared" si="696"/>
        <v>6809.6990000000005</v>
      </c>
      <c r="Q977" s="43">
        <f t="shared" si="696"/>
        <v>6689.7829999999994</v>
      </c>
      <c r="R977" s="22">
        <f t="shared" si="692"/>
        <v>82161.953000000009</v>
      </c>
      <c r="S977" s="62"/>
      <c r="U977" s="22"/>
    </row>
    <row r="978" spans="1:26" x14ac:dyDescent="0.2">
      <c r="C978" s="80" t="s">
        <v>287</v>
      </c>
      <c r="D978">
        <v>87</v>
      </c>
      <c r="F978" s="43">
        <f t="shared" ref="F978:N978" si="697">F962+F970</f>
        <v>0</v>
      </c>
      <c r="G978" s="43">
        <f t="shared" si="697"/>
        <v>0</v>
      </c>
      <c r="H978" s="43">
        <f t="shared" si="697"/>
        <v>0</v>
      </c>
      <c r="I978" s="43">
        <f t="shared" si="697"/>
        <v>0</v>
      </c>
      <c r="J978" s="43">
        <f t="shared" si="697"/>
        <v>0</v>
      </c>
      <c r="K978" s="43">
        <f t="shared" si="697"/>
        <v>0</v>
      </c>
      <c r="L978" s="43">
        <f t="shared" si="697"/>
        <v>0</v>
      </c>
      <c r="M978" s="43">
        <f t="shared" si="697"/>
        <v>0</v>
      </c>
      <c r="N978" s="43">
        <f t="shared" si="697"/>
        <v>0</v>
      </c>
      <c r="O978" s="43">
        <f t="shared" ref="O978:Q978" si="698">O962+O970</f>
        <v>0</v>
      </c>
      <c r="P978" s="43">
        <f t="shared" si="698"/>
        <v>0</v>
      </c>
      <c r="Q978" s="43">
        <f t="shared" si="698"/>
        <v>0</v>
      </c>
      <c r="R978" s="22">
        <f t="shared" si="692"/>
        <v>0</v>
      </c>
      <c r="S978" s="62"/>
      <c r="U978" s="22"/>
    </row>
    <row r="979" spans="1:26" x14ac:dyDescent="0.2">
      <c r="C979" t="s">
        <v>288</v>
      </c>
      <c r="D979" s="21" t="s">
        <v>236</v>
      </c>
      <c r="F979" s="43">
        <f t="shared" ref="F979:N979" si="699">F957+F964</f>
        <v>99699</v>
      </c>
      <c r="G979" s="43">
        <f t="shared" si="699"/>
        <v>96008</v>
      </c>
      <c r="H979" s="43">
        <f t="shared" si="699"/>
        <v>96008</v>
      </c>
      <c r="I979" s="43">
        <f t="shared" si="699"/>
        <v>96486</v>
      </c>
      <c r="J979" s="43">
        <f t="shared" si="699"/>
        <v>112846</v>
      </c>
      <c r="K979" s="43">
        <f t="shared" si="699"/>
        <v>105786.93400000001</v>
      </c>
      <c r="L979" s="43">
        <f t="shared" si="699"/>
        <v>98954.567999999999</v>
      </c>
      <c r="M979" s="43">
        <f t="shared" si="699"/>
        <v>98154</v>
      </c>
      <c r="N979" s="43">
        <f t="shared" si="699"/>
        <v>98204</v>
      </c>
      <c r="O979" s="43">
        <f t="shared" ref="O979:Q979" si="700">O957+O964</f>
        <v>98660</v>
      </c>
      <c r="P979" s="43">
        <f t="shared" si="700"/>
        <v>86298</v>
      </c>
      <c r="Q979" s="43">
        <f t="shared" si="700"/>
        <v>82292</v>
      </c>
      <c r="R979" s="22">
        <f t="shared" si="692"/>
        <v>1169396.5019999999</v>
      </c>
      <c r="S979" s="62"/>
      <c r="U979" s="22"/>
    </row>
    <row r="980" spans="1:26" x14ac:dyDescent="0.2">
      <c r="C980" t="s">
        <v>289</v>
      </c>
      <c r="D980" s="21" t="s">
        <v>231</v>
      </c>
      <c r="F980" s="43">
        <f t="shared" ref="F980:N980" si="701">F958+F965</f>
        <v>56473</v>
      </c>
      <c r="G980" s="43">
        <f t="shared" si="701"/>
        <v>54773</v>
      </c>
      <c r="H980" s="43">
        <f t="shared" si="701"/>
        <v>55773</v>
      </c>
      <c r="I980" s="43">
        <f t="shared" si="701"/>
        <v>57918.334000000003</v>
      </c>
      <c r="J980" s="43">
        <f t="shared" si="701"/>
        <v>60615</v>
      </c>
      <c r="K980" s="43">
        <f t="shared" si="701"/>
        <v>56688</v>
      </c>
      <c r="L980" s="43">
        <f t="shared" si="701"/>
        <v>56638</v>
      </c>
      <c r="M980" s="43">
        <f t="shared" si="701"/>
        <v>56751</v>
      </c>
      <c r="N980" s="43">
        <f t="shared" si="701"/>
        <v>58048</v>
      </c>
      <c r="O980" s="43">
        <f t="shared" ref="O980:Q980" si="702">O958+O965</f>
        <v>57547</v>
      </c>
      <c r="P980" s="43">
        <f t="shared" si="702"/>
        <v>58383</v>
      </c>
      <c r="Q980" s="43">
        <f t="shared" si="702"/>
        <v>56669</v>
      </c>
      <c r="R980" s="22">
        <f t="shared" si="692"/>
        <v>686276.33400000003</v>
      </c>
      <c r="S980" s="62"/>
      <c r="U980" s="22"/>
    </row>
    <row r="981" spans="1:26" x14ac:dyDescent="0.2">
      <c r="C981" t="s">
        <v>327</v>
      </c>
      <c r="D981" s="21" t="s">
        <v>298</v>
      </c>
      <c r="F981" s="43">
        <f t="shared" ref="F981:N981" si="703">F966</f>
        <v>750</v>
      </c>
      <c r="G981" s="43">
        <f t="shared" si="703"/>
        <v>750</v>
      </c>
      <c r="H981" s="43">
        <f t="shared" si="703"/>
        <v>750</v>
      </c>
      <c r="I981" s="43">
        <f t="shared" si="703"/>
        <v>750</v>
      </c>
      <c r="J981" s="43">
        <f t="shared" si="703"/>
        <v>750</v>
      </c>
      <c r="K981" s="43">
        <f t="shared" si="703"/>
        <v>750</v>
      </c>
      <c r="L981" s="43">
        <f t="shared" si="703"/>
        <v>750</v>
      </c>
      <c r="M981" s="43">
        <f t="shared" si="703"/>
        <v>750</v>
      </c>
      <c r="N981" s="43">
        <f t="shared" si="703"/>
        <v>750</v>
      </c>
      <c r="O981" s="43">
        <f t="shared" ref="O981:Q981" si="704">O966</f>
        <v>750</v>
      </c>
      <c r="P981" s="43">
        <f t="shared" si="704"/>
        <v>1500</v>
      </c>
      <c r="Q981" s="43">
        <f t="shared" si="704"/>
        <v>750</v>
      </c>
      <c r="R981" s="22">
        <f t="shared" si="692"/>
        <v>9750</v>
      </c>
      <c r="S981" s="62"/>
      <c r="U981" s="22"/>
    </row>
    <row r="982" spans="1:26" x14ac:dyDescent="0.2">
      <c r="C982" t="s">
        <v>290</v>
      </c>
      <c r="D982" s="21" t="s">
        <v>232</v>
      </c>
      <c r="F982" s="43">
        <f t="shared" ref="F982:N982" si="705">F959+F967</f>
        <v>23934</v>
      </c>
      <c r="G982" s="43">
        <f t="shared" si="705"/>
        <v>23934</v>
      </c>
      <c r="H982" s="43">
        <f t="shared" si="705"/>
        <v>23934</v>
      </c>
      <c r="I982" s="43">
        <f t="shared" si="705"/>
        <v>24034</v>
      </c>
      <c r="J982" s="43">
        <f t="shared" si="705"/>
        <v>24036</v>
      </c>
      <c r="K982" s="43">
        <f t="shared" si="705"/>
        <v>23936</v>
      </c>
      <c r="L982" s="43">
        <f t="shared" si="705"/>
        <v>23934</v>
      </c>
      <c r="M982" s="43">
        <f t="shared" si="705"/>
        <v>23934</v>
      </c>
      <c r="N982" s="43">
        <f t="shared" si="705"/>
        <v>23934</v>
      </c>
      <c r="O982" s="43">
        <f t="shared" ref="O982:Q982" si="706">O959+O967</f>
        <v>23934</v>
      </c>
      <c r="P982" s="43">
        <f t="shared" si="706"/>
        <v>23934</v>
      </c>
      <c r="Q982" s="43">
        <f t="shared" si="706"/>
        <v>23934</v>
      </c>
      <c r="R982" s="22">
        <f t="shared" si="692"/>
        <v>287412</v>
      </c>
      <c r="S982" s="62"/>
      <c r="U982" s="22"/>
    </row>
    <row r="983" spans="1:26" x14ac:dyDescent="0.2">
      <c r="C983" s="80" t="s">
        <v>238</v>
      </c>
      <c r="F983" s="43">
        <f t="shared" ref="F983:N983" si="707">F971</f>
        <v>0</v>
      </c>
      <c r="G983" s="43">
        <f t="shared" si="707"/>
        <v>0</v>
      </c>
      <c r="H983" s="43">
        <f t="shared" si="707"/>
        <v>0</v>
      </c>
      <c r="I983" s="43">
        <f t="shared" si="707"/>
        <v>0</v>
      </c>
      <c r="J983" s="43">
        <f t="shared" si="707"/>
        <v>0</v>
      </c>
      <c r="K983" s="43">
        <f t="shared" si="707"/>
        <v>0</v>
      </c>
      <c r="L983" s="43">
        <f t="shared" si="707"/>
        <v>0</v>
      </c>
      <c r="M983" s="43">
        <f t="shared" si="707"/>
        <v>0</v>
      </c>
      <c r="N983" s="43">
        <f t="shared" si="707"/>
        <v>0</v>
      </c>
      <c r="O983" s="43">
        <f t="shared" ref="O983:Q983" si="708">O971</f>
        <v>0</v>
      </c>
      <c r="P983" s="43">
        <f t="shared" si="708"/>
        <v>0</v>
      </c>
      <c r="Q983" s="43">
        <f t="shared" si="708"/>
        <v>0</v>
      </c>
      <c r="R983" s="22">
        <f t="shared" si="692"/>
        <v>0</v>
      </c>
      <c r="S983" s="62"/>
      <c r="U983" s="22"/>
    </row>
    <row r="984" spans="1:26" x14ac:dyDescent="0.2">
      <c r="C984" t="s">
        <v>81</v>
      </c>
      <c r="E984" s="23"/>
      <c r="F984" s="39">
        <f t="shared" ref="F984:R984" si="709">SUM(F975:F983)</f>
        <v>537554.52899999998</v>
      </c>
      <c r="G984" s="39">
        <f t="shared" si="709"/>
        <v>516778.201</v>
      </c>
      <c r="H984" s="39">
        <f t="shared" si="709"/>
        <v>502588.34700000001</v>
      </c>
      <c r="I984" s="39">
        <f t="shared" si="709"/>
        <v>516025.26299999992</v>
      </c>
      <c r="J984" s="39">
        <f t="shared" si="709"/>
        <v>517769.82399999996</v>
      </c>
      <c r="K984" s="39">
        <f t="shared" si="709"/>
        <v>520712.13900000002</v>
      </c>
      <c r="L984" s="39">
        <f t="shared" si="709"/>
        <v>518744.90099999995</v>
      </c>
      <c r="M984" s="39">
        <f t="shared" si="709"/>
        <v>492664.87200000003</v>
      </c>
      <c r="N984" s="39">
        <f t="shared" si="709"/>
        <v>521726.08499999996</v>
      </c>
      <c r="O984" s="39">
        <f t="shared" ref="O984:Q984" si="710">SUM(O975:O983)</f>
        <v>517767.875</v>
      </c>
      <c r="P984" s="39">
        <f t="shared" si="710"/>
        <v>504104.69500000001</v>
      </c>
      <c r="Q984" s="39">
        <f t="shared" si="710"/>
        <v>555383.8060000001</v>
      </c>
      <c r="R984" s="129">
        <f t="shared" si="709"/>
        <v>6221820.5370000005</v>
      </c>
      <c r="S984" s="62"/>
      <c r="U984" s="22"/>
    </row>
    <row r="985" spans="1:26" x14ac:dyDescent="0.2">
      <c r="C985" t="s">
        <v>114</v>
      </c>
      <c r="E985" s="23"/>
      <c r="F985" s="689">
        <f t="shared" ref="F985:R985" si="711">F984-F972</f>
        <v>0</v>
      </c>
      <c r="G985" s="689">
        <f t="shared" si="711"/>
        <v>0</v>
      </c>
      <c r="H985" s="689">
        <f t="shared" si="711"/>
        <v>0</v>
      </c>
      <c r="I985" s="689">
        <f t="shared" si="711"/>
        <v>0</v>
      </c>
      <c r="J985" s="689">
        <f t="shared" si="711"/>
        <v>0</v>
      </c>
      <c r="K985" s="689">
        <f t="shared" si="711"/>
        <v>0</v>
      </c>
      <c r="L985" s="689">
        <f t="shared" si="711"/>
        <v>0</v>
      </c>
      <c r="M985" s="689">
        <f t="shared" si="711"/>
        <v>0</v>
      </c>
      <c r="N985" s="689">
        <f t="shared" si="711"/>
        <v>0</v>
      </c>
      <c r="O985" s="689">
        <f t="shared" ref="O985:Q985" si="712">O984-O972</f>
        <v>0</v>
      </c>
      <c r="P985" s="689">
        <f t="shared" si="712"/>
        <v>0</v>
      </c>
      <c r="Q985" s="689">
        <f t="shared" si="712"/>
        <v>0</v>
      </c>
      <c r="R985" s="689">
        <f t="shared" si="711"/>
        <v>0</v>
      </c>
      <c r="S985" s="31"/>
      <c r="U985" s="22"/>
    </row>
    <row r="986" spans="1:26" x14ac:dyDescent="0.2">
      <c r="E986" s="23"/>
      <c r="F986" s="23"/>
      <c r="G986" s="23"/>
      <c r="H986" s="23"/>
      <c r="I986" s="23"/>
      <c r="J986" s="23"/>
      <c r="K986" s="23"/>
      <c r="L986" s="23"/>
      <c r="M986" s="23"/>
      <c r="N986" s="23"/>
      <c r="O986" s="23"/>
      <c r="P986" s="23"/>
      <c r="Q986" s="23"/>
      <c r="R986" s="23"/>
      <c r="S986" s="31"/>
      <c r="U986" s="22"/>
    </row>
    <row r="987" spans="1:26" x14ac:dyDescent="0.2">
      <c r="B987" s="29" t="s">
        <v>148</v>
      </c>
      <c r="S987" s="31"/>
      <c r="U987" s="22"/>
    </row>
    <row r="988" spans="1:26" x14ac:dyDescent="0.2">
      <c r="A988" t="s">
        <v>130</v>
      </c>
      <c r="B988" t="s">
        <v>215</v>
      </c>
      <c r="F988" s="23">
        <f t="shared" ref="F988:Q988" si="713">SUMIF($A$7:$A$859,$A988,F$7:F$859)-F62</f>
        <v>8660272.7136328947</v>
      </c>
      <c r="G988" s="23">
        <f t="shared" si="713"/>
        <v>8310740.8745670477</v>
      </c>
      <c r="H988" s="23">
        <f t="shared" si="713"/>
        <v>11991854.692316826</v>
      </c>
      <c r="I988" s="23">
        <f t="shared" si="713"/>
        <v>23174328.888951357</v>
      </c>
      <c r="J988" s="23">
        <f t="shared" si="713"/>
        <v>35476806.448715761</v>
      </c>
      <c r="K988" s="23">
        <f t="shared" si="713"/>
        <v>42699898.035398878</v>
      </c>
      <c r="L988" s="23">
        <f t="shared" si="713"/>
        <v>46331554.200587258</v>
      </c>
      <c r="M988" s="23">
        <f t="shared" si="713"/>
        <v>35793421.557031967</v>
      </c>
      <c r="N988" s="23">
        <f t="shared" si="713"/>
        <v>36940639.789656088</v>
      </c>
      <c r="O988" s="23">
        <f t="shared" si="713"/>
        <v>25383528.387371577</v>
      </c>
      <c r="P988" s="23">
        <f t="shared" si="713"/>
        <v>16365294.765867658</v>
      </c>
      <c r="Q988" s="23">
        <f t="shared" si="713"/>
        <v>10822545.536456268</v>
      </c>
      <c r="R988" s="23">
        <f>SUM(F988:Q988)</f>
        <v>301950885.89055359</v>
      </c>
      <c r="S988" s="687"/>
      <c r="T988" s="23"/>
      <c r="U988" s="22"/>
      <c r="V988" s="23"/>
      <c r="W988" s="23"/>
      <c r="X988" s="23"/>
      <c r="Y988" s="23"/>
      <c r="Z988" s="23"/>
    </row>
    <row r="989" spans="1:26" x14ac:dyDescent="0.2">
      <c r="A989" t="s">
        <v>130</v>
      </c>
      <c r="B989" t="s">
        <v>308</v>
      </c>
      <c r="F989" s="23">
        <f t="shared" ref="F989:Q989" si="714">F62</f>
        <v>43.307671519999992</v>
      </c>
      <c r="G989" s="23">
        <f t="shared" si="714"/>
        <v>44.663440099999995</v>
      </c>
      <c r="H989" s="23">
        <f t="shared" si="714"/>
        <v>113.52879166000001</v>
      </c>
      <c r="I989" s="23">
        <f t="shared" si="714"/>
        <v>253.89410890000002</v>
      </c>
      <c r="J989" s="23">
        <f t="shared" si="714"/>
        <v>326.66330474</v>
      </c>
      <c r="K989" s="23">
        <f t="shared" si="714"/>
        <v>327.53349663000006</v>
      </c>
      <c r="L989" s="23">
        <f t="shared" si="714"/>
        <v>273.62967635000001</v>
      </c>
      <c r="M989" s="23">
        <f t="shared" si="714"/>
        <v>36.360559469999998</v>
      </c>
      <c r="N989" s="23">
        <f t="shared" si="714"/>
        <v>0</v>
      </c>
      <c r="O989" s="23">
        <f t="shared" si="714"/>
        <v>0</v>
      </c>
      <c r="P989" s="23">
        <f t="shared" si="714"/>
        <v>0</v>
      </c>
      <c r="Q989" s="23">
        <f t="shared" si="714"/>
        <v>0</v>
      </c>
      <c r="R989" s="23">
        <f>SUM(F989:Q989)</f>
        <v>1419.5810493699998</v>
      </c>
      <c r="S989" s="687"/>
      <c r="T989" s="23"/>
      <c r="U989" s="22"/>
      <c r="V989" s="23"/>
      <c r="W989" s="23"/>
      <c r="X989" s="23"/>
      <c r="Y989" s="23"/>
      <c r="Z989" s="23"/>
    </row>
    <row r="990" spans="1:26" x14ac:dyDescent="0.2">
      <c r="A990" s="30" t="s">
        <v>147</v>
      </c>
      <c r="B990" s="30" t="s">
        <v>309</v>
      </c>
      <c r="C990" s="30"/>
      <c r="F990" s="23">
        <f t="shared" ref="F990:Q991" si="715">SUMIF($A$7:$A$859,$A990,F$7:F$859)</f>
        <v>20068438.485654846</v>
      </c>
      <c r="G990" s="23">
        <f t="shared" si="715"/>
        <v>19900250.05220373</v>
      </c>
      <c r="H990" s="23">
        <f t="shared" si="715"/>
        <v>22965712.06205849</v>
      </c>
      <c r="I990" s="23">
        <f t="shared" si="715"/>
        <v>34516670.499715865</v>
      </c>
      <c r="J990" s="23">
        <f t="shared" si="715"/>
        <v>46411758.272780962</v>
      </c>
      <c r="K990" s="23">
        <f t="shared" si="715"/>
        <v>53892171.527934954</v>
      </c>
      <c r="L990" s="23">
        <f t="shared" si="715"/>
        <v>57696010.549662553</v>
      </c>
      <c r="M990" s="23">
        <f t="shared" si="715"/>
        <v>46049318.91635412</v>
      </c>
      <c r="N990" s="23">
        <f t="shared" si="715"/>
        <v>48629033.100299314</v>
      </c>
      <c r="O990" s="23">
        <f t="shared" si="715"/>
        <v>36768278.314785048</v>
      </c>
      <c r="P990" s="23">
        <f t="shared" si="715"/>
        <v>27869960.145907432</v>
      </c>
      <c r="Q990" s="23">
        <f t="shared" si="715"/>
        <v>21926728.758642908</v>
      </c>
      <c r="R990" s="23">
        <f>SUM(F990:Q990)</f>
        <v>436694330.68600023</v>
      </c>
      <c r="S990" s="687"/>
      <c r="T990" s="34"/>
      <c r="U990" s="34"/>
      <c r="V990" s="34"/>
      <c r="W990" s="34"/>
      <c r="X990" s="34"/>
      <c r="Y990" s="34"/>
      <c r="Z990" s="34"/>
    </row>
    <row r="991" spans="1:26" x14ac:dyDescent="0.2">
      <c r="A991" s="30" t="s">
        <v>305</v>
      </c>
      <c r="B991" t="s">
        <v>304</v>
      </c>
      <c r="F991" s="23">
        <f t="shared" si="715"/>
        <v>8266328.9718919657</v>
      </c>
      <c r="G991" s="23">
        <f t="shared" si="715"/>
        <v>7932744.554461007</v>
      </c>
      <c r="H991" s="23">
        <f t="shared" si="715"/>
        <v>11446597.28710505</v>
      </c>
      <c r="I991" s="23">
        <f t="shared" si="715"/>
        <v>22120874.417571113</v>
      </c>
      <c r="J991" s="23">
        <f t="shared" si="715"/>
        <v>33864144.796063416</v>
      </c>
      <c r="K991" s="23">
        <f t="shared" si="715"/>
        <v>40758907.324080274</v>
      </c>
      <c r="L991" s="23">
        <f t="shared" si="715"/>
        <v>44225356.599562421</v>
      </c>
      <c r="M991" s="23">
        <f t="shared" si="715"/>
        <v>34166103.640075497</v>
      </c>
      <c r="N991" s="23">
        <f t="shared" si="715"/>
        <v>35261127.612107098</v>
      </c>
      <c r="O991" s="23">
        <f t="shared" si="715"/>
        <v>24229345.51672234</v>
      </c>
      <c r="P991" s="23">
        <f t="shared" si="715"/>
        <v>15621085.364892218</v>
      </c>
      <c r="Q991" s="23">
        <f t="shared" si="715"/>
        <v>10330142.280052038</v>
      </c>
      <c r="R991" s="23">
        <f>SUM(F991:Q991)</f>
        <v>288222758.36458451</v>
      </c>
      <c r="S991" s="687"/>
      <c r="T991" s="36"/>
      <c r="U991" s="36"/>
      <c r="V991" s="36"/>
      <c r="W991" s="36"/>
      <c r="X991" s="36"/>
      <c r="Y991" s="36"/>
      <c r="Z991" s="36"/>
    </row>
    <row r="992" spans="1:26" x14ac:dyDescent="0.2">
      <c r="A992" s="30" t="s">
        <v>551</v>
      </c>
      <c r="B992" t="s">
        <v>554</v>
      </c>
      <c r="F992" s="23">
        <f>SUMIF($A$7:$A$859,$A992,F$7:F$859)</f>
        <v>309499.21610501432</v>
      </c>
      <c r="G992" s="23">
        <f t="shared" ref="G992:Q992" si="716">SUMIF($A$7:$A$859,$A992,G$7:G$859)</f>
        <v>301041.81433170417</v>
      </c>
      <c r="H992" s="23">
        <f t="shared" si="716"/>
        <v>422676.41352259531</v>
      </c>
      <c r="I992" s="23">
        <f t="shared" si="716"/>
        <v>797883.70478193671</v>
      </c>
      <c r="J992" s="23">
        <f t="shared" si="716"/>
        <v>1209463.0707732108</v>
      </c>
      <c r="K992" s="23">
        <f t="shared" si="716"/>
        <v>1452997.3251406651</v>
      </c>
      <c r="L992" s="23">
        <f t="shared" si="716"/>
        <v>1577017.3411775336</v>
      </c>
      <c r="M992" s="23">
        <f t="shared" si="716"/>
        <v>1220097.3457960708</v>
      </c>
      <c r="N992" s="23">
        <f t="shared" si="716"/>
        <v>1262536.1879413112</v>
      </c>
      <c r="O992" s="23">
        <f t="shared" si="716"/>
        <v>868423.41865955957</v>
      </c>
      <c r="P992" s="23">
        <f t="shared" si="716"/>
        <v>568374.84816806763</v>
      </c>
      <c r="Q992" s="23">
        <f t="shared" si="716"/>
        <v>379831.23401614407</v>
      </c>
      <c r="R992" s="23">
        <f>SUM(F992:Q992)</f>
        <v>10369841.920413814</v>
      </c>
      <c r="S992" s="687"/>
      <c r="T992" s="36"/>
      <c r="U992" s="36"/>
      <c r="V992" s="36"/>
      <c r="W992" s="36"/>
      <c r="X992" s="36"/>
      <c r="Y992" s="36"/>
      <c r="Z992" s="36"/>
    </row>
    <row r="993" spans="2:21" x14ac:dyDescent="0.2">
      <c r="F993" s="127"/>
      <c r="G993" s="127"/>
      <c r="H993" s="127"/>
      <c r="I993" s="127"/>
      <c r="J993" s="127"/>
      <c r="K993" s="127"/>
      <c r="L993" s="127"/>
      <c r="M993" s="127"/>
      <c r="N993" s="127"/>
      <c r="O993" s="127"/>
      <c r="P993" s="127"/>
      <c r="Q993" s="127"/>
      <c r="R993" s="127"/>
      <c r="S993" s="31"/>
    </row>
    <row r="994" spans="2:21" x14ac:dyDescent="0.2">
      <c r="B994" s="69" t="s">
        <v>213</v>
      </c>
      <c r="S994" s="31"/>
    </row>
    <row r="995" spans="2:21" x14ac:dyDescent="0.2">
      <c r="B995" s="80" t="s">
        <v>155</v>
      </c>
      <c r="F995" s="23">
        <f t="shared" ref="F995:Q995" si="717">F20</f>
        <v>421.29876000000002</v>
      </c>
      <c r="G995" s="23">
        <f t="shared" si="717"/>
        <v>418.67277000000001</v>
      </c>
      <c r="H995" s="23">
        <f t="shared" si="717"/>
        <v>395.00417999999996</v>
      </c>
      <c r="I995" s="23">
        <f t="shared" si="717"/>
        <v>420.28181999999998</v>
      </c>
      <c r="J995" s="23">
        <f t="shared" si="717"/>
        <v>399.60998999999998</v>
      </c>
      <c r="K995" s="23">
        <f t="shared" si="717"/>
        <v>408.05456999999996</v>
      </c>
      <c r="L995" s="23">
        <f t="shared" si="717"/>
        <v>406.79079000000002</v>
      </c>
      <c r="M995" s="23">
        <f t="shared" si="717"/>
        <v>369.04773</v>
      </c>
      <c r="N995" s="23">
        <f t="shared" si="717"/>
        <v>426.28655999999995</v>
      </c>
      <c r="O995" s="23">
        <f t="shared" si="717"/>
        <v>419.04200999999995</v>
      </c>
      <c r="P995" s="23">
        <f t="shared" si="717"/>
        <v>417.52424999999994</v>
      </c>
      <c r="Q995" s="23">
        <f t="shared" si="717"/>
        <v>390.32951999999995</v>
      </c>
      <c r="R995" s="23">
        <f t="shared" ref="R995:R1003" si="718">SUM(F995:Q995)</f>
        <v>4891.9429499999997</v>
      </c>
      <c r="S995" s="36"/>
      <c r="U995" s="23"/>
    </row>
    <row r="996" spans="2:21" x14ac:dyDescent="0.2">
      <c r="B996" s="80" t="s">
        <v>240</v>
      </c>
      <c r="F996" s="70">
        <f t="shared" ref="F996:Q996" si="719">F40+F41</f>
        <v>13353338.362175979</v>
      </c>
      <c r="G996" s="70">
        <f t="shared" si="719"/>
        <v>13197424.561216071</v>
      </c>
      <c r="H996" s="70">
        <f t="shared" si="719"/>
        <v>15776931.843697097</v>
      </c>
      <c r="I996" s="70">
        <f t="shared" si="719"/>
        <v>24644905.176918946</v>
      </c>
      <c r="J996" s="70">
        <f t="shared" si="719"/>
        <v>33811396.020587787</v>
      </c>
      <c r="K996" s="70">
        <f t="shared" si="719"/>
        <v>39192811.486201957</v>
      </c>
      <c r="L996" s="70">
        <f t="shared" si="719"/>
        <v>42243730.17918013</v>
      </c>
      <c r="M996" s="70">
        <f t="shared" si="719"/>
        <v>33198847.236722589</v>
      </c>
      <c r="N996" s="70">
        <f t="shared" si="719"/>
        <v>35160247.420021556</v>
      </c>
      <c r="O996" s="70">
        <f t="shared" si="719"/>
        <v>26155369.78269165</v>
      </c>
      <c r="P996" s="70">
        <f t="shared" si="719"/>
        <v>19491210.757892378</v>
      </c>
      <c r="Q996" s="70">
        <f t="shared" si="719"/>
        <v>15092837.808448009</v>
      </c>
      <c r="R996" s="23">
        <f t="shared" si="718"/>
        <v>311319050.63575417</v>
      </c>
      <c r="S996" s="36"/>
      <c r="U996" s="23"/>
    </row>
    <row r="997" spans="2:21" x14ac:dyDescent="0.2">
      <c r="B997" s="80" t="s">
        <v>191</v>
      </c>
      <c r="F997" s="70">
        <f t="shared" ref="F997:Q997" si="720">+F60+F61</f>
        <v>14.277388094227405</v>
      </c>
      <c r="G997" s="70">
        <f t="shared" si="720"/>
        <v>14.770498194655005</v>
      </c>
      <c r="H997" s="70">
        <f t="shared" si="720"/>
        <v>18.797002760136056</v>
      </c>
      <c r="I997" s="70">
        <f t="shared" si="720"/>
        <v>29.46626412507289</v>
      </c>
      <c r="J997" s="70">
        <f t="shared" si="720"/>
        <v>34.693084214791057</v>
      </c>
      <c r="K997" s="70">
        <f t="shared" si="720"/>
        <v>34.37142993050535</v>
      </c>
      <c r="L997" s="70">
        <f t="shared" si="720"/>
        <v>33.284297449999997</v>
      </c>
      <c r="M997" s="70">
        <f t="shared" si="720"/>
        <v>5.3670248899999997</v>
      </c>
      <c r="N997" s="70">
        <f t="shared" si="720"/>
        <v>0</v>
      </c>
      <c r="O997" s="70">
        <f t="shared" si="720"/>
        <v>0</v>
      </c>
      <c r="P997" s="70">
        <f t="shared" si="720"/>
        <v>0</v>
      </c>
      <c r="Q997" s="70">
        <f t="shared" si="720"/>
        <v>0</v>
      </c>
      <c r="R997" s="23">
        <f t="shared" si="718"/>
        <v>185.02698965938777</v>
      </c>
      <c r="S997" s="36"/>
      <c r="U997" s="23"/>
    </row>
    <row r="998" spans="2:21" x14ac:dyDescent="0.2">
      <c r="B998" s="81" t="s">
        <v>154</v>
      </c>
      <c r="F998" s="23">
        <f t="shared" ref="F998:Q998" si="721">F82+F83+F84+F105+F106+F107</f>
        <v>4309844.3327088244</v>
      </c>
      <c r="G998" s="23">
        <f t="shared" si="721"/>
        <v>4289315.2388262646</v>
      </c>
      <c r="H998" s="23">
        <f t="shared" si="721"/>
        <v>4698500.5323242359</v>
      </c>
      <c r="I998" s="23">
        <f t="shared" si="721"/>
        <v>7010565.9160019886</v>
      </c>
      <c r="J998" s="23">
        <f t="shared" si="721"/>
        <v>9551711.2826655377</v>
      </c>
      <c r="K998" s="23">
        <f t="shared" si="721"/>
        <v>11386764.042998163</v>
      </c>
      <c r="L998" s="23">
        <f t="shared" si="721"/>
        <v>12129675.895964617</v>
      </c>
      <c r="M998" s="23">
        <f t="shared" si="721"/>
        <v>9810156.7597428001</v>
      </c>
      <c r="N998" s="23">
        <f t="shared" si="721"/>
        <v>10238956.658144632</v>
      </c>
      <c r="O998" s="23">
        <f t="shared" si="721"/>
        <v>7719706.5492745303</v>
      </c>
      <c r="P998" s="23">
        <f t="shared" si="721"/>
        <v>5785936.5019795904</v>
      </c>
      <c r="Q998" s="23">
        <f t="shared" si="721"/>
        <v>4647123.2128358111</v>
      </c>
      <c r="R998" s="23">
        <f t="shared" si="718"/>
        <v>91578256.92346701</v>
      </c>
      <c r="S998" s="36"/>
      <c r="U998" s="23"/>
    </row>
    <row r="999" spans="2:21" x14ac:dyDescent="0.2">
      <c r="B999" s="80" t="s">
        <v>153</v>
      </c>
      <c r="F999" s="23">
        <f t="shared" ref="F999:Q999" si="722">F185+F190+F191+F195+F198+F231+F236+F237+F241+F244</f>
        <v>984218.70830128156</v>
      </c>
      <c r="G999" s="23">
        <f t="shared" si="722"/>
        <v>958222.47985440097</v>
      </c>
      <c r="H999" s="23">
        <f t="shared" si="722"/>
        <v>984477.68554259476</v>
      </c>
      <c r="I999" s="23">
        <f t="shared" si="722"/>
        <v>1205692.8229241404</v>
      </c>
      <c r="J999" s="23">
        <f t="shared" si="722"/>
        <v>1341789.0880513007</v>
      </c>
      <c r="K999" s="23">
        <f t="shared" si="722"/>
        <v>1495637.8214902438</v>
      </c>
      <c r="L999" s="23">
        <f t="shared" si="722"/>
        <v>1544826.5265435083</v>
      </c>
      <c r="M999" s="23">
        <f t="shared" si="722"/>
        <v>1352349.7556626138</v>
      </c>
      <c r="N999" s="23">
        <f t="shared" si="722"/>
        <v>1437673.6590718688</v>
      </c>
      <c r="O999" s="23">
        <f t="shared" si="722"/>
        <v>1256205.115058745</v>
      </c>
      <c r="P999" s="23">
        <f t="shared" si="722"/>
        <v>1099248.5974479381</v>
      </c>
      <c r="Q999" s="23">
        <f t="shared" si="722"/>
        <v>795891.05835681339</v>
      </c>
      <c r="R999" s="23">
        <f t="shared" si="718"/>
        <v>14456233.31830545</v>
      </c>
      <c r="S999" s="36"/>
      <c r="U999" s="23"/>
    </row>
    <row r="1000" spans="2:21" x14ac:dyDescent="0.2">
      <c r="B1000" s="80" t="s">
        <v>156</v>
      </c>
      <c r="F1000" s="23">
        <f t="shared" ref="F1000:Q1000" si="723">F354+F359+F361+F364+F367+F401+F406+F408+F411+F414</f>
        <v>99781.777953500728</v>
      </c>
      <c r="G1000" s="23">
        <f t="shared" si="723"/>
        <v>94859.61672424314</v>
      </c>
      <c r="H1000" s="23">
        <f t="shared" si="723"/>
        <v>102808.04741785133</v>
      </c>
      <c r="I1000" s="23">
        <f t="shared" si="723"/>
        <v>136172.72560280797</v>
      </c>
      <c r="J1000" s="23">
        <f t="shared" si="723"/>
        <v>155140.72765941484</v>
      </c>
      <c r="K1000" s="23">
        <f t="shared" si="723"/>
        <v>174562.82249891793</v>
      </c>
      <c r="L1000" s="23">
        <f t="shared" si="723"/>
        <v>168238.97522459773</v>
      </c>
      <c r="M1000" s="23">
        <f t="shared" si="723"/>
        <v>151934.70564766086</v>
      </c>
      <c r="N1000" s="23">
        <f t="shared" si="723"/>
        <v>161092.89147108799</v>
      </c>
      <c r="O1000" s="23">
        <f t="shared" si="723"/>
        <v>137172.45974896214</v>
      </c>
      <c r="P1000" s="23">
        <f t="shared" si="723"/>
        <v>114720.39831739001</v>
      </c>
      <c r="Q1000" s="23">
        <f t="shared" si="723"/>
        <v>93471.108261800007</v>
      </c>
      <c r="R1000" s="23">
        <f t="shared" si="718"/>
        <v>1589956.2565282346</v>
      </c>
      <c r="S1000" s="36"/>
      <c r="U1000" s="23"/>
    </row>
    <row r="1001" spans="2:21" x14ac:dyDescent="0.2">
      <c r="B1001" s="80" t="s">
        <v>157</v>
      </c>
      <c r="F1001" s="23">
        <f t="shared" ref="F1001:Q1001" si="724">F520+F524+F526+F529+F532+F564+F568+F570+F573+F576</f>
        <v>77637.6078290437</v>
      </c>
      <c r="G1001" s="23">
        <f t="shared" si="724"/>
        <v>91526.506047247531</v>
      </c>
      <c r="H1001" s="23">
        <f t="shared" si="724"/>
        <v>111577.82589698878</v>
      </c>
      <c r="I1001" s="23">
        <f t="shared" si="724"/>
        <v>170529.02372619906</v>
      </c>
      <c r="J1001" s="23">
        <f t="shared" si="724"/>
        <v>202962.72922313062</v>
      </c>
      <c r="K1001" s="23">
        <f t="shared" si="724"/>
        <v>241416.93866239715</v>
      </c>
      <c r="L1001" s="23">
        <f t="shared" si="724"/>
        <v>237691.79166137087</v>
      </c>
      <c r="M1001" s="23">
        <f t="shared" si="724"/>
        <v>203117.80162033235</v>
      </c>
      <c r="N1001" s="23">
        <f t="shared" si="724"/>
        <v>218279.94727443141</v>
      </c>
      <c r="O1001" s="23">
        <f t="shared" si="724"/>
        <v>178481.5962182779</v>
      </c>
      <c r="P1001" s="23">
        <f t="shared" si="724"/>
        <v>120270.91739929</v>
      </c>
      <c r="Q1001" s="23">
        <f t="shared" si="724"/>
        <v>91231.457792230009</v>
      </c>
      <c r="R1001" s="23">
        <f t="shared" si="718"/>
        <v>1944724.1433509393</v>
      </c>
      <c r="S1001" s="36"/>
      <c r="U1001" s="23"/>
    </row>
    <row r="1002" spans="2:21" x14ac:dyDescent="0.2">
      <c r="B1002" s="80" t="s">
        <v>158</v>
      </c>
      <c r="F1002" s="23">
        <f t="shared" ref="F1002:Q1002" si="725">F650+F658+F660+F663+F666+F706+F714+F716+F719+F722</f>
        <v>65049.654644090755</v>
      </c>
      <c r="G1002" s="23">
        <f t="shared" si="725"/>
        <v>64632.79352717413</v>
      </c>
      <c r="H1002" s="23">
        <f t="shared" si="725"/>
        <v>109070.686368172</v>
      </c>
      <c r="I1002" s="23">
        <f t="shared" si="725"/>
        <v>88084.696799669822</v>
      </c>
      <c r="J1002" s="23">
        <f t="shared" si="725"/>
        <v>100879.57012190709</v>
      </c>
      <c r="K1002" s="23">
        <f t="shared" si="725"/>
        <v>114238.26368324023</v>
      </c>
      <c r="L1002" s="23">
        <f t="shared" si="725"/>
        <v>107228.24450977168</v>
      </c>
      <c r="M1002" s="23">
        <f t="shared" si="725"/>
        <v>103304.56981331679</v>
      </c>
      <c r="N1002" s="23">
        <f t="shared" si="725"/>
        <v>103793.47966092</v>
      </c>
      <c r="O1002" s="23">
        <f t="shared" si="725"/>
        <v>92721.242479744382</v>
      </c>
      <c r="P1002" s="23">
        <f t="shared" si="725"/>
        <v>74607.208000750004</v>
      </c>
      <c r="Q1002" s="23">
        <f t="shared" si="725"/>
        <v>69885.989349039999</v>
      </c>
      <c r="R1002" s="23">
        <f t="shared" si="718"/>
        <v>1093496.3989577971</v>
      </c>
      <c r="S1002" s="36"/>
      <c r="U1002" s="23"/>
    </row>
    <row r="1003" spans="2:21" x14ac:dyDescent="0.2">
      <c r="B1003" s="30" t="s">
        <v>389</v>
      </c>
      <c r="C1003" s="21"/>
      <c r="F1003" s="23">
        <f t="shared" ref="F1003:Q1003" si="726">F127+F128+F130+F149+F150+F152</f>
        <v>1329.6238725000001</v>
      </c>
      <c r="G1003" s="23">
        <f t="shared" si="726"/>
        <v>1320.6045224999998</v>
      </c>
      <c r="H1003" s="23">
        <f t="shared" si="726"/>
        <v>1782.6951474999996</v>
      </c>
      <c r="I1003" s="23">
        <f t="shared" si="726"/>
        <v>2192.7786150000002</v>
      </c>
      <c r="J1003" s="23">
        <f t="shared" si="726"/>
        <v>2761.1627250000001</v>
      </c>
      <c r="K1003" s="23">
        <f t="shared" si="726"/>
        <v>3426.7104348204002</v>
      </c>
      <c r="L1003" s="23">
        <f t="shared" si="726"/>
        <v>2535.8469825000002</v>
      </c>
      <c r="M1003" s="23">
        <f t="shared" si="726"/>
        <v>2992.0551375</v>
      </c>
      <c r="N1003" s="23">
        <f t="shared" si="726"/>
        <v>2553.9770550000003</v>
      </c>
      <c r="O1003" s="23">
        <f t="shared" si="726"/>
        <v>2098.1108100000001</v>
      </c>
      <c r="P1003" s="23">
        <f t="shared" si="726"/>
        <v>1538.3127674999998</v>
      </c>
      <c r="Q1003" s="23">
        <f t="shared" si="726"/>
        <v>1353.83169</v>
      </c>
      <c r="R1003" s="23">
        <f t="shared" si="718"/>
        <v>25885.709759820398</v>
      </c>
      <c r="S1003" s="36"/>
      <c r="U1003" s="23"/>
    </row>
    <row r="1004" spans="2:21" s="30" customFormat="1" x14ac:dyDescent="0.2">
      <c r="B1004" s="30" t="s">
        <v>272</v>
      </c>
      <c r="F1004" s="34">
        <f t="shared" ref="F1004:Q1004" si="727">+F273+F278+F280+F282+F283+F311+F316+F318+F320+F321</f>
        <v>313365.3620044</v>
      </c>
      <c r="G1004" s="34">
        <f t="shared" si="727"/>
        <v>313325.71682090993</v>
      </c>
      <c r="H1004" s="34">
        <f t="shared" si="727"/>
        <v>305093.8842112</v>
      </c>
      <c r="I1004" s="34">
        <f t="shared" si="727"/>
        <v>328836.33393079997</v>
      </c>
      <c r="J1004" s="34">
        <f t="shared" si="727"/>
        <v>358772.76304716</v>
      </c>
      <c r="K1004" s="34">
        <f t="shared" si="727"/>
        <v>356926.93705052754</v>
      </c>
      <c r="L1004" s="34">
        <f t="shared" si="727"/>
        <v>366108.01432240003</v>
      </c>
      <c r="M1004" s="34">
        <f t="shared" si="727"/>
        <v>350736.63121323404</v>
      </c>
      <c r="N1004" s="34">
        <f t="shared" si="727"/>
        <v>366825.27554319997</v>
      </c>
      <c r="O1004" s="34">
        <f t="shared" si="727"/>
        <v>345822.82169599994</v>
      </c>
      <c r="P1004" s="34">
        <f t="shared" si="727"/>
        <v>308177.91939119995</v>
      </c>
      <c r="Q1004" s="34">
        <f t="shared" si="727"/>
        <v>281576.06746719999</v>
      </c>
      <c r="R1004" s="34">
        <f>SUM(F1004:Q1004)</f>
        <v>3995567.7266982314</v>
      </c>
      <c r="S1004" s="36"/>
      <c r="U1004" s="23"/>
    </row>
    <row r="1005" spans="2:21" s="30" customFormat="1" x14ac:dyDescent="0.2">
      <c r="B1005" s="30" t="s">
        <v>273</v>
      </c>
      <c r="F1005" s="34">
        <f t="shared" ref="F1005:Q1005" si="728">+F443+F448+F451+F452+F480+F485+F488+F489</f>
        <v>558274.23922743264</v>
      </c>
      <c r="G1005" s="34">
        <f t="shared" si="728"/>
        <v>585070.00622203387</v>
      </c>
      <c r="H1005" s="34">
        <f t="shared" si="728"/>
        <v>575419.65454739984</v>
      </c>
      <c r="I1005" s="34">
        <f t="shared" si="728"/>
        <v>616463.48512249941</v>
      </c>
      <c r="J1005" s="34">
        <f t="shared" si="728"/>
        <v>594075.6637545001</v>
      </c>
      <c r="K1005" s="34">
        <f t="shared" si="728"/>
        <v>599920.27563530486</v>
      </c>
      <c r="L1005" s="34">
        <f t="shared" si="728"/>
        <v>593667.20375650004</v>
      </c>
      <c r="M1005" s="34">
        <f t="shared" si="728"/>
        <v>566358.72673770005</v>
      </c>
      <c r="N1005" s="34">
        <f t="shared" si="728"/>
        <v>616573.44610900001</v>
      </c>
      <c r="O1005" s="34">
        <f t="shared" si="728"/>
        <v>584793.77972961927</v>
      </c>
      <c r="P1005" s="34">
        <f t="shared" si="728"/>
        <v>576948.57895570004</v>
      </c>
      <c r="Q1005" s="34">
        <f t="shared" si="728"/>
        <v>569750.13667749998</v>
      </c>
      <c r="R1005" s="34">
        <f>SUM(F1005:Q1005)</f>
        <v>7037315.1964751901</v>
      </c>
      <c r="S1005" s="36"/>
      <c r="U1005" s="23"/>
    </row>
    <row r="1006" spans="2:21" s="30" customFormat="1" x14ac:dyDescent="0.2">
      <c r="B1006" s="83" t="s">
        <v>328</v>
      </c>
      <c r="F1006" s="34">
        <f t="shared" ref="F1006:Q1006" si="729">F603+F607+F610+F611</f>
        <v>8820.797750400001</v>
      </c>
      <c r="G1006" s="34">
        <f t="shared" si="729"/>
        <v>5390.3016639999996</v>
      </c>
      <c r="H1006" s="34">
        <f t="shared" si="729"/>
        <v>7374.2433600000004</v>
      </c>
      <c r="I1006" s="34">
        <f t="shared" si="729"/>
        <v>10356.7262496</v>
      </c>
      <c r="J1006" s="34">
        <f t="shared" si="729"/>
        <v>5820.2923968000005</v>
      </c>
      <c r="K1006" s="34">
        <f t="shared" si="729"/>
        <v>5984.7753798878139</v>
      </c>
      <c r="L1006" s="34">
        <f t="shared" si="729"/>
        <v>8656.4359616000002</v>
      </c>
      <c r="M1006" s="34">
        <f t="shared" si="729"/>
        <v>9101.8727968000003</v>
      </c>
      <c r="N1006" s="34">
        <f t="shared" si="729"/>
        <v>7492.4995487999995</v>
      </c>
      <c r="O1006" s="34">
        <f t="shared" si="729"/>
        <v>5300.7707200000004</v>
      </c>
      <c r="P1006" s="34">
        <f t="shared" si="729"/>
        <v>5338.2249152000004</v>
      </c>
      <c r="Q1006" s="34">
        <f t="shared" si="729"/>
        <v>4771.7995486</v>
      </c>
      <c r="R1006" s="34">
        <f>SUM(F1006:Q1006)</f>
        <v>84408.74029168782</v>
      </c>
      <c r="S1006" s="36"/>
      <c r="U1006" s="23"/>
    </row>
    <row r="1007" spans="2:21" s="30" customFormat="1" x14ac:dyDescent="0.2">
      <c r="B1007" s="30" t="s">
        <v>274</v>
      </c>
      <c r="F1007" s="34">
        <f t="shared" ref="F1007:Q1007" si="730">+F757+F765+F768+F769+F803+F811+F814+F815</f>
        <v>296342.44303930004</v>
      </c>
      <c r="G1007" s="34">
        <f t="shared" si="730"/>
        <v>298728.78351069998</v>
      </c>
      <c r="H1007" s="34">
        <f t="shared" si="730"/>
        <v>292261.16236269998</v>
      </c>
      <c r="I1007" s="34">
        <f t="shared" si="730"/>
        <v>302421.06574009999</v>
      </c>
      <c r="J1007" s="34">
        <f t="shared" si="730"/>
        <v>286014.6694742</v>
      </c>
      <c r="K1007" s="34">
        <f t="shared" si="730"/>
        <v>320039.02789956867</v>
      </c>
      <c r="L1007" s="34">
        <f t="shared" si="730"/>
        <v>293211.36046810006</v>
      </c>
      <c r="M1007" s="34">
        <f t="shared" si="730"/>
        <v>300044.38650465885</v>
      </c>
      <c r="N1007" s="34">
        <f t="shared" si="730"/>
        <v>315117.55983879999</v>
      </c>
      <c r="O1007" s="34">
        <f t="shared" si="730"/>
        <v>290187.04434749996</v>
      </c>
      <c r="P1007" s="34">
        <f t="shared" si="730"/>
        <v>291545.20459049998</v>
      </c>
      <c r="Q1007" s="34">
        <f t="shared" si="730"/>
        <v>278445.95869589999</v>
      </c>
      <c r="R1007" s="34">
        <f>SUM(F1007:Q1007)</f>
        <v>3564358.6664720275</v>
      </c>
      <c r="S1007" s="36"/>
      <c r="U1007" s="23"/>
    </row>
    <row r="1008" spans="2:21" s="30" customFormat="1" x14ac:dyDescent="0.2">
      <c r="B1008" s="83" t="s">
        <v>238</v>
      </c>
      <c r="F1008" s="34">
        <f t="shared" ref="F1008:R1008" si="731">F847+F855+F857</f>
        <v>0</v>
      </c>
      <c r="G1008" s="34">
        <f t="shared" si="731"/>
        <v>0</v>
      </c>
      <c r="H1008" s="34">
        <f t="shared" si="731"/>
        <v>0</v>
      </c>
      <c r="I1008" s="34">
        <f t="shared" si="731"/>
        <v>0</v>
      </c>
      <c r="J1008" s="34">
        <f t="shared" si="731"/>
        <v>0</v>
      </c>
      <c r="K1008" s="34">
        <f t="shared" si="731"/>
        <v>0</v>
      </c>
      <c r="L1008" s="34">
        <f t="shared" si="731"/>
        <v>0</v>
      </c>
      <c r="M1008" s="34">
        <f t="shared" si="731"/>
        <v>0</v>
      </c>
      <c r="N1008" s="34">
        <f t="shared" si="731"/>
        <v>0</v>
      </c>
      <c r="O1008" s="34">
        <f t="shared" si="731"/>
        <v>0</v>
      </c>
      <c r="P1008" s="34">
        <f t="shared" si="731"/>
        <v>0</v>
      </c>
      <c r="Q1008" s="34">
        <f t="shared" si="731"/>
        <v>0</v>
      </c>
      <c r="R1008" s="34">
        <f t="shared" si="731"/>
        <v>0</v>
      </c>
      <c r="S1008" s="36"/>
      <c r="U1008" s="23"/>
    </row>
    <row r="1009" spans="2:21" s="30" customFormat="1" x14ac:dyDescent="0.2">
      <c r="B1009" s="83" t="s">
        <v>160</v>
      </c>
      <c r="F1009" s="35">
        <f t="shared" ref="F1009:R1009" si="732">SUM(F995:F1008)</f>
        <v>20068438.485654853</v>
      </c>
      <c r="G1009" s="35">
        <f t="shared" si="732"/>
        <v>19900250.052203741</v>
      </c>
      <c r="H1009" s="35">
        <f t="shared" si="732"/>
        <v>22965712.062058505</v>
      </c>
      <c r="I1009" s="35">
        <f t="shared" si="732"/>
        <v>34516670.49971588</v>
      </c>
      <c r="J1009" s="35">
        <f t="shared" si="732"/>
        <v>46411758.272780955</v>
      </c>
      <c r="K1009" s="35">
        <f t="shared" si="732"/>
        <v>53892171.527934946</v>
      </c>
      <c r="L1009" s="35">
        <f t="shared" si="732"/>
        <v>57696010.549662545</v>
      </c>
      <c r="M1009" s="35">
        <f t="shared" si="732"/>
        <v>46049318.916354105</v>
      </c>
      <c r="N1009" s="35">
        <f t="shared" si="732"/>
        <v>48629033.100299291</v>
      </c>
      <c r="O1009" s="35">
        <f t="shared" ref="O1009:Q1009" si="733">SUM(O995:O1008)</f>
        <v>36768278.314785026</v>
      </c>
      <c r="P1009" s="35">
        <f t="shared" si="733"/>
        <v>27869960.145907432</v>
      </c>
      <c r="Q1009" s="35">
        <f t="shared" si="733"/>
        <v>21926728.758642908</v>
      </c>
      <c r="R1009" s="685">
        <f t="shared" si="732"/>
        <v>436694330.68600029</v>
      </c>
      <c r="S1009" s="36"/>
    </row>
    <row r="1010" spans="2:21" s="30" customFormat="1" x14ac:dyDescent="0.2">
      <c r="B1010" s="83" t="s">
        <v>114</v>
      </c>
      <c r="F1010" s="691">
        <f>F1009-F990</f>
        <v>0</v>
      </c>
      <c r="G1010" s="691">
        <f t="shared" ref="G1010:R1010" si="734">G1009-G990</f>
        <v>0</v>
      </c>
      <c r="H1010" s="691">
        <f t="shared" si="734"/>
        <v>0</v>
      </c>
      <c r="I1010" s="691">
        <f t="shared" si="734"/>
        <v>0</v>
      </c>
      <c r="J1010" s="691">
        <f t="shared" si="734"/>
        <v>0</v>
      </c>
      <c r="K1010" s="691">
        <f t="shared" si="734"/>
        <v>0</v>
      </c>
      <c r="L1010" s="691">
        <f t="shared" si="734"/>
        <v>0</v>
      </c>
      <c r="M1010" s="691">
        <f t="shared" si="734"/>
        <v>0</v>
      </c>
      <c r="N1010" s="691">
        <f t="shared" si="734"/>
        <v>0</v>
      </c>
      <c r="O1010" s="691">
        <f t="shared" si="734"/>
        <v>0</v>
      </c>
      <c r="P1010" s="691">
        <f t="shared" si="734"/>
        <v>0</v>
      </c>
      <c r="Q1010" s="691">
        <f t="shared" si="734"/>
        <v>0</v>
      </c>
      <c r="R1010" s="691">
        <f t="shared" si="734"/>
        <v>0</v>
      </c>
      <c r="S1010" s="691"/>
    </row>
    <row r="1011" spans="2:21" x14ac:dyDescent="0.2">
      <c r="F1011" s="23"/>
      <c r="G1011" s="23"/>
      <c r="H1011" s="23"/>
      <c r="I1011" s="23"/>
      <c r="J1011" s="23"/>
      <c r="K1011" s="23"/>
      <c r="L1011" s="23"/>
      <c r="M1011" s="23"/>
      <c r="N1011" s="23"/>
      <c r="O1011" s="23"/>
      <c r="P1011" s="23"/>
      <c r="Q1011" s="23"/>
      <c r="R1011" s="23"/>
      <c r="S1011" s="31"/>
      <c r="U1011" s="23"/>
    </row>
    <row r="1012" spans="2:21" x14ac:dyDescent="0.2">
      <c r="B1012" s="69" t="s">
        <v>162</v>
      </c>
      <c r="S1012" s="31"/>
    </row>
    <row r="1013" spans="2:21" x14ac:dyDescent="0.2">
      <c r="B1013" s="80" t="s">
        <v>155</v>
      </c>
      <c r="F1013" s="23">
        <f t="shared" ref="F1013:Q1013" si="735">F21</f>
        <v>269.99641894736845</v>
      </c>
      <c r="G1013" s="23">
        <f t="shared" si="735"/>
        <v>268.31350894736846</v>
      </c>
      <c r="H1013" s="23">
        <f t="shared" si="735"/>
        <v>253.14509368421054</v>
      </c>
      <c r="I1013" s="23">
        <f t="shared" si="735"/>
        <v>269.34469578947369</v>
      </c>
      <c r="J1013" s="23">
        <f t="shared" si="735"/>
        <v>256.0968047368421</v>
      </c>
      <c r="K1013" s="23">
        <f t="shared" si="735"/>
        <v>261.50865631578949</v>
      </c>
      <c r="L1013" s="23">
        <f t="shared" si="735"/>
        <v>260.69874157894736</v>
      </c>
      <c r="M1013" s="23">
        <f t="shared" si="735"/>
        <v>236.51046473684212</v>
      </c>
      <c r="N1013" s="23">
        <f t="shared" si="735"/>
        <v>273.19293473684212</v>
      </c>
      <c r="O1013" s="23">
        <f t="shared" si="735"/>
        <v>268.55014263157892</v>
      </c>
      <c r="P1013" s="23">
        <f t="shared" si="735"/>
        <v>267.57746052631575</v>
      </c>
      <c r="Q1013" s="23">
        <f t="shared" si="735"/>
        <v>250.14925894736842</v>
      </c>
      <c r="R1013" s="23">
        <f t="shared" ref="R1013:R1021" si="736">SUM(F1013:Q1013)</f>
        <v>3135.0841815789481</v>
      </c>
      <c r="S1013" s="36"/>
      <c r="U1013" s="23"/>
    </row>
    <row r="1014" spans="2:21" x14ac:dyDescent="0.2">
      <c r="B1014" s="80" t="s">
        <v>240</v>
      </c>
      <c r="F1014" s="34">
        <f t="shared" ref="F1014:Q1014" si="737">F42</f>
        <v>4391432.5026694499</v>
      </c>
      <c r="G1014" s="34">
        <f t="shared" si="737"/>
        <v>4160217.6596403499</v>
      </c>
      <c r="H1014" s="34">
        <f t="shared" si="737"/>
        <v>7071227.7174210493</v>
      </c>
      <c r="I1014" s="34">
        <f t="shared" si="737"/>
        <v>15076848.9887625</v>
      </c>
      <c r="J1014" s="34">
        <f t="shared" si="737"/>
        <v>24087790.707640648</v>
      </c>
      <c r="K1014" s="34">
        <f t="shared" si="737"/>
        <v>28911668.231109552</v>
      </c>
      <c r="L1014" s="34">
        <f t="shared" si="737"/>
        <v>31759099.054167598</v>
      </c>
      <c r="M1014" s="34">
        <f t="shared" si="737"/>
        <v>23965633.077877447</v>
      </c>
      <c r="N1014" s="34">
        <f t="shared" si="737"/>
        <v>24774298.999760251</v>
      </c>
      <c r="O1014" s="34">
        <f t="shared" si="737"/>
        <v>16420604.70926575</v>
      </c>
      <c r="P1014" s="34">
        <f t="shared" si="737"/>
        <v>10089314.5111509</v>
      </c>
      <c r="Q1014" s="34">
        <f t="shared" si="737"/>
        <v>6296292.7074055495</v>
      </c>
      <c r="R1014" s="23">
        <f t="shared" si="736"/>
        <v>197004428.86687103</v>
      </c>
      <c r="S1014" s="36"/>
      <c r="U1014" s="23"/>
    </row>
    <row r="1015" spans="2:21" x14ac:dyDescent="0.2">
      <c r="B1015" s="80" t="s">
        <v>191</v>
      </c>
      <c r="F1015" s="34">
        <f t="shared" ref="F1015:Q1015" si="738">+F62</f>
        <v>43.307671519999992</v>
      </c>
      <c r="G1015" s="34">
        <f t="shared" si="738"/>
        <v>44.663440099999995</v>
      </c>
      <c r="H1015" s="34">
        <f t="shared" si="738"/>
        <v>113.52879166000001</v>
      </c>
      <c r="I1015" s="34">
        <f t="shared" si="738"/>
        <v>253.89410890000002</v>
      </c>
      <c r="J1015" s="34">
        <f t="shared" si="738"/>
        <v>326.66330474</v>
      </c>
      <c r="K1015" s="34">
        <f t="shared" si="738"/>
        <v>327.53349663000006</v>
      </c>
      <c r="L1015" s="34">
        <f t="shared" si="738"/>
        <v>273.62967635000001</v>
      </c>
      <c r="M1015" s="34">
        <f t="shared" si="738"/>
        <v>36.360559469999998</v>
      </c>
      <c r="N1015" s="34">
        <f t="shared" si="738"/>
        <v>0</v>
      </c>
      <c r="O1015" s="34">
        <f t="shared" si="738"/>
        <v>0</v>
      </c>
      <c r="P1015" s="34">
        <f t="shared" si="738"/>
        <v>0</v>
      </c>
      <c r="Q1015" s="34">
        <f t="shared" si="738"/>
        <v>0</v>
      </c>
      <c r="R1015" s="23">
        <f t="shared" si="736"/>
        <v>1419.5810493699998</v>
      </c>
      <c r="S1015" s="36"/>
      <c r="U1015" s="23"/>
    </row>
    <row r="1016" spans="2:21" x14ac:dyDescent="0.2">
      <c r="B1016" s="81" t="s">
        <v>154</v>
      </c>
      <c r="F1016" s="23">
        <f t="shared" ref="F1016:Q1016" si="739">F85+F108</f>
        <v>2557238.6151065398</v>
      </c>
      <c r="G1016" s="23">
        <f t="shared" si="739"/>
        <v>2507991.9312571906</v>
      </c>
      <c r="H1016" s="23">
        <f t="shared" si="739"/>
        <v>3052895.4535618704</v>
      </c>
      <c r="I1016" s="23">
        <f t="shared" si="739"/>
        <v>5397648.9563417109</v>
      </c>
      <c r="J1016" s="23">
        <f t="shared" si="739"/>
        <v>8142815.6247817092</v>
      </c>
      <c r="K1016" s="23">
        <f t="shared" si="739"/>
        <v>10001147.735640861</v>
      </c>
      <c r="L1016" s="23">
        <f t="shared" si="739"/>
        <v>10780011.64770055</v>
      </c>
      <c r="M1016" s="23">
        <f t="shared" si="739"/>
        <v>8521999.9346508402</v>
      </c>
      <c r="N1016" s="23">
        <f t="shared" si="739"/>
        <v>8720708.1811375804</v>
      </c>
      <c r="O1016" s="23">
        <f t="shared" si="739"/>
        <v>6120578.5661936505</v>
      </c>
      <c r="P1016" s="23">
        <f t="shared" si="739"/>
        <v>4080493.5850705104</v>
      </c>
      <c r="Q1016" s="23">
        <f t="shared" si="739"/>
        <v>2979656.1487200907</v>
      </c>
      <c r="R1016" s="23">
        <f t="shared" si="736"/>
        <v>72863186.380163103</v>
      </c>
      <c r="S1016" s="36"/>
      <c r="U1016" s="23"/>
    </row>
    <row r="1017" spans="2:21" x14ac:dyDescent="0.2">
      <c r="B1017" s="80" t="s">
        <v>153</v>
      </c>
      <c r="F1017" s="23">
        <f t="shared" ref="F1017:Q1017" si="740">F192+F196+F238+F242</f>
        <v>1075310.3207249998</v>
      </c>
      <c r="G1017" s="23">
        <f t="shared" si="740"/>
        <v>1031202.4481159999</v>
      </c>
      <c r="H1017" s="23">
        <f t="shared" si="740"/>
        <v>1143679.3017230998</v>
      </c>
      <c r="I1017" s="23">
        <f t="shared" si="740"/>
        <v>1550782.3898825999</v>
      </c>
      <c r="J1017" s="23">
        <f t="shared" si="740"/>
        <v>1843379.5871316001</v>
      </c>
      <c r="K1017" s="23">
        <f t="shared" si="740"/>
        <v>2100130.5110447998</v>
      </c>
      <c r="L1017" s="23">
        <f t="shared" si="740"/>
        <v>2202752.9930246999</v>
      </c>
      <c r="M1017" s="23">
        <f t="shared" si="740"/>
        <v>1876151.2622226004</v>
      </c>
      <c r="N1017" s="23">
        <f t="shared" si="740"/>
        <v>1973606.9751510001</v>
      </c>
      <c r="O1017" s="23">
        <f t="shared" si="740"/>
        <v>1643808.2081601</v>
      </c>
      <c r="P1017" s="23">
        <f t="shared" si="740"/>
        <v>1353679.3670321999</v>
      </c>
      <c r="Q1017" s="23">
        <f t="shared" si="740"/>
        <v>829941.52409700002</v>
      </c>
      <c r="R1017" s="23">
        <f t="shared" si="736"/>
        <v>18624424.888310701</v>
      </c>
      <c r="S1017" s="36"/>
      <c r="U1017" s="23"/>
    </row>
    <row r="1018" spans="2:21" x14ac:dyDescent="0.2">
      <c r="B1018" s="80" t="s">
        <v>156</v>
      </c>
      <c r="F1018" s="23">
        <f t="shared" ref="F1018:Q1018" si="741">F360+F365+F407+F412</f>
        <v>233961.13073900001</v>
      </c>
      <c r="G1018" s="23">
        <f t="shared" si="741"/>
        <v>216444.08020479995</v>
      </c>
      <c r="H1018" s="23">
        <f t="shared" si="741"/>
        <v>253090.11044380002</v>
      </c>
      <c r="I1018" s="23">
        <f t="shared" si="741"/>
        <v>381167.75438560004</v>
      </c>
      <c r="J1018" s="23">
        <f t="shared" si="741"/>
        <v>468392.91387980001</v>
      </c>
      <c r="K1018" s="23">
        <f t="shared" si="741"/>
        <v>555916.94871439994</v>
      </c>
      <c r="L1018" s="23">
        <f t="shared" si="741"/>
        <v>529981.43543379998</v>
      </c>
      <c r="M1018" s="23">
        <f t="shared" si="741"/>
        <v>461197.89598680002</v>
      </c>
      <c r="N1018" s="23">
        <f t="shared" si="741"/>
        <v>491155.9784894</v>
      </c>
      <c r="O1018" s="23">
        <f t="shared" si="741"/>
        <v>385873.79979259998</v>
      </c>
      <c r="P1018" s="23">
        <f t="shared" si="741"/>
        <v>290550.88964719995</v>
      </c>
      <c r="Q1018" s="23">
        <f t="shared" si="741"/>
        <v>227247.53893799998</v>
      </c>
      <c r="R1018" s="23">
        <f t="shared" si="736"/>
        <v>4494980.4766552001</v>
      </c>
      <c r="S1018" s="36"/>
      <c r="U1018" s="23"/>
    </row>
    <row r="1019" spans="2:21" x14ac:dyDescent="0.2">
      <c r="B1019" s="80" t="s">
        <v>157</v>
      </c>
      <c r="F1019" s="23">
        <f t="shared" ref="F1019:Q1019" si="742">F525+F530+F569+F574</f>
        <v>64957.436858999994</v>
      </c>
      <c r="G1019" s="23">
        <f t="shared" si="742"/>
        <v>60800.992567559995</v>
      </c>
      <c r="H1019" s="23">
        <f t="shared" si="742"/>
        <v>108586.61051531999</v>
      </c>
      <c r="I1019" s="23">
        <f t="shared" si="742"/>
        <v>226141.81197047999</v>
      </c>
      <c r="J1019" s="34">
        <f t="shared" si="742"/>
        <v>288305.56007651996</v>
      </c>
      <c r="K1019" s="23">
        <f t="shared" si="742"/>
        <v>355955.22320987988</v>
      </c>
      <c r="L1019" s="23">
        <f t="shared" si="742"/>
        <v>349200.61356095999</v>
      </c>
      <c r="M1019" s="23">
        <f t="shared" si="742"/>
        <v>292912.26305124001</v>
      </c>
      <c r="N1019" s="23">
        <f t="shared" si="742"/>
        <v>309950.25659723999</v>
      </c>
      <c r="O1019" s="23">
        <f t="shared" si="742"/>
        <v>240016.01374380002</v>
      </c>
      <c r="P1019" s="23">
        <f t="shared" si="742"/>
        <v>138014.06076443999</v>
      </c>
      <c r="Q1019" s="23">
        <f t="shared" si="742"/>
        <v>91812.886247879986</v>
      </c>
      <c r="R1019" s="23">
        <f t="shared" si="736"/>
        <v>2526653.7291643196</v>
      </c>
      <c r="S1019" s="36"/>
      <c r="U1019" s="23"/>
    </row>
    <row r="1020" spans="2:21" x14ac:dyDescent="0.2">
      <c r="B1020" s="80" t="s">
        <v>158</v>
      </c>
      <c r="F1020" s="23">
        <f t="shared" ref="F1020:Q1020" si="743">F659+F664+F715+F720</f>
        <v>325924.31795896002</v>
      </c>
      <c r="G1020" s="23">
        <f t="shared" si="743"/>
        <v>322157.04711119999</v>
      </c>
      <c r="H1020" s="23">
        <f t="shared" si="743"/>
        <v>350883.46652099997</v>
      </c>
      <c r="I1020" s="23">
        <f t="shared" si="743"/>
        <v>529214.00186467997</v>
      </c>
      <c r="J1020" s="23">
        <f t="shared" si="743"/>
        <v>634466.12736444001</v>
      </c>
      <c r="K1020" s="23">
        <f t="shared" si="743"/>
        <v>761958.61023207998</v>
      </c>
      <c r="L1020" s="23">
        <f t="shared" si="743"/>
        <v>698301.88186908001</v>
      </c>
      <c r="M1020" s="23">
        <f t="shared" si="743"/>
        <v>663624.53843528009</v>
      </c>
      <c r="N1020" s="23">
        <f t="shared" si="743"/>
        <v>657715.59075588</v>
      </c>
      <c r="O1020" s="23">
        <f t="shared" si="743"/>
        <v>561073.73208304006</v>
      </c>
      <c r="P1020" s="23">
        <f t="shared" si="743"/>
        <v>401795.46702888003</v>
      </c>
      <c r="Q1020" s="23">
        <f t="shared" si="743"/>
        <v>386878.23813180003</v>
      </c>
      <c r="R1020" s="23">
        <f t="shared" si="736"/>
        <v>6293993.0193563206</v>
      </c>
      <c r="S1020" s="36"/>
      <c r="U1020" s="23"/>
    </row>
    <row r="1021" spans="2:21" x14ac:dyDescent="0.2">
      <c r="B1021" s="30" t="s">
        <v>389</v>
      </c>
      <c r="F1021" s="23">
        <f t="shared" ref="F1021:Q1021" si="744">F129+F151</f>
        <v>0.63721700000000003</v>
      </c>
      <c r="G1021" s="23">
        <f t="shared" si="744"/>
        <v>0.61579699999999993</v>
      </c>
      <c r="H1021" s="23">
        <f t="shared" si="744"/>
        <v>0.87304700000000002</v>
      </c>
      <c r="I1021" s="23">
        <f t="shared" si="744"/>
        <v>2.6871179999999999</v>
      </c>
      <c r="J1021" s="23">
        <f t="shared" si="744"/>
        <v>4.0369700000000002</v>
      </c>
      <c r="K1021" s="23">
        <f t="shared" si="744"/>
        <v>5.6175489999999995</v>
      </c>
      <c r="L1021" s="23">
        <f t="shared" si="744"/>
        <v>3.5018690000000001</v>
      </c>
      <c r="M1021" s="23">
        <f t="shared" si="744"/>
        <v>4.5853149999999996</v>
      </c>
      <c r="N1021" s="23">
        <f t="shared" si="744"/>
        <v>3.5449260000000002</v>
      </c>
      <c r="O1021" s="23">
        <f t="shared" si="744"/>
        <v>2.4622920000000001</v>
      </c>
      <c r="P1021" s="23">
        <f t="shared" si="744"/>
        <v>1.1328309999999999</v>
      </c>
      <c r="Q1021" s="23">
        <f t="shared" si="744"/>
        <v>0.69470799999999999</v>
      </c>
      <c r="R1021" s="23">
        <f t="shared" si="736"/>
        <v>30.389638999999999</v>
      </c>
      <c r="S1021" s="36"/>
      <c r="U1021" s="23"/>
    </row>
    <row r="1022" spans="2:21" x14ac:dyDescent="0.2">
      <c r="B1022" t="s">
        <v>272</v>
      </c>
      <c r="F1022" s="23">
        <f t="shared" ref="F1022:Q1022" si="745">F279+F317</f>
        <v>986.43729099999996</v>
      </c>
      <c r="G1022" s="23">
        <f t="shared" si="745"/>
        <v>1019.187946</v>
      </c>
      <c r="H1022" s="23">
        <f t="shared" si="745"/>
        <v>963.29769199999998</v>
      </c>
      <c r="I1022" s="23">
        <f t="shared" si="745"/>
        <v>1111.1800840000001</v>
      </c>
      <c r="J1022" s="23">
        <f t="shared" si="745"/>
        <v>1177.6272963000001</v>
      </c>
      <c r="K1022" s="23">
        <f t="shared" si="745"/>
        <v>1218.109179</v>
      </c>
      <c r="L1022" s="23">
        <f t="shared" si="745"/>
        <v>1327.8818700000002</v>
      </c>
      <c r="M1022" s="23">
        <f t="shared" si="745"/>
        <v>1223.4244189999999</v>
      </c>
      <c r="N1022" s="23">
        <f t="shared" si="745"/>
        <v>1332.6316779999997</v>
      </c>
      <c r="O1022" s="23">
        <f t="shared" si="745"/>
        <v>1187.1301679999999</v>
      </c>
      <c r="P1022" s="23">
        <f t="shared" si="745"/>
        <v>1041.9764109999999</v>
      </c>
      <c r="Q1022" s="23">
        <f t="shared" si="745"/>
        <v>889.09062900000004</v>
      </c>
      <c r="R1022" s="23">
        <f>SUM(F1022:Q1022)</f>
        <v>13477.9746633</v>
      </c>
      <c r="S1022" s="36"/>
      <c r="U1022" s="23"/>
    </row>
    <row r="1023" spans="2:21" x14ac:dyDescent="0.2">
      <c r="B1023" t="s">
        <v>273</v>
      </c>
      <c r="F1023" s="23">
        <f t="shared" ref="F1023:Q1023" si="746">F449+F486</f>
        <v>4096.2345830000004</v>
      </c>
      <c r="G1023" s="23">
        <f t="shared" si="746"/>
        <v>4457.4953990000004</v>
      </c>
      <c r="H1023" s="23">
        <f t="shared" si="746"/>
        <v>4336.3402670000005</v>
      </c>
      <c r="I1023" s="23">
        <f t="shared" si="746"/>
        <v>4863.9228539999995</v>
      </c>
      <c r="J1023" s="23">
        <f t="shared" si="746"/>
        <v>4520.0581579999998</v>
      </c>
      <c r="K1023" s="23">
        <f t="shared" si="746"/>
        <v>4723.9728340000001</v>
      </c>
      <c r="L1023" s="23">
        <f t="shared" si="746"/>
        <v>4674.3326280000001</v>
      </c>
      <c r="M1023" s="23">
        <f t="shared" si="746"/>
        <v>4257.0931270000001</v>
      </c>
      <c r="N1023" s="23">
        <f t="shared" si="746"/>
        <v>4884.1060449999995</v>
      </c>
      <c r="O1023" s="23">
        <f t="shared" si="746"/>
        <v>4321.0180440000004</v>
      </c>
      <c r="P1023" s="23">
        <f t="shared" si="746"/>
        <v>4284.0913430000001</v>
      </c>
      <c r="Q1023" s="23">
        <f t="shared" si="746"/>
        <v>4189.1457019999998</v>
      </c>
      <c r="R1023" s="23">
        <f>SUM(F1023:Q1023)</f>
        <v>53607.810984000011</v>
      </c>
      <c r="S1023" s="36"/>
      <c r="U1023" s="23"/>
    </row>
    <row r="1024" spans="2:21" x14ac:dyDescent="0.2">
      <c r="B1024" s="83" t="s">
        <v>328</v>
      </c>
      <c r="F1024" s="23">
        <f t="shared" ref="F1024:Q1024" si="747">F608</f>
        <v>17.384927000000001</v>
      </c>
      <c r="G1024" s="23">
        <f t="shared" si="747"/>
        <v>13.26507</v>
      </c>
      <c r="H1024" s="23">
        <f t="shared" si="747"/>
        <v>9.9742999999999995</v>
      </c>
      <c r="I1024" s="23">
        <f t="shared" si="747"/>
        <v>21.950697999999999</v>
      </c>
      <c r="J1024" s="23">
        <f t="shared" si="747"/>
        <v>20.011333999999998</v>
      </c>
      <c r="K1024" s="23">
        <f t="shared" si="747"/>
        <v>20.854036000000001</v>
      </c>
      <c r="L1024" s="23">
        <f t="shared" si="747"/>
        <v>34.540758000000004</v>
      </c>
      <c r="M1024" s="23">
        <f t="shared" si="747"/>
        <v>36.822709000000003</v>
      </c>
      <c r="N1024" s="23">
        <f t="shared" si="747"/>
        <v>28.577969</v>
      </c>
      <c r="O1024" s="23">
        <f t="shared" si="747"/>
        <v>17.34985</v>
      </c>
      <c r="P1024" s="23">
        <f t="shared" si="747"/>
        <v>12.854226000000001</v>
      </c>
      <c r="Q1024" s="23">
        <f t="shared" si="747"/>
        <v>14.659813</v>
      </c>
      <c r="R1024" s="23">
        <f>SUM(F1024:Q1024)</f>
        <v>248.24569000000002</v>
      </c>
      <c r="S1024" s="36"/>
      <c r="U1024" s="23"/>
    </row>
    <row r="1025" spans="2:21" x14ac:dyDescent="0.2">
      <c r="B1025" t="s">
        <v>274</v>
      </c>
      <c r="F1025" s="23">
        <f t="shared" ref="F1025:Q1025" si="748">F766+F812</f>
        <v>6077.6991379999999</v>
      </c>
      <c r="G1025" s="23">
        <f t="shared" si="748"/>
        <v>6167.8379490000007</v>
      </c>
      <c r="H1025" s="23">
        <f t="shared" si="748"/>
        <v>5928.4017309999999</v>
      </c>
      <c r="I1025" s="23">
        <f t="shared" si="748"/>
        <v>6255.900294</v>
      </c>
      <c r="J1025" s="23">
        <f t="shared" si="748"/>
        <v>5678.0972780000002</v>
      </c>
      <c r="K1025" s="23">
        <f t="shared" si="748"/>
        <v>6890.7131930000005</v>
      </c>
      <c r="L1025" s="23">
        <f t="shared" si="748"/>
        <v>5905.6189640000002</v>
      </c>
      <c r="M1025" s="23">
        <f t="shared" si="748"/>
        <v>6144.1487730000008</v>
      </c>
      <c r="N1025" s="23">
        <f t="shared" si="748"/>
        <v>6681.7542119999998</v>
      </c>
      <c r="O1025" s="23">
        <f t="shared" si="748"/>
        <v>5776.8476359999995</v>
      </c>
      <c r="P1025" s="23">
        <f t="shared" si="748"/>
        <v>5839.2529020000002</v>
      </c>
      <c r="Q1025" s="23">
        <f t="shared" si="748"/>
        <v>5372.7528050000001</v>
      </c>
      <c r="R1025" s="23">
        <f>SUM(F1025:Q1025)</f>
        <v>72719.024875000003</v>
      </c>
      <c r="S1025" s="36"/>
      <c r="U1025" s="23"/>
    </row>
    <row r="1026" spans="2:21" x14ac:dyDescent="0.2">
      <c r="B1026" s="80" t="s">
        <v>238</v>
      </c>
      <c r="R1026" s="23">
        <f>SUM(F1026:Q1026)</f>
        <v>0</v>
      </c>
      <c r="S1026" s="36"/>
      <c r="U1026" s="23"/>
    </row>
    <row r="1027" spans="2:21" x14ac:dyDescent="0.2">
      <c r="B1027" s="80" t="s">
        <v>163</v>
      </c>
      <c r="F1027" s="24">
        <f>SUM(F1013:F1026)</f>
        <v>8660316.0213044174</v>
      </c>
      <c r="G1027" s="24">
        <f t="shared" ref="G1027:R1027" si="749">SUM(G1013:G1026)</f>
        <v>8310785.5380071476</v>
      </c>
      <c r="H1027" s="24">
        <f t="shared" si="749"/>
        <v>11991968.221108489</v>
      </c>
      <c r="I1027" s="24">
        <f t="shared" si="749"/>
        <v>23174582.783060264</v>
      </c>
      <c r="J1027" s="24">
        <f t="shared" si="749"/>
        <v>35477133.112020493</v>
      </c>
      <c r="K1027" s="24">
        <f t="shared" si="749"/>
        <v>42700225.568895511</v>
      </c>
      <c r="L1027" s="24">
        <f t="shared" si="749"/>
        <v>46331827.830263607</v>
      </c>
      <c r="M1027" s="24">
        <f t="shared" si="749"/>
        <v>35793457.917591415</v>
      </c>
      <c r="N1027" s="24">
        <f t="shared" si="749"/>
        <v>36940639.789656095</v>
      </c>
      <c r="O1027" s="24">
        <f t="shared" ref="O1027:Q1027" si="750">SUM(O1013:O1026)</f>
        <v>25383528.387371566</v>
      </c>
      <c r="P1027" s="24">
        <f t="shared" si="750"/>
        <v>16365294.765867658</v>
      </c>
      <c r="Q1027" s="24">
        <f t="shared" si="750"/>
        <v>10822545.53645627</v>
      </c>
      <c r="R1027" s="684">
        <f t="shared" si="749"/>
        <v>301952305.47160286</v>
      </c>
      <c r="S1027" s="36"/>
    </row>
    <row r="1028" spans="2:21" s="30" customFormat="1" x14ac:dyDescent="0.2">
      <c r="B1028" s="30" t="s">
        <v>114</v>
      </c>
      <c r="F1028" s="693">
        <f>F1027-F988-F989</f>
        <v>2.7216557896281302E-9</v>
      </c>
      <c r="G1028" s="693">
        <f t="shared" ref="G1028:R1028" si="751">G1027-G988-G989</f>
        <v>-8.2643225596257253E-11</v>
      </c>
      <c r="H1028" s="693">
        <f t="shared" si="751"/>
        <v>2.3055832798490883E-9</v>
      </c>
      <c r="I1028" s="693">
        <f t="shared" si="751"/>
        <v>6.3882623635436175E-9</v>
      </c>
      <c r="J1028" s="693">
        <f t="shared" si="751"/>
        <v>-8.7501916823384818E-9</v>
      </c>
      <c r="K1028" s="693">
        <f t="shared" si="751"/>
        <v>3.1719764592708088E-9</v>
      </c>
      <c r="L1028" s="693">
        <f t="shared" si="751"/>
        <v>-5.3893245421932079E-10</v>
      </c>
      <c r="M1028" s="693">
        <f t="shared" si="751"/>
        <v>-2.1400182959041558E-8</v>
      </c>
      <c r="N1028" s="693">
        <f t="shared" si="751"/>
        <v>7.4505805969238281E-9</v>
      </c>
      <c r="O1028" s="693">
        <f t="shared" si="751"/>
        <v>-1.1175870895385742E-8</v>
      </c>
      <c r="P1028" s="693">
        <f t="shared" si="751"/>
        <v>0</v>
      </c>
      <c r="Q1028" s="693">
        <f t="shared" si="751"/>
        <v>1.862645149230957E-9</v>
      </c>
      <c r="R1028" s="693">
        <f t="shared" si="751"/>
        <v>-1.0652252058207523E-7</v>
      </c>
      <c r="S1028" s="31"/>
    </row>
    <row r="1029" spans="2:21" s="30" customFormat="1" x14ac:dyDescent="0.2">
      <c r="F1029" s="693"/>
      <c r="G1029" s="693"/>
      <c r="H1029" s="693"/>
      <c r="I1029" s="693"/>
      <c r="J1029" s="693"/>
      <c r="K1029" s="693"/>
      <c r="L1029" s="693"/>
      <c r="M1029" s="693"/>
      <c r="N1029" s="693"/>
      <c r="O1029" s="693"/>
      <c r="P1029" s="693"/>
      <c r="Q1029" s="693"/>
      <c r="R1029" s="693"/>
      <c r="S1029" s="31"/>
    </row>
    <row r="1030" spans="2:21" s="30" customFormat="1" x14ac:dyDescent="0.2">
      <c r="B1030" s="69" t="s">
        <v>555</v>
      </c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 s="31"/>
    </row>
    <row r="1031" spans="2:21" s="30" customFormat="1" x14ac:dyDescent="0.2">
      <c r="B1031" s="80" t="s">
        <v>155</v>
      </c>
      <c r="C1031"/>
      <c r="D1031"/>
      <c r="E1031"/>
      <c r="F1031" s="23">
        <f>F22</f>
        <v>9.1303136842105275</v>
      </c>
      <c r="G1031" s="23">
        <f t="shared" ref="G1031:Q1031" si="752">G22</f>
        <v>9.0734036842105272</v>
      </c>
      <c r="H1031" s="23">
        <f t="shared" si="752"/>
        <v>8.5604621052631575</v>
      </c>
      <c r="I1031" s="23">
        <f t="shared" si="752"/>
        <v>9.1082747368421053</v>
      </c>
      <c r="J1031" s="23">
        <f t="shared" si="752"/>
        <v>8.6602784210526309</v>
      </c>
      <c r="K1031" s="23">
        <f t="shared" si="752"/>
        <v>8.8432878947368412</v>
      </c>
      <c r="L1031" s="23">
        <f t="shared" si="752"/>
        <v>8.8158994736842118</v>
      </c>
      <c r="M1031" s="23">
        <f t="shared" si="752"/>
        <v>7.9979384210526314</v>
      </c>
      <c r="N1031" s="23">
        <f t="shared" si="752"/>
        <v>9.2384084210526307</v>
      </c>
      <c r="O1031" s="23">
        <f t="shared" si="752"/>
        <v>9.081405789473683</v>
      </c>
      <c r="P1031" s="23">
        <f t="shared" si="752"/>
        <v>9.0485131578947353</v>
      </c>
      <c r="Q1031" s="23">
        <f t="shared" si="752"/>
        <v>8.4591536842105253</v>
      </c>
      <c r="R1031" s="23">
        <f t="shared" ref="R1031:R1039" si="753">SUM(F1031:Q1031)</f>
        <v>106.01733947368419</v>
      </c>
      <c r="S1031" s="31"/>
    </row>
    <row r="1032" spans="2:21" s="30" customFormat="1" x14ac:dyDescent="0.2">
      <c r="B1032" s="80" t="s">
        <v>240</v>
      </c>
      <c r="C1032"/>
      <c r="D1032"/>
      <c r="E1032"/>
      <c r="F1032" s="34">
        <f>F43</f>
        <v>150705.52075592999</v>
      </c>
      <c r="G1032" s="34">
        <f t="shared" ref="G1032:Q1032" si="754">G43</f>
        <v>142770.67186459</v>
      </c>
      <c r="H1032" s="34">
        <f t="shared" si="754"/>
        <v>242670.94049376997</v>
      </c>
      <c r="I1032" s="34">
        <f t="shared" si="754"/>
        <v>517408.47134249995</v>
      </c>
      <c r="J1032" s="34">
        <f t="shared" si="754"/>
        <v>826646.66717480996</v>
      </c>
      <c r="K1032" s="34">
        <f t="shared" si="754"/>
        <v>992192.86964866996</v>
      </c>
      <c r="L1032" s="34">
        <f t="shared" si="754"/>
        <v>1089911.2211762399</v>
      </c>
      <c r="M1032" s="34">
        <f t="shared" si="754"/>
        <v>822454.4521751299</v>
      </c>
      <c r="N1032" s="34">
        <f t="shared" si="754"/>
        <v>850206.31191585003</v>
      </c>
      <c r="O1032" s="34">
        <f t="shared" si="754"/>
        <v>563523.58423655003</v>
      </c>
      <c r="P1032" s="34">
        <f t="shared" si="754"/>
        <v>346245.87684066</v>
      </c>
      <c r="Q1032" s="34">
        <f t="shared" si="754"/>
        <v>216076.66079906997</v>
      </c>
      <c r="R1032" s="23">
        <f t="shared" si="753"/>
        <v>6760813.248423771</v>
      </c>
      <c r="S1032" s="31"/>
    </row>
    <row r="1033" spans="2:21" s="30" customFormat="1" x14ac:dyDescent="0.2">
      <c r="B1033" s="80" t="s">
        <v>191</v>
      </c>
      <c r="C1033"/>
      <c r="D1033"/>
      <c r="E1033"/>
      <c r="F1033" s="34">
        <f>F63</f>
        <v>0.10097967999999999</v>
      </c>
      <c r="G1033" s="34">
        <f t="shared" ref="G1033:Q1033" si="755">G63</f>
        <v>0.10414089999999998</v>
      </c>
      <c r="H1033" s="34">
        <f t="shared" si="755"/>
        <v>0.26471294000000001</v>
      </c>
      <c r="I1033" s="34">
        <f t="shared" si="755"/>
        <v>0.59200010000000003</v>
      </c>
      <c r="J1033" s="34">
        <f t="shared" si="755"/>
        <v>0.76167465999999995</v>
      </c>
      <c r="K1033" s="34">
        <f t="shared" si="755"/>
        <v>0.76370367000000006</v>
      </c>
      <c r="L1033" s="34">
        <f t="shared" si="755"/>
        <v>0.63801714999999992</v>
      </c>
      <c r="M1033" s="34">
        <f t="shared" si="755"/>
        <v>8.4781229999999999E-2</v>
      </c>
      <c r="N1033" s="34">
        <f t="shared" si="755"/>
        <v>0</v>
      </c>
      <c r="O1033" s="34">
        <f t="shared" si="755"/>
        <v>0</v>
      </c>
      <c r="P1033" s="34">
        <f t="shared" si="755"/>
        <v>0</v>
      </c>
      <c r="Q1033" s="34">
        <f t="shared" si="755"/>
        <v>0</v>
      </c>
      <c r="R1033" s="23">
        <f t="shared" si="753"/>
        <v>3.3100103299999999</v>
      </c>
      <c r="S1033" s="31"/>
    </row>
    <row r="1034" spans="2:21" s="30" customFormat="1" x14ac:dyDescent="0.2">
      <c r="B1034" s="81" t="s">
        <v>154</v>
      </c>
      <c r="C1034"/>
      <c r="D1034"/>
      <c r="E1034"/>
      <c r="F1034" s="23">
        <f>F86+F109</f>
        <v>87292.555242240007</v>
      </c>
      <c r="G1034" s="23">
        <f t="shared" ref="G1034:Q1034" si="756">G86+G109</f>
        <v>85611.496288640003</v>
      </c>
      <c r="H1034" s="23">
        <f t="shared" si="756"/>
        <v>104212.03694272002</v>
      </c>
      <c r="I1034" s="23">
        <f t="shared" si="756"/>
        <v>184251.31190976</v>
      </c>
      <c r="J1034" s="23">
        <f t="shared" si="756"/>
        <v>277958.88054976001</v>
      </c>
      <c r="K1034" s="23">
        <f t="shared" si="756"/>
        <v>341393.93017216003</v>
      </c>
      <c r="L1034" s="23">
        <f t="shared" si="756"/>
        <v>367980.81990080007</v>
      </c>
      <c r="M1034" s="23">
        <f t="shared" si="756"/>
        <v>290902.51714303996</v>
      </c>
      <c r="N1034" s="23">
        <f t="shared" si="756"/>
        <v>297685.51755648002</v>
      </c>
      <c r="O1034" s="23">
        <f t="shared" si="756"/>
        <v>208928.85765440005</v>
      </c>
      <c r="P1034" s="23">
        <f t="shared" si="756"/>
        <v>139289.58744256003</v>
      </c>
      <c r="Q1034" s="23">
        <f t="shared" si="756"/>
        <v>101711.97847104001</v>
      </c>
      <c r="R1034" s="23">
        <f t="shared" si="753"/>
        <v>2487219.4892736003</v>
      </c>
      <c r="S1034" s="31"/>
    </row>
    <row r="1035" spans="2:21" s="30" customFormat="1" x14ac:dyDescent="0.2">
      <c r="B1035" s="80" t="s">
        <v>153</v>
      </c>
      <c r="C1035"/>
      <c r="D1035"/>
      <c r="E1035"/>
      <c r="F1035" s="23">
        <f>F193+F239</f>
        <v>19607.789604999998</v>
      </c>
      <c r="G1035" s="23">
        <f t="shared" ref="G1035:Q1035" si="757">G193+G239</f>
        <v>18836.4984712</v>
      </c>
      <c r="H1035" s="23">
        <f t="shared" si="757"/>
        <v>22332.06259342</v>
      </c>
      <c r="I1035" s="23">
        <f t="shared" si="757"/>
        <v>33201.076851320002</v>
      </c>
      <c r="J1035" s="23">
        <f t="shared" si="757"/>
        <v>41708.473703119998</v>
      </c>
      <c r="K1035" s="23">
        <f t="shared" si="757"/>
        <v>48336.118769359993</v>
      </c>
      <c r="L1035" s="23">
        <f t="shared" si="757"/>
        <v>50999.365210539996</v>
      </c>
      <c r="M1035" s="23">
        <f t="shared" si="757"/>
        <v>42758.022259320001</v>
      </c>
      <c r="N1035" s="23">
        <f t="shared" si="757"/>
        <v>44677.540408200002</v>
      </c>
      <c r="O1035" s="23">
        <f t="shared" si="757"/>
        <v>35740.046796819996</v>
      </c>
      <c r="P1035" s="23">
        <f t="shared" si="757"/>
        <v>27876.495462039999</v>
      </c>
      <c r="Q1035" s="23">
        <f t="shared" si="757"/>
        <v>11800.428935399999</v>
      </c>
      <c r="R1035" s="23">
        <f t="shared" si="753"/>
        <v>397873.91906574002</v>
      </c>
      <c r="S1035" s="31"/>
    </row>
    <row r="1036" spans="2:21" s="30" customFormat="1" x14ac:dyDescent="0.2">
      <c r="B1036" s="80" t="s">
        <v>156</v>
      </c>
      <c r="C1036"/>
      <c r="D1036"/>
      <c r="E1036"/>
      <c r="F1036" s="23">
        <f>F362+F409</f>
        <v>2768.1180629500004</v>
      </c>
      <c r="G1036" s="23">
        <f t="shared" ref="G1036:Q1036" si="758">G362+G409</f>
        <v>2556.8694904399995</v>
      </c>
      <c r="H1036" s="23">
        <f t="shared" si="758"/>
        <v>3011.0236508899998</v>
      </c>
      <c r="I1036" s="23">
        <f t="shared" si="758"/>
        <v>4575.2007561800001</v>
      </c>
      <c r="J1036" s="23">
        <f t="shared" si="758"/>
        <v>5643.7419766900002</v>
      </c>
      <c r="K1036" s="23">
        <f t="shared" si="758"/>
        <v>6717.2622713200008</v>
      </c>
      <c r="L1036" s="23">
        <f t="shared" si="758"/>
        <v>6400.2433703899997</v>
      </c>
      <c r="M1036" s="23">
        <f t="shared" si="758"/>
        <v>5562.5345525400007</v>
      </c>
      <c r="N1036" s="23">
        <f t="shared" si="758"/>
        <v>5922.8734425699995</v>
      </c>
      <c r="O1036" s="23">
        <f t="shared" si="758"/>
        <v>4635.4958320299993</v>
      </c>
      <c r="P1036" s="23">
        <f t="shared" si="758"/>
        <v>3465.3991576600001</v>
      </c>
      <c r="Q1036" s="23">
        <f t="shared" si="758"/>
        <v>2720.0204364000001</v>
      </c>
      <c r="R1036" s="23">
        <f t="shared" si="753"/>
        <v>53978.783000060008</v>
      </c>
      <c r="S1036" s="31"/>
    </row>
    <row r="1037" spans="2:21" s="30" customFormat="1" x14ac:dyDescent="0.2">
      <c r="B1037" s="80" t="s">
        <v>157</v>
      </c>
      <c r="C1037"/>
      <c r="D1037"/>
      <c r="E1037"/>
      <c r="F1037" s="23">
        <f>F527+F571</f>
        <v>895.55869124999992</v>
      </c>
      <c r="G1037" s="23">
        <f t="shared" ref="G1037:Q1037" si="759">G527+G571</f>
        <v>830.17953314999988</v>
      </c>
      <c r="H1037" s="23">
        <f t="shared" si="759"/>
        <v>1576.00822055</v>
      </c>
      <c r="I1037" s="23">
        <f t="shared" si="759"/>
        <v>3387.4025902000003</v>
      </c>
      <c r="J1037" s="23">
        <f t="shared" si="759"/>
        <v>4352.6330335499997</v>
      </c>
      <c r="K1037" s="23">
        <f t="shared" si="759"/>
        <v>5399.2427649499987</v>
      </c>
      <c r="L1037" s="23">
        <f t="shared" si="759"/>
        <v>5297.1748554000005</v>
      </c>
      <c r="M1037" s="23">
        <f t="shared" si="759"/>
        <v>4434.1184163500002</v>
      </c>
      <c r="N1037" s="23">
        <f t="shared" si="759"/>
        <v>4679.6380188500007</v>
      </c>
      <c r="O1037" s="23">
        <f t="shared" si="759"/>
        <v>3603.3149182500006</v>
      </c>
      <c r="P1037" s="23">
        <f t="shared" si="759"/>
        <v>2026.7393968500003</v>
      </c>
      <c r="Q1037" s="23">
        <f t="shared" si="759"/>
        <v>1313.15400995</v>
      </c>
      <c r="R1037" s="23">
        <f t="shared" si="753"/>
        <v>37795.164449299999</v>
      </c>
      <c r="S1037" s="31"/>
    </row>
    <row r="1038" spans="2:21" s="30" customFormat="1" x14ac:dyDescent="0.2">
      <c r="B1038" s="80" t="s">
        <v>158</v>
      </c>
      <c r="C1038"/>
      <c r="D1038"/>
      <c r="E1038"/>
      <c r="F1038" s="23">
        <f>F661+F717</f>
        <v>2434.4295306800004</v>
      </c>
      <c r="G1038" s="23">
        <f t="shared" ref="G1038:Q1038" si="760">G661+G717</f>
        <v>2406.2906195999999</v>
      </c>
      <c r="H1038" s="23">
        <f t="shared" si="760"/>
        <v>2620.8571305</v>
      </c>
      <c r="I1038" s="23">
        <f t="shared" si="760"/>
        <v>3952.8630519399999</v>
      </c>
      <c r="J1038" s="23">
        <f t="shared" si="760"/>
        <v>4739.0237290200002</v>
      </c>
      <c r="K1038" s="23">
        <f t="shared" si="760"/>
        <v>5691.3045136399996</v>
      </c>
      <c r="L1038" s="23">
        <f t="shared" si="760"/>
        <v>5215.8327221400004</v>
      </c>
      <c r="M1038" s="23">
        <f t="shared" si="760"/>
        <v>4956.8169192400001</v>
      </c>
      <c r="N1038" s="23">
        <f t="shared" si="760"/>
        <v>4912.6811615400002</v>
      </c>
      <c r="O1038" s="23">
        <f t="shared" si="760"/>
        <v>4190.8332303200004</v>
      </c>
      <c r="P1038" s="23">
        <f t="shared" si="760"/>
        <v>3001.1346080400003</v>
      </c>
      <c r="Q1038" s="23">
        <f t="shared" si="760"/>
        <v>2889.7132119000003</v>
      </c>
      <c r="R1038" s="23">
        <f t="shared" si="753"/>
        <v>47011.780428560007</v>
      </c>
      <c r="S1038" s="31"/>
    </row>
    <row r="1039" spans="2:21" s="30" customFormat="1" x14ac:dyDescent="0.2">
      <c r="B1039" s="30" t="s">
        <v>389</v>
      </c>
      <c r="C1039"/>
      <c r="D1039"/>
      <c r="E1039"/>
      <c r="F1039" s="23">
        <f>F131+F153</f>
        <v>9.9041728000000013</v>
      </c>
      <c r="G1039" s="23">
        <f t="shared" ref="G1039:Q1039" si="761">G131+G153</f>
        <v>9.5712448000000023</v>
      </c>
      <c r="H1039" s="23">
        <f t="shared" si="761"/>
        <v>13.569644800000003</v>
      </c>
      <c r="I1039" s="23">
        <f t="shared" si="761"/>
        <v>41.7654912</v>
      </c>
      <c r="J1039" s="23">
        <f t="shared" si="761"/>
        <v>62.746048000000002</v>
      </c>
      <c r="K1039" s="23">
        <f t="shared" si="761"/>
        <v>87.312761600000002</v>
      </c>
      <c r="L1039" s="23">
        <f t="shared" si="761"/>
        <v>54.429049600000006</v>
      </c>
      <c r="M1039" s="23">
        <f t="shared" si="761"/>
        <v>71.268895999999998</v>
      </c>
      <c r="N1039" s="23">
        <f t="shared" si="761"/>
        <v>55.098278400000005</v>
      </c>
      <c r="O1039" s="23">
        <f t="shared" si="761"/>
        <v>38.271052800000007</v>
      </c>
      <c r="P1039" s="23">
        <f t="shared" si="761"/>
        <v>17.607430400000002</v>
      </c>
      <c r="Q1039" s="23">
        <f t="shared" si="761"/>
        <v>10.797747200000002</v>
      </c>
      <c r="R1039" s="23">
        <f t="shared" si="753"/>
        <v>472.34181760000001</v>
      </c>
      <c r="S1039" s="31"/>
    </row>
    <row r="1040" spans="2:21" s="30" customFormat="1" x14ac:dyDescent="0.2">
      <c r="B1040" t="s">
        <v>272</v>
      </c>
      <c r="C1040"/>
      <c r="D1040"/>
      <c r="E1040"/>
      <c r="F1040" s="23">
        <f>F281+F319</f>
        <v>8765.1999285999991</v>
      </c>
      <c r="G1040" s="23">
        <f t="shared" ref="G1040:Q1040" si="762">G281+G319</f>
        <v>9056.2128916000001</v>
      </c>
      <c r="H1040" s="23">
        <f t="shared" si="762"/>
        <v>8559.5880632000008</v>
      </c>
      <c r="I1040" s="23">
        <f t="shared" si="762"/>
        <v>9873.6287463999997</v>
      </c>
      <c r="J1040" s="23">
        <f t="shared" si="762"/>
        <v>10464.05968998</v>
      </c>
      <c r="K1040" s="23">
        <f t="shared" si="762"/>
        <v>10823.770133400001</v>
      </c>
      <c r="L1040" s="23">
        <f t="shared" si="762"/>
        <v>11799.178902</v>
      </c>
      <c r="M1040" s="23">
        <f t="shared" si="762"/>
        <v>10870.999837399999</v>
      </c>
      <c r="N1040" s="23">
        <f t="shared" si="762"/>
        <v>11841.384338799999</v>
      </c>
      <c r="O1040" s="23">
        <f t="shared" si="762"/>
        <v>10548.4994928</v>
      </c>
      <c r="P1040" s="23">
        <f t="shared" si="762"/>
        <v>9258.7046805999998</v>
      </c>
      <c r="Q1040" s="23">
        <f t="shared" si="762"/>
        <v>7900.2053034</v>
      </c>
      <c r="R1040" s="23">
        <f>SUM(F1040:Q1040)</f>
        <v>119761.43200818</v>
      </c>
      <c r="S1040" s="31"/>
    </row>
    <row r="1041" spans="2:21" s="30" customFormat="1" x14ac:dyDescent="0.2">
      <c r="B1041" t="s">
        <v>273</v>
      </c>
      <c r="C1041"/>
      <c r="D1041"/>
      <c r="E1041"/>
      <c r="F1041" s="23">
        <f>F450+F487</f>
        <v>19369.337813900001</v>
      </c>
      <c r="G1041" s="23">
        <f t="shared" ref="G1041:Q1041" si="763">G450+G487</f>
        <v>21077.585386700001</v>
      </c>
      <c r="H1041" s="23">
        <f t="shared" si="763"/>
        <v>20504.694691100001</v>
      </c>
      <c r="I1041" s="23">
        <f t="shared" si="763"/>
        <v>22999.406638199998</v>
      </c>
      <c r="J1041" s="23">
        <f t="shared" si="763"/>
        <v>21373.417861400001</v>
      </c>
      <c r="K1041" s="23">
        <f t="shared" si="763"/>
        <v>22337.642972199999</v>
      </c>
      <c r="L1041" s="23">
        <f t="shared" si="763"/>
        <v>22102.915712400001</v>
      </c>
      <c r="M1041" s="23">
        <f t="shared" si="763"/>
        <v>20129.968929100003</v>
      </c>
      <c r="N1041" s="23">
        <f t="shared" si="763"/>
        <v>23094.8442985</v>
      </c>
      <c r="O1041" s="23">
        <f t="shared" si="763"/>
        <v>20432.242465200001</v>
      </c>
      <c r="P1041" s="23">
        <f t="shared" si="763"/>
        <v>20257.6319219</v>
      </c>
      <c r="Q1041" s="23">
        <f t="shared" si="763"/>
        <v>19808.6746766</v>
      </c>
      <c r="R1041" s="23">
        <f>SUM(F1041:Q1041)</f>
        <v>253488.36336719999</v>
      </c>
      <c r="S1041" s="31"/>
    </row>
    <row r="1042" spans="2:21" s="30" customFormat="1" x14ac:dyDescent="0.2">
      <c r="B1042" s="83" t="s">
        <v>328</v>
      </c>
      <c r="C1042"/>
      <c r="D1042"/>
      <c r="E1042"/>
      <c r="F1042" s="23">
        <f>F609</f>
        <v>103.06778150000001</v>
      </c>
      <c r="G1042" s="23">
        <f t="shared" ref="G1042:Q1042" si="764">G609</f>
        <v>78.642914999999988</v>
      </c>
      <c r="H1042" s="23">
        <f t="shared" si="764"/>
        <v>59.13335</v>
      </c>
      <c r="I1042" s="23">
        <f t="shared" si="764"/>
        <v>130.136281</v>
      </c>
      <c r="J1042" s="23">
        <f t="shared" si="764"/>
        <v>118.638623</v>
      </c>
      <c r="K1042" s="23">
        <f t="shared" si="764"/>
        <v>123.634642</v>
      </c>
      <c r="L1042" s="23">
        <f t="shared" si="764"/>
        <v>204.77735100000001</v>
      </c>
      <c r="M1042" s="23">
        <f t="shared" si="764"/>
        <v>218.3060605</v>
      </c>
      <c r="N1042" s="23">
        <f t="shared" si="764"/>
        <v>169.42653049999998</v>
      </c>
      <c r="O1042" s="23">
        <f t="shared" si="764"/>
        <v>102.859825</v>
      </c>
      <c r="P1042" s="23">
        <f t="shared" si="764"/>
        <v>76.207197000000008</v>
      </c>
      <c r="Q1042" s="23">
        <f t="shared" si="764"/>
        <v>86.911748500000002</v>
      </c>
      <c r="R1042" s="23">
        <f>SUM(F1042:Q1042)</f>
        <v>1471.7423049999998</v>
      </c>
      <c r="S1042" s="31"/>
    </row>
    <row r="1043" spans="2:21" s="30" customFormat="1" x14ac:dyDescent="0.2">
      <c r="B1043" t="s">
        <v>274</v>
      </c>
      <c r="C1043"/>
      <c r="D1043"/>
      <c r="E1043"/>
      <c r="F1043" s="23">
        <f>F767+F813</f>
        <v>17538.5032268</v>
      </c>
      <c r="G1043" s="23">
        <f t="shared" ref="G1043:Q1043" si="765">G767+G813</f>
        <v>17798.618081400004</v>
      </c>
      <c r="H1043" s="23">
        <f t="shared" si="765"/>
        <v>17107.673566600002</v>
      </c>
      <c r="I1043" s="23">
        <f t="shared" si="765"/>
        <v>18052.740848400001</v>
      </c>
      <c r="J1043" s="23">
        <f t="shared" si="765"/>
        <v>16385.366430800001</v>
      </c>
      <c r="K1043" s="23">
        <f t="shared" si="765"/>
        <v>19884.629499800001</v>
      </c>
      <c r="L1043" s="23">
        <f t="shared" si="765"/>
        <v>17041.929010400003</v>
      </c>
      <c r="M1043" s="23">
        <f t="shared" si="765"/>
        <v>17730.257887800002</v>
      </c>
      <c r="N1043" s="23">
        <f t="shared" si="765"/>
        <v>19281.6335832</v>
      </c>
      <c r="O1043" s="23">
        <f t="shared" si="765"/>
        <v>16670.331749599998</v>
      </c>
      <c r="P1043" s="23">
        <f t="shared" si="765"/>
        <v>16850.415517199999</v>
      </c>
      <c r="Q1043" s="23">
        <f t="shared" si="765"/>
        <v>15504.229523000002</v>
      </c>
      <c r="R1043" s="23">
        <f>SUM(F1043:Q1043)</f>
        <v>209846.32892499998</v>
      </c>
      <c r="S1043" s="31"/>
    </row>
    <row r="1044" spans="2:21" s="30" customFormat="1" x14ac:dyDescent="0.2">
      <c r="B1044" s="80" t="s">
        <v>238</v>
      </c>
      <c r="C1044"/>
      <c r="D1044"/>
      <c r="E1044"/>
      <c r="F1044" s="23">
        <f>F856</f>
        <v>0</v>
      </c>
      <c r="G1044" s="23">
        <f t="shared" ref="G1044:Q1044" si="766">G856</f>
        <v>0</v>
      </c>
      <c r="H1044" s="23">
        <f t="shared" si="766"/>
        <v>0</v>
      </c>
      <c r="I1044" s="23">
        <f t="shared" si="766"/>
        <v>0</v>
      </c>
      <c r="J1044" s="23">
        <f t="shared" si="766"/>
        <v>0</v>
      </c>
      <c r="K1044" s="23">
        <f t="shared" si="766"/>
        <v>0</v>
      </c>
      <c r="L1044" s="23">
        <f t="shared" si="766"/>
        <v>0</v>
      </c>
      <c r="M1044" s="23">
        <f t="shared" si="766"/>
        <v>0</v>
      </c>
      <c r="N1044" s="23">
        <f t="shared" si="766"/>
        <v>0</v>
      </c>
      <c r="O1044" s="23">
        <f t="shared" si="766"/>
        <v>0</v>
      </c>
      <c r="P1044" s="23">
        <f t="shared" si="766"/>
        <v>0</v>
      </c>
      <c r="Q1044" s="23">
        <f t="shared" si="766"/>
        <v>0</v>
      </c>
      <c r="R1044" s="23">
        <f>SUM(F1044:Q1044)</f>
        <v>0</v>
      </c>
      <c r="S1044" s="31"/>
    </row>
    <row r="1045" spans="2:21" s="30" customFormat="1" x14ac:dyDescent="0.2">
      <c r="B1045" s="80" t="s">
        <v>163</v>
      </c>
      <c r="C1045"/>
      <c r="D1045"/>
      <c r="E1045"/>
      <c r="F1045" s="24">
        <f>SUM(F1031:F1044)</f>
        <v>309499.2161050142</v>
      </c>
      <c r="G1045" s="24">
        <f t="shared" ref="G1045:R1045" si="767">SUM(G1031:G1044)</f>
        <v>301041.81433170417</v>
      </c>
      <c r="H1045" s="24">
        <f t="shared" si="767"/>
        <v>422676.41352259525</v>
      </c>
      <c r="I1045" s="24">
        <f t="shared" si="767"/>
        <v>797883.70478193683</v>
      </c>
      <c r="J1045" s="24">
        <f t="shared" si="767"/>
        <v>1209463.0707732108</v>
      </c>
      <c r="K1045" s="24">
        <f t="shared" si="767"/>
        <v>1452997.3251406648</v>
      </c>
      <c r="L1045" s="24">
        <f t="shared" si="767"/>
        <v>1577017.3411775338</v>
      </c>
      <c r="M1045" s="24">
        <f t="shared" si="767"/>
        <v>1220097.3457960708</v>
      </c>
      <c r="N1045" s="24">
        <f t="shared" si="767"/>
        <v>1262536.1879413114</v>
      </c>
      <c r="O1045" s="24">
        <f t="shared" si="767"/>
        <v>868423.41865955957</v>
      </c>
      <c r="P1045" s="24">
        <f t="shared" si="767"/>
        <v>568374.84816806787</v>
      </c>
      <c r="Q1045" s="24">
        <f t="shared" si="767"/>
        <v>379831.23401614418</v>
      </c>
      <c r="R1045" s="684">
        <f t="shared" si="767"/>
        <v>10369841.920413816</v>
      </c>
      <c r="S1045" s="31"/>
    </row>
    <row r="1046" spans="2:21" s="30" customFormat="1" x14ac:dyDescent="0.2">
      <c r="B1046" s="30" t="s">
        <v>114</v>
      </c>
      <c r="F1046" s="693">
        <f>F1045-F992</f>
        <v>0</v>
      </c>
      <c r="G1046" s="693">
        <f t="shared" ref="G1046:R1046" si="768">G1045-G992</f>
        <v>0</v>
      </c>
      <c r="H1046" s="693">
        <f t="shared" si="768"/>
        <v>0</v>
      </c>
      <c r="I1046" s="693">
        <f t="shared" si="768"/>
        <v>0</v>
      </c>
      <c r="J1046" s="693">
        <f t="shared" si="768"/>
        <v>0</v>
      </c>
      <c r="K1046" s="693">
        <f t="shared" si="768"/>
        <v>0</v>
      </c>
      <c r="L1046" s="693">
        <f t="shared" si="768"/>
        <v>0</v>
      </c>
      <c r="M1046" s="693">
        <f t="shared" si="768"/>
        <v>0</v>
      </c>
      <c r="N1046" s="693">
        <f t="shared" si="768"/>
        <v>0</v>
      </c>
      <c r="O1046" s="693">
        <f t="shared" si="768"/>
        <v>0</v>
      </c>
      <c r="P1046" s="693">
        <f t="shared" si="768"/>
        <v>0</v>
      </c>
      <c r="Q1046" s="693">
        <f t="shared" si="768"/>
        <v>0</v>
      </c>
      <c r="R1046" s="693">
        <f t="shared" si="768"/>
        <v>0</v>
      </c>
      <c r="S1046" s="31"/>
    </row>
    <row r="1047" spans="2:21" s="30" customFormat="1" x14ac:dyDescent="0.2">
      <c r="F1047" s="693"/>
      <c r="G1047" s="693"/>
      <c r="H1047" s="693"/>
      <c r="I1047" s="693"/>
      <c r="J1047" s="693"/>
      <c r="K1047" s="693"/>
      <c r="L1047" s="693"/>
      <c r="M1047" s="693"/>
      <c r="N1047" s="693"/>
      <c r="O1047" s="693"/>
      <c r="P1047" s="693"/>
      <c r="Q1047" s="693"/>
      <c r="R1047" s="693"/>
      <c r="S1047" s="31"/>
    </row>
    <row r="1048" spans="2:21" x14ac:dyDescent="0.2">
      <c r="B1048" s="69" t="s">
        <v>164</v>
      </c>
      <c r="S1048" s="31"/>
    </row>
    <row r="1049" spans="2:21" x14ac:dyDescent="0.2">
      <c r="B1049" s="80" t="s">
        <v>155</v>
      </c>
      <c r="F1049" s="23">
        <f>F995+F1013+F1031</f>
        <v>700.42549263157889</v>
      </c>
      <c r="G1049" s="23">
        <f t="shared" ref="G1049:Q1049" si="769">G995+G1013+G1031</f>
        <v>696.05968263157899</v>
      </c>
      <c r="H1049" s="23">
        <f t="shared" si="769"/>
        <v>656.7097357894736</v>
      </c>
      <c r="I1049" s="23">
        <f t="shared" si="769"/>
        <v>698.73479052631569</v>
      </c>
      <c r="J1049" s="23">
        <f t="shared" si="769"/>
        <v>664.36707315789477</v>
      </c>
      <c r="K1049" s="23">
        <f t="shared" si="769"/>
        <v>678.40651421052632</v>
      </c>
      <c r="L1049" s="23">
        <f t="shared" si="769"/>
        <v>676.30543105263166</v>
      </c>
      <c r="M1049" s="23">
        <f t="shared" si="769"/>
        <v>613.55613315789469</v>
      </c>
      <c r="N1049" s="23">
        <f t="shared" si="769"/>
        <v>708.71790315789474</v>
      </c>
      <c r="O1049" s="23">
        <f t="shared" si="769"/>
        <v>696.67355842105258</v>
      </c>
      <c r="P1049" s="23">
        <f t="shared" si="769"/>
        <v>694.15022368421035</v>
      </c>
      <c r="Q1049" s="23">
        <f t="shared" si="769"/>
        <v>648.93793263157886</v>
      </c>
      <c r="R1049" s="23">
        <f t="shared" ref="R1049:R1062" si="770">SUM(F1049:Q1049)</f>
        <v>8133.0444710526317</v>
      </c>
      <c r="S1049" s="36"/>
      <c r="U1049" s="23"/>
    </row>
    <row r="1050" spans="2:21" x14ac:dyDescent="0.2">
      <c r="B1050" s="80" t="s">
        <v>240</v>
      </c>
      <c r="F1050" s="23">
        <f t="shared" ref="F1050:Q1062" si="771">F996+F1014+F1032</f>
        <v>17895476.38560136</v>
      </c>
      <c r="G1050" s="23">
        <f t="shared" si="771"/>
        <v>17500412.892721012</v>
      </c>
      <c r="H1050" s="23">
        <f t="shared" si="771"/>
        <v>23090830.501611918</v>
      </c>
      <c r="I1050" s="23">
        <f t="shared" si="771"/>
        <v>40239162.637023941</v>
      </c>
      <c r="J1050" s="23">
        <f t="shared" si="771"/>
        <v>58725833.395403244</v>
      </c>
      <c r="K1050" s="23">
        <f t="shared" si="771"/>
        <v>69096672.586960167</v>
      </c>
      <c r="L1050" s="23">
        <f t="shared" si="771"/>
        <v>75092740.454523966</v>
      </c>
      <c r="M1050" s="23">
        <f t="shared" si="771"/>
        <v>57986934.766775168</v>
      </c>
      <c r="N1050" s="23">
        <f t="shared" si="771"/>
        <v>60784752.731697656</v>
      </c>
      <c r="O1050" s="23">
        <f t="shared" si="771"/>
        <v>43139498.076193944</v>
      </c>
      <c r="P1050" s="23">
        <f t="shared" si="771"/>
        <v>29926771.145883936</v>
      </c>
      <c r="Q1050" s="23">
        <f t="shared" si="771"/>
        <v>21605207.176652629</v>
      </c>
      <c r="R1050" s="23">
        <f t="shared" si="770"/>
        <v>515084292.75104892</v>
      </c>
      <c r="S1050" s="36"/>
      <c r="U1050" s="23"/>
    </row>
    <row r="1051" spans="2:21" x14ac:dyDescent="0.2">
      <c r="B1051" s="80" t="s">
        <v>191</v>
      </c>
      <c r="F1051" s="23">
        <f t="shared" si="771"/>
        <v>57.686039294227399</v>
      </c>
      <c r="G1051" s="23">
        <f t="shared" si="771"/>
        <v>59.538079194654998</v>
      </c>
      <c r="H1051" s="23">
        <f t="shared" si="771"/>
        <v>132.59050736013609</v>
      </c>
      <c r="I1051" s="23">
        <f t="shared" si="771"/>
        <v>283.95237312507294</v>
      </c>
      <c r="J1051" s="23">
        <f t="shared" si="771"/>
        <v>362.11806361479103</v>
      </c>
      <c r="K1051" s="23">
        <f t="shared" si="771"/>
        <v>362.66863023050541</v>
      </c>
      <c r="L1051" s="23">
        <f t="shared" si="771"/>
        <v>307.55199095</v>
      </c>
      <c r="M1051" s="23">
        <f t="shared" si="771"/>
        <v>41.812365589999992</v>
      </c>
      <c r="N1051" s="23">
        <f t="shared" si="771"/>
        <v>0</v>
      </c>
      <c r="O1051" s="23">
        <f t="shared" si="771"/>
        <v>0</v>
      </c>
      <c r="P1051" s="23">
        <f t="shared" si="771"/>
        <v>0</v>
      </c>
      <c r="Q1051" s="23">
        <f t="shared" si="771"/>
        <v>0</v>
      </c>
      <c r="R1051" s="23">
        <f t="shared" si="770"/>
        <v>1607.9180493593876</v>
      </c>
      <c r="S1051" s="36"/>
      <c r="U1051" s="23"/>
    </row>
    <row r="1052" spans="2:21" x14ac:dyDescent="0.2">
      <c r="B1052" s="81" t="s">
        <v>154</v>
      </c>
      <c r="F1052" s="23">
        <f t="shared" si="771"/>
        <v>6954375.5030576047</v>
      </c>
      <c r="G1052" s="23">
        <f t="shared" si="771"/>
        <v>6882918.6663720962</v>
      </c>
      <c r="H1052" s="23">
        <f t="shared" si="771"/>
        <v>7855608.0228288267</v>
      </c>
      <c r="I1052" s="23">
        <f t="shared" si="771"/>
        <v>12592466.18425346</v>
      </c>
      <c r="J1052" s="23">
        <f t="shared" si="771"/>
        <v>17972485.787997007</v>
      </c>
      <c r="K1052" s="23">
        <f t="shared" si="771"/>
        <v>21729305.708811186</v>
      </c>
      <c r="L1052" s="23">
        <f t="shared" si="771"/>
        <v>23277668.363565966</v>
      </c>
      <c r="M1052" s="23">
        <f t="shared" si="771"/>
        <v>18623059.211536683</v>
      </c>
      <c r="N1052" s="23">
        <f t="shared" si="771"/>
        <v>19257350.356838696</v>
      </c>
      <c r="O1052" s="23">
        <f t="shared" si="771"/>
        <v>14049213.973122582</v>
      </c>
      <c r="P1052" s="23">
        <f t="shared" si="771"/>
        <v>10005719.674492661</v>
      </c>
      <c r="Q1052" s="23">
        <f t="shared" si="771"/>
        <v>7728491.3400269421</v>
      </c>
      <c r="R1052" s="23">
        <f t="shared" si="770"/>
        <v>166928662.79290375</v>
      </c>
      <c r="S1052" s="36"/>
      <c r="U1052" s="23"/>
    </row>
    <row r="1053" spans="2:21" x14ac:dyDescent="0.2">
      <c r="B1053" s="80" t="s">
        <v>153</v>
      </c>
      <c r="F1053" s="23">
        <f t="shared" si="771"/>
        <v>2079136.8186312814</v>
      </c>
      <c r="G1053" s="23">
        <f t="shared" si="771"/>
        <v>2008261.426441601</v>
      </c>
      <c r="H1053" s="23">
        <f t="shared" si="771"/>
        <v>2150489.0498591145</v>
      </c>
      <c r="I1053" s="23">
        <f t="shared" si="771"/>
        <v>2789676.2896580603</v>
      </c>
      <c r="J1053" s="23">
        <f t="shared" si="771"/>
        <v>3226877.1488860208</v>
      </c>
      <c r="K1053" s="23">
        <f t="shared" si="771"/>
        <v>3644104.4513044031</v>
      </c>
      <c r="L1053" s="23">
        <f t="shared" si="771"/>
        <v>3798578.8847787483</v>
      </c>
      <c r="M1053" s="23">
        <f t="shared" si="771"/>
        <v>3271259.0401445343</v>
      </c>
      <c r="N1053" s="23">
        <f t="shared" si="771"/>
        <v>3455958.1746310689</v>
      </c>
      <c r="O1053" s="23">
        <f t="shared" si="771"/>
        <v>2935753.370015665</v>
      </c>
      <c r="P1053" s="23">
        <f t="shared" si="771"/>
        <v>2480804.4599421779</v>
      </c>
      <c r="Q1053" s="23">
        <f t="shared" si="771"/>
        <v>1637633.0113892134</v>
      </c>
      <c r="R1053" s="23">
        <f t="shared" si="770"/>
        <v>33478532.125681892</v>
      </c>
      <c r="S1053" s="36"/>
      <c r="U1053" s="23"/>
    </row>
    <row r="1054" spans="2:21" x14ac:dyDescent="0.2">
      <c r="B1054" s="80" t="s">
        <v>156</v>
      </c>
      <c r="F1054" s="23">
        <f t="shared" si="771"/>
        <v>336511.0267554507</v>
      </c>
      <c r="G1054" s="23">
        <f t="shared" si="771"/>
        <v>313860.5664194831</v>
      </c>
      <c r="H1054" s="23">
        <f t="shared" si="771"/>
        <v>358909.18151254131</v>
      </c>
      <c r="I1054" s="23">
        <f t="shared" si="771"/>
        <v>521915.68074458803</v>
      </c>
      <c r="J1054" s="23">
        <f t="shared" si="771"/>
        <v>629177.38351590489</v>
      </c>
      <c r="K1054" s="23">
        <f t="shared" si="771"/>
        <v>737197.03348463785</v>
      </c>
      <c r="L1054" s="23">
        <f t="shared" si="771"/>
        <v>704620.65402878774</v>
      </c>
      <c r="M1054" s="23">
        <f t="shared" si="771"/>
        <v>618695.1361870009</v>
      </c>
      <c r="N1054" s="23">
        <f t="shared" si="771"/>
        <v>658171.74340305803</v>
      </c>
      <c r="O1054" s="23">
        <f t="shared" si="771"/>
        <v>527681.75537359214</v>
      </c>
      <c r="P1054" s="23">
        <f t="shared" si="771"/>
        <v>408736.68712224998</v>
      </c>
      <c r="Q1054" s="23">
        <f t="shared" si="771"/>
        <v>323438.66763620003</v>
      </c>
      <c r="R1054" s="23">
        <f t="shared" si="770"/>
        <v>6138915.5161834937</v>
      </c>
      <c r="S1054" s="36"/>
      <c r="U1054" s="23"/>
    </row>
    <row r="1055" spans="2:21" x14ac:dyDescent="0.2">
      <c r="B1055" s="80" t="s">
        <v>157</v>
      </c>
      <c r="F1055" s="23">
        <f t="shared" si="771"/>
        <v>143490.60337929369</v>
      </c>
      <c r="G1055" s="23">
        <f t="shared" si="771"/>
        <v>153157.67814795751</v>
      </c>
      <c r="H1055" s="23">
        <f t="shared" si="771"/>
        <v>221740.44463285877</v>
      </c>
      <c r="I1055" s="23">
        <f t="shared" si="771"/>
        <v>400058.23828687909</v>
      </c>
      <c r="J1055" s="23">
        <f t="shared" si="771"/>
        <v>495620.92233320058</v>
      </c>
      <c r="K1055" s="23">
        <f t="shared" si="771"/>
        <v>602771.40463722707</v>
      </c>
      <c r="L1055" s="23">
        <f t="shared" si="771"/>
        <v>592189.58007773082</v>
      </c>
      <c r="M1055" s="23">
        <f t="shared" si="771"/>
        <v>500464.18308792234</v>
      </c>
      <c r="N1055" s="23">
        <f t="shared" si="771"/>
        <v>532909.84189052135</v>
      </c>
      <c r="O1055" s="23">
        <f t="shared" si="771"/>
        <v>422100.92488032795</v>
      </c>
      <c r="P1055" s="23">
        <f t="shared" si="771"/>
        <v>260311.71756058</v>
      </c>
      <c r="Q1055" s="23">
        <f t="shared" si="771"/>
        <v>184357.49805006001</v>
      </c>
      <c r="R1055" s="23">
        <f t="shared" si="770"/>
        <v>4509173.0369645599</v>
      </c>
      <c r="S1055" s="36"/>
      <c r="U1055" s="23"/>
    </row>
    <row r="1056" spans="2:21" x14ac:dyDescent="0.2">
      <c r="B1056" s="80" t="s">
        <v>158</v>
      </c>
      <c r="F1056" s="23">
        <f t="shared" si="771"/>
        <v>393408.40213373076</v>
      </c>
      <c r="G1056" s="23">
        <f t="shared" si="771"/>
        <v>389196.13125797408</v>
      </c>
      <c r="H1056" s="23">
        <f t="shared" si="771"/>
        <v>462575.01001967199</v>
      </c>
      <c r="I1056" s="23">
        <f t="shared" si="771"/>
        <v>621251.56171628973</v>
      </c>
      <c r="J1056" s="23">
        <f t="shared" si="771"/>
        <v>740084.72121536708</v>
      </c>
      <c r="K1056" s="23">
        <f t="shared" si="771"/>
        <v>881888.17842896027</v>
      </c>
      <c r="L1056" s="23">
        <f t="shared" si="771"/>
        <v>810745.95910099172</v>
      </c>
      <c r="M1056" s="23">
        <f t="shared" si="771"/>
        <v>771885.92516783695</v>
      </c>
      <c r="N1056" s="23">
        <f t="shared" si="771"/>
        <v>766421.75157833996</v>
      </c>
      <c r="O1056" s="23">
        <f t="shared" si="771"/>
        <v>657985.80779310444</v>
      </c>
      <c r="P1056" s="23">
        <f t="shared" si="771"/>
        <v>479403.80963767</v>
      </c>
      <c r="Q1056" s="23">
        <f t="shared" si="771"/>
        <v>459653.94069274003</v>
      </c>
      <c r="R1056" s="23">
        <f t="shared" si="770"/>
        <v>7434501.1987426765</v>
      </c>
      <c r="S1056" s="36"/>
      <c r="U1056" s="23"/>
    </row>
    <row r="1057" spans="2:21" x14ac:dyDescent="0.2">
      <c r="B1057" s="30" t="s">
        <v>389</v>
      </c>
      <c r="C1057" s="21"/>
      <c r="F1057" s="23">
        <f t="shared" si="771"/>
        <v>1340.1652623</v>
      </c>
      <c r="G1057" s="23">
        <f t="shared" si="771"/>
        <v>1330.7915642999997</v>
      </c>
      <c r="H1057" s="23">
        <f t="shared" si="771"/>
        <v>1797.1378392999998</v>
      </c>
      <c r="I1057" s="23">
        <f t="shared" si="771"/>
        <v>2237.2312241999998</v>
      </c>
      <c r="J1057" s="23">
        <f t="shared" si="771"/>
        <v>2827.9457430000002</v>
      </c>
      <c r="K1057" s="23">
        <f t="shared" si="771"/>
        <v>3519.6407454204004</v>
      </c>
      <c r="L1057" s="23">
        <f t="shared" si="771"/>
        <v>2593.7779011000002</v>
      </c>
      <c r="M1057" s="23">
        <f t="shared" si="771"/>
        <v>3067.9093484999999</v>
      </c>
      <c r="N1057" s="23">
        <f t="shared" si="771"/>
        <v>2612.6202594000001</v>
      </c>
      <c r="O1057" s="23">
        <f t="shared" si="771"/>
        <v>2138.8441548000001</v>
      </c>
      <c r="P1057" s="23">
        <f t="shared" si="771"/>
        <v>1557.0530288999998</v>
      </c>
      <c r="Q1057" s="23">
        <f t="shared" si="771"/>
        <v>1365.3241452</v>
      </c>
      <c r="R1057" s="23">
        <f t="shared" si="770"/>
        <v>26388.441216420397</v>
      </c>
      <c r="S1057" s="36"/>
      <c r="U1057" s="23"/>
    </row>
    <row r="1058" spans="2:21" x14ac:dyDescent="0.2">
      <c r="B1058" t="s">
        <v>272</v>
      </c>
      <c r="F1058" s="23">
        <f t="shared" si="771"/>
        <v>323116.99922399997</v>
      </c>
      <c r="G1058" s="23">
        <f t="shared" si="771"/>
        <v>323401.11765850993</v>
      </c>
      <c r="H1058" s="23">
        <f t="shared" si="771"/>
        <v>314616.7699664</v>
      </c>
      <c r="I1058" s="23">
        <f t="shared" si="771"/>
        <v>339821.14276119997</v>
      </c>
      <c r="J1058" s="23">
        <f t="shared" si="771"/>
        <v>370414.45003344002</v>
      </c>
      <c r="K1058" s="23">
        <f t="shared" si="771"/>
        <v>368968.81636292755</v>
      </c>
      <c r="L1058" s="23">
        <f t="shared" si="771"/>
        <v>379235.07509440003</v>
      </c>
      <c r="M1058" s="23">
        <f t="shared" si="771"/>
        <v>362831.05546963401</v>
      </c>
      <c r="N1058" s="23">
        <f t="shared" si="771"/>
        <v>379999.29155999993</v>
      </c>
      <c r="O1058" s="23">
        <f t="shared" si="771"/>
        <v>357558.45135679992</v>
      </c>
      <c r="P1058" s="23">
        <f t="shared" si="771"/>
        <v>318478.60048279993</v>
      </c>
      <c r="Q1058" s="23">
        <f t="shared" si="771"/>
        <v>290365.36339959997</v>
      </c>
      <c r="R1058" s="23">
        <f t="shared" si="770"/>
        <v>4128807.1333697112</v>
      </c>
      <c r="S1058" s="36"/>
      <c r="U1058" s="23"/>
    </row>
    <row r="1059" spans="2:21" x14ac:dyDescent="0.2">
      <c r="B1059" t="s">
        <v>273</v>
      </c>
      <c r="F1059" s="23">
        <f t="shared" si="771"/>
        <v>581739.81162433256</v>
      </c>
      <c r="G1059" s="23">
        <f t="shared" si="771"/>
        <v>610605.08700773388</v>
      </c>
      <c r="H1059" s="23">
        <f t="shared" si="771"/>
        <v>600260.6895054999</v>
      </c>
      <c r="I1059" s="23">
        <f t="shared" si="771"/>
        <v>644326.81461469945</v>
      </c>
      <c r="J1059" s="23">
        <f t="shared" si="771"/>
        <v>619969.13977390015</v>
      </c>
      <c r="K1059" s="23">
        <f t="shared" si="771"/>
        <v>626981.89144150482</v>
      </c>
      <c r="L1059" s="23">
        <f t="shared" si="771"/>
        <v>620444.45209689997</v>
      </c>
      <c r="M1059" s="23">
        <f t="shared" si="771"/>
        <v>590745.78879380005</v>
      </c>
      <c r="N1059" s="23">
        <f t="shared" si="771"/>
        <v>644552.39645250002</v>
      </c>
      <c r="O1059" s="23">
        <f t="shared" si="771"/>
        <v>609547.04023881932</v>
      </c>
      <c r="P1059" s="23">
        <f t="shared" si="771"/>
        <v>601490.30222059996</v>
      </c>
      <c r="Q1059" s="23">
        <f t="shared" si="771"/>
        <v>593747.95705610001</v>
      </c>
      <c r="R1059" s="23">
        <f t="shared" si="770"/>
        <v>7344411.3708263896</v>
      </c>
      <c r="S1059" s="36"/>
      <c r="U1059" s="23"/>
    </row>
    <row r="1060" spans="2:21" x14ac:dyDescent="0.2">
      <c r="B1060" s="83" t="s">
        <v>328</v>
      </c>
      <c r="F1060" s="23">
        <f t="shared" si="771"/>
        <v>8941.2504589</v>
      </c>
      <c r="G1060" s="23">
        <f t="shared" si="771"/>
        <v>5482.2096490000004</v>
      </c>
      <c r="H1060" s="23">
        <f t="shared" si="771"/>
        <v>7443.3510100000003</v>
      </c>
      <c r="I1060" s="23">
        <f t="shared" si="771"/>
        <v>10508.8132286</v>
      </c>
      <c r="J1060" s="23">
        <f t="shared" si="771"/>
        <v>5958.9423538000001</v>
      </c>
      <c r="K1060" s="23">
        <f t="shared" si="771"/>
        <v>6129.2640578878136</v>
      </c>
      <c r="L1060" s="23">
        <f t="shared" si="771"/>
        <v>8895.7540706</v>
      </c>
      <c r="M1060" s="23">
        <f t="shared" si="771"/>
        <v>9357.0015662999995</v>
      </c>
      <c r="N1060" s="23">
        <f t="shared" si="771"/>
        <v>7690.5040482999993</v>
      </c>
      <c r="O1060" s="23">
        <f t="shared" si="771"/>
        <v>5420.9803950000005</v>
      </c>
      <c r="P1060" s="23">
        <f t="shared" si="771"/>
        <v>5427.2863382000005</v>
      </c>
      <c r="Q1060" s="23">
        <f t="shared" si="771"/>
        <v>4873.3711100999999</v>
      </c>
      <c r="R1060" s="23">
        <f t="shared" si="770"/>
        <v>86128.728286687823</v>
      </c>
      <c r="S1060" s="36"/>
      <c r="U1060" s="23"/>
    </row>
    <row r="1061" spans="2:21" x14ac:dyDescent="0.2">
      <c r="B1061" t="s">
        <v>274</v>
      </c>
      <c r="F1061" s="23">
        <f t="shared" si="771"/>
        <v>319958.64540410007</v>
      </c>
      <c r="G1061" s="23">
        <f t="shared" si="771"/>
        <v>322695.23954109999</v>
      </c>
      <c r="H1061" s="23">
        <f t="shared" si="771"/>
        <v>315297.23766029999</v>
      </c>
      <c r="I1061" s="23">
        <f t="shared" si="771"/>
        <v>326729.70688249997</v>
      </c>
      <c r="J1061" s="23">
        <f t="shared" si="771"/>
        <v>308078.13318299997</v>
      </c>
      <c r="K1061" s="23">
        <f t="shared" si="771"/>
        <v>346814.37059236865</v>
      </c>
      <c r="L1061" s="23">
        <f t="shared" si="771"/>
        <v>316158.90844250011</v>
      </c>
      <c r="M1061" s="23">
        <f t="shared" si="771"/>
        <v>323918.79316545883</v>
      </c>
      <c r="N1061" s="23">
        <f t="shared" si="771"/>
        <v>341080.94763399998</v>
      </c>
      <c r="O1061" s="23">
        <f t="shared" si="771"/>
        <v>312634.22373309999</v>
      </c>
      <c r="P1061" s="23">
        <f t="shared" si="771"/>
        <v>314234.87300969998</v>
      </c>
      <c r="Q1061" s="23">
        <f t="shared" si="771"/>
        <v>299322.9410239</v>
      </c>
      <c r="R1061" s="23">
        <f t="shared" si="770"/>
        <v>3846924.0202720272</v>
      </c>
      <c r="S1061" s="36"/>
      <c r="U1061" s="23"/>
    </row>
    <row r="1062" spans="2:21" x14ac:dyDescent="0.2">
      <c r="B1062" s="80" t="s">
        <v>238</v>
      </c>
      <c r="F1062" s="23">
        <f t="shared" si="771"/>
        <v>0</v>
      </c>
      <c r="G1062" s="23">
        <f t="shared" si="771"/>
        <v>0</v>
      </c>
      <c r="H1062" s="23">
        <f t="shared" si="771"/>
        <v>0</v>
      </c>
      <c r="I1062" s="23">
        <f t="shared" si="771"/>
        <v>0</v>
      </c>
      <c r="J1062" s="23">
        <f t="shared" si="771"/>
        <v>0</v>
      </c>
      <c r="K1062" s="23">
        <f t="shared" si="771"/>
        <v>0</v>
      </c>
      <c r="L1062" s="23">
        <f t="shared" si="771"/>
        <v>0</v>
      </c>
      <c r="M1062" s="23">
        <f t="shared" si="771"/>
        <v>0</v>
      </c>
      <c r="N1062" s="23">
        <f t="shared" si="771"/>
        <v>0</v>
      </c>
      <c r="O1062" s="23">
        <f t="shared" si="771"/>
        <v>0</v>
      </c>
      <c r="P1062" s="23">
        <f t="shared" si="771"/>
        <v>0</v>
      </c>
      <c r="Q1062" s="23">
        <f t="shared" si="771"/>
        <v>0</v>
      </c>
      <c r="R1062" s="23">
        <f t="shared" si="770"/>
        <v>0</v>
      </c>
      <c r="S1062" s="36"/>
      <c r="U1062" s="23"/>
    </row>
    <row r="1063" spans="2:21" x14ac:dyDescent="0.2">
      <c r="B1063" s="80" t="s">
        <v>214</v>
      </c>
      <c r="F1063" s="24">
        <f t="shared" ref="F1063:R1063" si="772">SUM(F1049:F1062)</f>
        <v>29038253.723064281</v>
      </c>
      <c r="G1063" s="24">
        <f t="shared" si="772"/>
        <v>28512077.404542595</v>
      </c>
      <c r="H1063" s="24">
        <f t="shared" si="772"/>
        <v>35380356.696689591</v>
      </c>
      <c r="I1063" s="24">
        <f t="shared" si="772"/>
        <v>58489136.987558074</v>
      </c>
      <c r="J1063" s="24">
        <f t="shared" si="772"/>
        <v>83098354.455574661</v>
      </c>
      <c r="K1063" s="24">
        <f t="shared" si="772"/>
        <v>98045394.421971157</v>
      </c>
      <c r="L1063" s="24">
        <f t="shared" si="772"/>
        <v>105604855.7211037</v>
      </c>
      <c r="M1063" s="24">
        <f t="shared" si="772"/>
        <v>83062874.179741606</v>
      </c>
      <c r="N1063" s="24">
        <f t="shared" si="772"/>
        <v>86832209.077896714</v>
      </c>
      <c r="O1063" s="24">
        <f t="shared" ref="O1063:Q1063" si="773">SUM(O1049:O1062)</f>
        <v>63020230.120816141</v>
      </c>
      <c r="P1063" s="24">
        <f t="shared" si="773"/>
        <v>44803629.75994315</v>
      </c>
      <c r="Q1063" s="24">
        <f t="shared" si="773"/>
        <v>33129105.529115323</v>
      </c>
      <c r="R1063" s="684">
        <f t="shared" si="772"/>
        <v>749016478.07801688</v>
      </c>
      <c r="S1063" s="36"/>
    </row>
    <row r="1064" spans="2:21" s="30" customFormat="1" x14ac:dyDescent="0.2">
      <c r="B1064" s="30" t="s">
        <v>114</v>
      </c>
      <c r="F1064" s="692">
        <f>F1063-F1009-F1027-F1045</f>
        <v>-3.8417056202888489E-9</v>
      </c>
      <c r="G1064" s="692">
        <f t="shared" ref="G1064:R1064" si="774">G1063-G1009-G1027-G1045</f>
        <v>2.4447217583656311E-9</v>
      </c>
      <c r="H1064" s="692">
        <f t="shared" si="774"/>
        <v>2.1536834537982941E-9</v>
      </c>
      <c r="I1064" s="692">
        <f t="shared" si="774"/>
        <v>-5.9371814131736755E-9</v>
      </c>
      <c r="J1064" s="692">
        <f t="shared" si="774"/>
        <v>3.2596290111541748E-9</v>
      </c>
      <c r="K1064" s="692">
        <f t="shared" si="774"/>
        <v>3.4924596548080444E-8</v>
      </c>
      <c r="L1064" s="692">
        <f t="shared" si="774"/>
        <v>1.1641532182693481E-8</v>
      </c>
      <c r="M1064" s="692">
        <f t="shared" si="774"/>
        <v>1.5133991837501526E-8</v>
      </c>
      <c r="N1064" s="692">
        <f t="shared" si="774"/>
        <v>1.6298145055770874E-8</v>
      </c>
      <c r="O1064" s="692">
        <f t="shared" si="774"/>
        <v>-1.0360963642597198E-8</v>
      </c>
      <c r="P1064" s="692">
        <f t="shared" si="774"/>
        <v>-7.6834112405776978E-9</v>
      </c>
      <c r="Q1064" s="692">
        <f t="shared" si="774"/>
        <v>4.6566128730773926E-10</v>
      </c>
      <c r="R1064" s="692">
        <f t="shared" si="774"/>
        <v>-8.3819031715393066E-8</v>
      </c>
      <c r="S1064" s="31"/>
    </row>
    <row r="1065" spans="2:21" x14ac:dyDescent="0.2">
      <c r="B1065" t="s">
        <v>114</v>
      </c>
      <c r="F1065" s="694">
        <f>F1063-SUM(F988:F990,F992)</f>
        <v>0</v>
      </c>
      <c r="G1065" s="694">
        <f t="shared" ref="G1065:R1065" si="775">G1063-SUM(G988:G990,G992)</f>
        <v>0</v>
      </c>
      <c r="H1065" s="694">
        <f t="shared" si="775"/>
        <v>0</v>
      </c>
      <c r="I1065" s="694">
        <f t="shared" si="775"/>
        <v>0</v>
      </c>
      <c r="J1065" s="694">
        <f t="shared" si="775"/>
        <v>0</v>
      </c>
      <c r="K1065" s="694">
        <f t="shared" si="775"/>
        <v>0</v>
      </c>
      <c r="L1065" s="694">
        <f t="shared" si="775"/>
        <v>0</v>
      </c>
      <c r="M1065" s="694">
        <f t="shared" si="775"/>
        <v>0</v>
      </c>
      <c r="N1065" s="694">
        <f t="shared" si="775"/>
        <v>0</v>
      </c>
      <c r="O1065" s="694">
        <f t="shared" si="775"/>
        <v>0</v>
      </c>
      <c r="P1065" s="694">
        <f t="shared" si="775"/>
        <v>0</v>
      </c>
      <c r="Q1065" s="694">
        <f t="shared" si="775"/>
        <v>0</v>
      </c>
      <c r="R1065" s="694">
        <f t="shared" si="775"/>
        <v>0</v>
      </c>
      <c r="S1065" s="31"/>
    </row>
    <row r="1066" spans="2:21" x14ac:dyDescent="0.2">
      <c r="F1066" s="23"/>
      <c r="G1066" s="23"/>
      <c r="H1066" s="23"/>
      <c r="I1066" s="23"/>
      <c r="J1066" s="23"/>
      <c r="K1066" s="23"/>
      <c r="L1066" s="23"/>
      <c r="M1066" s="23"/>
      <c r="N1066" s="23"/>
      <c r="O1066" s="23"/>
      <c r="P1066" s="23"/>
      <c r="Q1066" s="23"/>
      <c r="R1066" s="23"/>
      <c r="S1066" s="31"/>
    </row>
    <row r="1067" spans="2:21" x14ac:dyDescent="0.2">
      <c r="B1067" s="69" t="s">
        <v>344</v>
      </c>
      <c r="S1067" s="31"/>
    </row>
    <row r="1068" spans="2:21" x14ac:dyDescent="0.2">
      <c r="B1068" s="80" t="s">
        <v>155</v>
      </c>
      <c r="F1068" s="23">
        <f t="shared" ref="F1068:Q1068" si="776">F25</f>
        <v>257.3878905263158</v>
      </c>
      <c r="G1068" s="23">
        <f t="shared" si="776"/>
        <v>255.7835705263158</v>
      </c>
      <c r="H1068" s="23">
        <f t="shared" si="776"/>
        <v>241.32350315789472</v>
      </c>
      <c r="I1068" s="23">
        <f t="shared" si="776"/>
        <v>256.76660210526313</v>
      </c>
      <c r="J1068" s="23">
        <f t="shared" si="776"/>
        <v>244.13737263157893</v>
      </c>
      <c r="K1068" s="23">
        <f t="shared" si="776"/>
        <v>249.29649684210526</v>
      </c>
      <c r="L1068" s="23">
        <f t="shared" si="776"/>
        <v>248.52440421052634</v>
      </c>
      <c r="M1068" s="23">
        <f t="shared" si="776"/>
        <v>225.46569263157895</v>
      </c>
      <c r="N1068" s="23">
        <f t="shared" si="776"/>
        <v>260.43513263157894</v>
      </c>
      <c r="O1068" s="23">
        <f t="shared" si="776"/>
        <v>256.0091536842105</v>
      </c>
      <c r="P1068" s="23">
        <f t="shared" si="776"/>
        <v>255.08189473684209</v>
      </c>
      <c r="Q1068" s="23">
        <f t="shared" si="776"/>
        <v>238.46757052631577</v>
      </c>
      <c r="R1068" s="23">
        <f t="shared" ref="R1068:R1076" si="777">SUM(F1068:Q1068)</f>
        <v>2988.6792842105265</v>
      </c>
      <c r="S1068" s="36"/>
      <c r="U1068" s="23"/>
    </row>
    <row r="1069" spans="2:21" x14ac:dyDescent="0.2">
      <c r="B1069" s="80" t="s">
        <v>240</v>
      </c>
      <c r="F1069" s="34">
        <f t="shared" ref="F1069:Q1069" si="778">F46</f>
        <v>4191791.3801694</v>
      </c>
      <c r="G1069" s="34">
        <f t="shared" si="778"/>
        <v>3971087.9114522003</v>
      </c>
      <c r="H1069" s="34">
        <f t="shared" si="778"/>
        <v>6749759.0763566</v>
      </c>
      <c r="I1069" s="34">
        <f t="shared" si="778"/>
        <v>14391432.77115</v>
      </c>
      <c r="J1069" s="34">
        <f t="shared" si="778"/>
        <v>22992723.534799799</v>
      </c>
      <c r="K1069" s="34">
        <f t="shared" si="778"/>
        <v>27597300.335098602</v>
      </c>
      <c r="L1069" s="34">
        <f t="shared" si="778"/>
        <v>30315282.672859199</v>
      </c>
      <c r="M1069" s="34">
        <f t="shared" si="778"/>
        <v>22876119.374505401</v>
      </c>
      <c r="N1069" s="34">
        <f t="shared" si="778"/>
        <v>23648022.128043003</v>
      </c>
      <c r="O1069" s="34">
        <f t="shared" si="778"/>
        <v>15674099.336749</v>
      </c>
      <c r="P1069" s="34">
        <f t="shared" si="778"/>
        <v>9630639.1078428011</v>
      </c>
      <c r="Q1069" s="34">
        <f t="shared" si="778"/>
        <v>6010053.7767305998</v>
      </c>
      <c r="R1069" s="23">
        <f t="shared" si="777"/>
        <v>188048311.40575659</v>
      </c>
      <c r="S1069" s="36"/>
      <c r="U1069" s="23"/>
    </row>
    <row r="1070" spans="2:21" x14ac:dyDescent="0.2">
      <c r="B1070" s="80" t="s">
        <v>191</v>
      </c>
      <c r="F1070" s="34">
        <f t="shared" ref="F1070:Q1070" si="779">F66</f>
        <v>43.307671519999992</v>
      </c>
      <c r="G1070" s="34">
        <f t="shared" si="779"/>
        <v>44.663440099999995</v>
      </c>
      <c r="H1070" s="34">
        <f t="shared" si="779"/>
        <v>113.52879166000001</v>
      </c>
      <c r="I1070" s="34">
        <f t="shared" si="779"/>
        <v>253.89410890000002</v>
      </c>
      <c r="J1070" s="34">
        <f t="shared" si="779"/>
        <v>326.66330474</v>
      </c>
      <c r="K1070" s="34">
        <f t="shared" si="779"/>
        <v>327.53349663000006</v>
      </c>
      <c r="L1070" s="34">
        <f t="shared" si="779"/>
        <v>273.62967635000001</v>
      </c>
      <c r="M1070" s="34">
        <f t="shared" si="779"/>
        <v>36.360559469999998</v>
      </c>
      <c r="N1070" s="34">
        <f t="shared" si="779"/>
        <v>0</v>
      </c>
      <c r="O1070" s="34">
        <f t="shared" si="779"/>
        <v>0</v>
      </c>
      <c r="P1070" s="34">
        <f t="shared" si="779"/>
        <v>0</v>
      </c>
      <c r="Q1070" s="34">
        <f t="shared" si="779"/>
        <v>0</v>
      </c>
      <c r="R1070" s="23">
        <f t="shared" si="777"/>
        <v>1419.5810493699998</v>
      </c>
      <c r="S1070" s="36"/>
      <c r="U1070" s="23"/>
    </row>
    <row r="1071" spans="2:21" x14ac:dyDescent="0.2">
      <c r="B1071" s="81" t="s">
        <v>154</v>
      </c>
      <c r="F1071" s="23">
        <f t="shared" ref="F1071:Q1071" si="780">F89+F112</f>
        <v>2440982.2616635202</v>
      </c>
      <c r="G1071" s="23">
        <f t="shared" si="780"/>
        <v>2393974.4146007202</v>
      </c>
      <c r="H1071" s="23">
        <f t="shared" si="780"/>
        <v>2914105.7095085606</v>
      </c>
      <c r="I1071" s="23">
        <f t="shared" si="780"/>
        <v>5152262.7881824803</v>
      </c>
      <c r="J1071" s="23">
        <f t="shared" si="780"/>
        <v>7772629.5789024793</v>
      </c>
      <c r="K1071" s="23">
        <f t="shared" si="780"/>
        <v>9546478.7973876819</v>
      </c>
      <c r="L1071" s="23">
        <f t="shared" si="780"/>
        <v>10289934.2506084</v>
      </c>
      <c r="M1071" s="23">
        <f t="shared" si="780"/>
        <v>8134575.5345219206</v>
      </c>
      <c r="N1071" s="23">
        <f t="shared" si="780"/>
        <v>8324250.1710830405</v>
      </c>
      <c r="O1071" s="23">
        <f t="shared" si="780"/>
        <v>5842326.8063212009</v>
      </c>
      <c r="P1071" s="23">
        <f t="shared" si="780"/>
        <v>3894987.5076768803</v>
      </c>
      <c r="Q1071" s="23">
        <f t="shared" si="780"/>
        <v>2844195.9862159202</v>
      </c>
      <c r="R1071" s="23">
        <f t="shared" si="777"/>
        <v>69550703.806672812</v>
      </c>
      <c r="S1071" s="36"/>
      <c r="U1071" s="23"/>
    </row>
    <row r="1072" spans="2:21" x14ac:dyDescent="0.2">
      <c r="B1072" s="80" t="s">
        <v>153</v>
      </c>
      <c r="F1072" s="23">
        <f t="shared" ref="F1072:Q1072" si="781">F202+F248</f>
        <v>1025663.2426449999</v>
      </c>
      <c r="G1072" s="23">
        <f t="shared" si="781"/>
        <v>983594.45260880003</v>
      </c>
      <c r="H1072" s="23">
        <f t="shared" si="781"/>
        <v>1090993.0481095798</v>
      </c>
      <c r="I1072" s="23">
        <f t="shared" si="781"/>
        <v>1479574.0045866801</v>
      </c>
      <c r="J1072" s="23">
        <f t="shared" si="781"/>
        <v>1758914.0606048801</v>
      </c>
      <c r="K1072" s="23">
        <f t="shared" si="781"/>
        <v>2003965.43015464</v>
      </c>
      <c r="L1072" s="23">
        <f t="shared" si="781"/>
        <v>2101912.7679004599</v>
      </c>
      <c r="M1072" s="23">
        <f t="shared" si="781"/>
        <v>1790208.5843786802</v>
      </c>
      <c r="N1072" s="23">
        <f t="shared" si="781"/>
        <v>1883176.0877218</v>
      </c>
      <c r="O1072" s="23">
        <f t="shared" si="781"/>
        <v>1568371.7867161799</v>
      </c>
      <c r="P1072" s="23">
        <f t="shared" si="781"/>
        <v>1291433.71062396</v>
      </c>
      <c r="Q1072" s="23">
        <f t="shared" si="781"/>
        <v>791358.24567460001</v>
      </c>
      <c r="R1072" s="23">
        <f t="shared" si="777"/>
        <v>17769165.421725258</v>
      </c>
      <c r="S1072" s="36"/>
      <c r="U1072" s="23"/>
    </row>
    <row r="1073" spans="2:21" x14ac:dyDescent="0.2">
      <c r="B1073" s="80" t="s">
        <v>156</v>
      </c>
      <c r="F1073" s="23">
        <f t="shared" ref="F1073:Q1073" si="782">F371+F418</f>
        <v>223310.74765439998</v>
      </c>
      <c r="G1073" s="23">
        <f t="shared" si="782"/>
        <v>206590.40054207994</v>
      </c>
      <c r="H1073" s="23">
        <f t="shared" si="782"/>
        <v>241571.87631647999</v>
      </c>
      <c r="I1073" s="23">
        <f t="shared" si="782"/>
        <v>363827.82065376005</v>
      </c>
      <c r="J1073" s="23">
        <f t="shared" si="782"/>
        <v>447088.79010207998</v>
      </c>
      <c r="K1073" s="23">
        <f t="shared" si="782"/>
        <v>530635.28522624006</v>
      </c>
      <c r="L1073" s="23">
        <f t="shared" si="782"/>
        <v>505878.60774047999</v>
      </c>
      <c r="M1073" s="23">
        <f t="shared" si="782"/>
        <v>440221.99884928</v>
      </c>
      <c r="N1073" s="23">
        <f t="shared" si="782"/>
        <v>468817.37270623998</v>
      </c>
      <c r="O1073" s="23">
        <f t="shared" si="782"/>
        <v>368320.45540095988</v>
      </c>
      <c r="P1073" s="23">
        <f t="shared" si="782"/>
        <v>277329.34271712002</v>
      </c>
      <c r="Q1073" s="23">
        <f t="shared" si="782"/>
        <v>216908.32584479998</v>
      </c>
      <c r="R1073" s="23">
        <f t="shared" si="777"/>
        <v>4290501.0237539206</v>
      </c>
      <c r="S1073" s="36"/>
      <c r="U1073" s="23"/>
    </row>
    <row r="1074" spans="2:21" x14ac:dyDescent="0.2">
      <c r="B1074" s="80" t="s">
        <v>157</v>
      </c>
      <c r="F1074" s="23">
        <f t="shared" ref="F1074:Q1074" si="783">F536+F580</f>
        <v>61989.387999499995</v>
      </c>
      <c r="G1074" s="23">
        <f t="shared" si="783"/>
        <v>58021.732298579998</v>
      </c>
      <c r="H1074" s="23">
        <f t="shared" si="783"/>
        <v>103636.08092826001</v>
      </c>
      <c r="I1074" s="23">
        <f t="shared" si="783"/>
        <v>215846.57437864001</v>
      </c>
      <c r="J1074" s="23">
        <f t="shared" si="783"/>
        <v>275185.04367986007</v>
      </c>
      <c r="K1074" s="23">
        <f t="shared" si="783"/>
        <v>339759.56745034002</v>
      </c>
      <c r="L1074" s="23">
        <f t="shared" si="783"/>
        <v>333312.34096727998</v>
      </c>
      <c r="M1074" s="23">
        <f t="shared" si="783"/>
        <v>279583.76816482004</v>
      </c>
      <c r="N1074" s="23">
        <f t="shared" si="783"/>
        <v>295844.74226782005</v>
      </c>
      <c r="O1074" s="23">
        <f t="shared" si="783"/>
        <v>229090.27557590004</v>
      </c>
      <c r="P1074" s="23">
        <f t="shared" si="783"/>
        <v>131725.21777742001</v>
      </c>
      <c r="Q1074" s="23">
        <f t="shared" si="783"/>
        <v>87624.369184340001</v>
      </c>
      <c r="R1074" s="23">
        <f t="shared" si="777"/>
        <v>2411619.10067276</v>
      </c>
      <c r="S1074" s="36"/>
      <c r="U1074" s="23"/>
    </row>
    <row r="1075" spans="2:21" x14ac:dyDescent="0.2">
      <c r="B1075" s="80" t="s">
        <v>158</v>
      </c>
      <c r="F1075" s="23">
        <f t="shared" ref="F1075:Q1075" si="784">F670+F726</f>
        <v>311112.86304209998</v>
      </c>
      <c r="G1075" s="23">
        <f t="shared" si="784"/>
        <v>307516.793787</v>
      </c>
      <c r="H1075" s="23">
        <f t="shared" si="784"/>
        <v>334937.75655374996</v>
      </c>
      <c r="I1075" s="23">
        <f t="shared" si="784"/>
        <v>505164.15686054993</v>
      </c>
      <c r="J1075" s="23">
        <f t="shared" si="784"/>
        <v>605633.15626064991</v>
      </c>
      <c r="K1075" s="23">
        <f t="shared" si="784"/>
        <v>727331.81197829999</v>
      </c>
      <c r="L1075" s="23">
        <f t="shared" si="784"/>
        <v>666567.92931705003</v>
      </c>
      <c r="M1075" s="23">
        <f t="shared" si="784"/>
        <v>633466.47906030004</v>
      </c>
      <c r="N1075" s="23">
        <f t="shared" si="784"/>
        <v>627826.06032254989</v>
      </c>
      <c r="O1075" s="23">
        <f t="shared" si="784"/>
        <v>535576.03881539998</v>
      </c>
      <c r="P1075" s="23">
        <f t="shared" si="784"/>
        <v>383536.08864630002</v>
      </c>
      <c r="Q1075" s="23">
        <f t="shared" si="784"/>
        <v>369296.76517425</v>
      </c>
      <c r="R1075" s="23">
        <f t="shared" si="777"/>
        <v>6007965.8998181997</v>
      </c>
      <c r="S1075" s="36"/>
      <c r="U1075" s="23"/>
    </row>
    <row r="1076" spans="2:21" x14ac:dyDescent="0.2">
      <c r="B1076" s="30" t="s">
        <v>389</v>
      </c>
      <c r="F1076" s="23">
        <f t="shared" ref="F1076:Q1076" si="785">F134+F156</f>
        <v>0.63721700000000003</v>
      </c>
      <c r="G1076" s="23">
        <f t="shared" si="785"/>
        <v>0.61579699999999993</v>
      </c>
      <c r="H1076" s="23">
        <f t="shared" si="785"/>
        <v>0.87304700000000002</v>
      </c>
      <c r="I1076" s="23">
        <f t="shared" si="785"/>
        <v>2.6871179999999999</v>
      </c>
      <c r="J1076" s="23">
        <f t="shared" si="785"/>
        <v>4.0369700000000002</v>
      </c>
      <c r="K1076" s="23">
        <f t="shared" si="785"/>
        <v>5.6175489999999995</v>
      </c>
      <c r="L1076" s="23">
        <f t="shared" si="785"/>
        <v>3.5018690000000001</v>
      </c>
      <c r="M1076" s="23">
        <f t="shared" si="785"/>
        <v>4.5853149999999996</v>
      </c>
      <c r="N1076" s="23">
        <f t="shared" si="785"/>
        <v>3.5449260000000002</v>
      </c>
      <c r="O1076" s="23">
        <f t="shared" si="785"/>
        <v>2.4622920000000001</v>
      </c>
      <c r="P1076" s="23">
        <f t="shared" si="785"/>
        <v>1.1328309999999999</v>
      </c>
      <c r="Q1076" s="23">
        <f t="shared" si="785"/>
        <v>0.69470799999999999</v>
      </c>
      <c r="R1076" s="23">
        <f t="shared" si="777"/>
        <v>30.389638999999999</v>
      </c>
      <c r="S1076" s="36"/>
      <c r="U1076" s="23"/>
    </row>
    <row r="1077" spans="2:21" x14ac:dyDescent="0.2">
      <c r="B1077" t="s">
        <v>272</v>
      </c>
      <c r="F1077" s="23">
        <f t="shared" ref="F1077:Q1077" si="786">F286+F324</f>
        <v>986.43729099999996</v>
      </c>
      <c r="G1077" s="23">
        <f t="shared" si="786"/>
        <v>1019.187946</v>
      </c>
      <c r="H1077" s="23">
        <f t="shared" si="786"/>
        <v>963.29769199999998</v>
      </c>
      <c r="I1077" s="23">
        <f t="shared" si="786"/>
        <v>1111.1800840000001</v>
      </c>
      <c r="J1077" s="23">
        <f t="shared" si="786"/>
        <v>1177.6272963000001</v>
      </c>
      <c r="K1077" s="23">
        <f t="shared" si="786"/>
        <v>1218.109179</v>
      </c>
      <c r="L1077" s="23">
        <f t="shared" si="786"/>
        <v>1327.8818700000002</v>
      </c>
      <c r="M1077" s="23">
        <f t="shared" si="786"/>
        <v>1223.4244189999999</v>
      </c>
      <c r="N1077" s="23">
        <f t="shared" si="786"/>
        <v>1332.6316779999997</v>
      </c>
      <c r="O1077" s="23">
        <f t="shared" si="786"/>
        <v>1187.1301679999999</v>
      </c>
      <c r="P1077" s="23">
        <f t="shared" si="786"/>
        <v>1041.9764109999999</v>
      </c>
      <c r="Q1077" s="23">
        <f t="shared" si="786"/>
        <v>889.09062900000004</v>
      </c>
      <c r="R1077" s="23">
        <f>SUM(F1077:Q1077)</f>
        <v>13477.9746633</v>
      </c>
      <c r="S1077" s="36"/>
      <c r="U1077" s="23"/>
    </row>
    <row r="1078" spans="2:21" x14ac:dyDescent="0.2">
      <c r="B1078" t="s">
        <v>273</v>
      </c>
      <c r="F1078" s="23">
        <f t="shared" ref="F1078:Q1078" si="787">F455+F492</f>
        <v>4096.2345830000004</v>
      </c>
      <c r="G1078" s="23">
        <f t="shared" si="787"/>
        <v>4457.4953990000004</v>
      </c>
      <c r="H1078" s="23">
        <f t="shared" si="787"/>
        <v>4336.3402670000005</v>
      </c>
      <c r="I1078" s="23">
        <f t="shared" si="787"/>
        <v>4863.9228539999995</v>
      </c>
      <c r="J1078" s="23">
        <f t="shared" si="787"/>
        <v>4520.0581579999998</v>
      </c>
      <c r="K1078" s="23">
        <f t="shared" si="787"/>
        <v>4723.9728340000001</v>
      </c>
      <c r="L1078" s="23">
        <f t="shared" si="787"/>
        <v>4674.3326280000001</v>
      </c>
      <c r="M1078" s="23">
        <f t="shared" si="787"/>
        <v>4257.0931270000001</v>
      </c>
      <c r="N1078" s="23">
        <f t="shared" si="787"/>
        <v>4884.1060449999995</v>
      </c>
      <c r="O1078" s="23">
        <f t="shared" si="787"/>
        <v>4321.0180440000004</v>
      </c>
      <c r="P1078" s="23">
        <f t="shared" si="787"/>
        <v>4284.0913430000001</v>
      </c>
      <c r="Q1078" s="23">
        <f t="shared" si="787"/>
        <v>4189.1457019999998</v>
      </c>
      <c r="R1078" s="23">
        <f>SUM(F1078:Q1078)</f>
        <v>53607.810984000011</v>
      </c>
      <c r="S1078" s="36"/>
      <c r="U1078" s="23"/>
    </row>
    <row r="1079" spans="2:21" x14ac:dyDescent="0.2">
      <c r="B1079" s="83" t="s">
        <v>328</v>
      </c>
      <c r="F1079" s="23">
        <f t="shared" ref="F1079:Q1079" si="788">F614</f>
        <v>17.384927000000001</v>
      </c>
      <c r="G1079" s="23">
        <f t="shared" si="788"/>
        <v>13.26507</v>
      </c>
      <c r="H1079" s="23">
        <f t="shared" si="788"/>
        <v>9.9742999999999995</v>
      </c>
      <c r="I1079" s="23">
        <f t="shared" si="788"/>
        <v>21.950697999999999</v>
      </c>
      <c r="J1079" s="23">
        <f t="shared" si="788"/>
        <v>20.011333999999998</v>
      </c>
      <c r="K1079" s="23">
        <f t="shared" si="788"/>
        <v>20.854036000000001</v>
      </c>
      <c r="L1079" s="23">
        <f t="shared" si="788"/>
        <v>34.540758000000004</v>
      </c>
      <c r="M1079" s="23">
        <f t="shared" si="788"/>
        <v>36.822709000000003</v>
      </c>
      <c r="N1079" s="23">
        <f t="shared" si="788"/>
        <v>28.577969</v>
      </c>
      <c r="O1079" s="23">
        <f t="shared" si="788"/>
        <v>17.34985</v>
      </c>
      <c r="P1079" s="23">
        <f t="shared" si="788"/>
        <v>12.854226000000001</v>
      </c>
      <c r="Q1079" s="23">
        <f t="shared" si="788"/>
        <v>14.659813</v>
      </c>
      <c r="R1079" s="23">
        <f>SUM(F1079:Q1079)</f>
        <v>248.24569000000002</v>
      </c>
      <c r="S1079" s="36"/>
      <c r="U1079" s="23"/>
    </row>
    <row r="1080" spans="2:21" x14ac:dyDescent="0.2">
      <c r="B1080" t="s">
        <v>274</v>
      </c>
      <c r="F1080" s="23">
        <f t="shared" ref="F1080:Q1080" si="789">F772+F818</f>
        <v>6077.6991379999999</v>
      </c>
      <c r="G1080" s="23">
        <f t="shared" si="789"/>
        <v>6167.8379490000007</v>
      </c>
      <c r="H1080" s="23">
        <f t="shared" si="789"/>
        <v>5928.4017309999999</v>
      </c>
      <c r="I1080" s="23">
        <f t="shared" si="789"/>
        <v>6255.900294</v>
      </c>
      <c r="J1080" s="23">
        <f t="shared" si="789"/>
        <v>5678.0972780000002</v>
      </c>
      <c r="K1080" s="23">
        <f t="shared" si="789"/>
        <v>6890.7131930000005</v>
      </c>
      <c r="L1080" s="23">
        <f t="shared" si="789"/>
        <v>5905.6189640000002</v>
      </c>
      <c r="M1080" s="23">
        <f t="shared" si="789"/>
        <v>6144.1487730000008</v>
      </c>
      <c r="N1080" s="23">
        <f t="shared" si="789"/>
        <v>6681.7542119999998</v>
      </c>
      <c r="O1080" s="23">
        <f t="shared" si="789"/>
        <v>5776.8476359999995</v>
      </c>
      <c r="P1080" s="23">
        <f t="shared" si="789"/>
        <v>5839.2529020000002</v>
      </c>
      <c r="Q1080" s="23">
        <f t="shared" si="789"/>
        <v>5372.7528050000001</v>
      </c>
      <c r="R1080" s="23">
        <f>SUM(F1080:Q1080)</f>
        <v>72719.024875000003</v>
      </c>
      <c r="S1080" s="36"/>
      <c r="U1080" s="23"/>
    </row>
    <row r="1081" spans="2:21" x14ac:dyDescent="0.2">
      <c r="B1081" s="80" t="s">
        <v>238</v>
      </c>
      <c r="R1081" s="23">
        <f>SUM(F1081:Q1081)</f>
        <v>0</v>
      </c>
      <c r="S1081" s="36"/>
      <c r="U1081" s="23"/>
    </row>
    <row r="1082" spans="2:21" x14ac:dyDescent="0.2">
      <c r="B1082" s="80" t="s">
        <v>345</v>
      </c>
      <c r="F1082" s="24">
        <f t="shared" ref="F1082:N1082" si="790">SUM(F1068:F1081)</f>
        <v>8266328.9718919657</v>
      </c>
      <c r="G1082" s="24">
        <f t="shared" si="790"/>
        <v>7932744.5544610061</v>
      </c>
      <c r="H1082" s="24">
        <f t="shared" si="790"/>
        <v>11446597.287105052</v>
      </c>
      <c r="I1082" s="24">
        <f t="shared" si="790"/>
        <v>22120874.417571116</v>
      </c>
      <c r="J1082" s="24">
        <f t="shared" si="790"/>
        <v>33864144.796063416</v>
      </c>
      <c r="K1082" s="24">
        <f t="shared" si="790"/>
        <v>40758907.324080274</v>
      </c>
      <c r="L1082" s="24">
        <f t="shared" si="790"/>
        <v>44225356.599562429</v>
      </c>
      <c r="M1082" s="24">
        <f t="shared" si="790"/>
        <v>34166103.640075505</v>
      </c>
      <c r="N1082" s="24">
        <f t="shared" si="790"/>
        <v>35261127.612107091</v>
      </c>
      <c r="O1082" s="24">
        <f t="shared" ref="O1082:Q1082" si="791">SUM(O1068:O1081)</f>
        <v>24229345.516722318</v>
      </c>
      <c r="P1082" s="24">
        <f t="shared" si="791"/>
        <v>15621085.364892218</v>
      </c>
      <c r="Q1082" s="24">
        <f t="shared" si="791"/>
        <v>10330142.280052038</v>
      </c>
      <c r="R1082" s="684">
        <f>SUM(R1068:R1081)</f>
        <v>288222758.36458451</v>
      </c>
      <c r="S1082" s="40"/>
    </row>
    <row r="1083" spans="2:21" x14ac:dyDescent="0.2">
      <c r="B1083" s="30" t="s">
        <v>114</v>
      </c>
      <c r="C1083" s="30"/>
      <c r="D1083" s="30"/>
      <c r="E1083" s="30"/>
      <c r="F1083" s="692">
        <f t="shared" ref="F1083:R1083" si="792">F1082-F991</f>
        <v>0</v>
      </c>
      <c r="G1083" s="692">
        <f t="shared" si="792"/>
        <v>0</v>
      </c>
      <c r="H1083" s="692">
        <f t="shared" si="792"/>
        <v>0</v>
      </c>
      <c r="I1083" s="692">
        <f t="shared" si="792"/>
        <v>0</v>
      </c>
      <c r="J1083" s="692">
        <f t="shared" si="792"/>
        <v>0</v>
      </c>
      <c r="K1083" s="692">
        <f t="shared" si="792"/>
        <v>0</v>
      </c>
      <c r="L1083" s="692">
        <f t="shared" si="792"/>
        <v>0</v>
      </c>
      <c r="M1083" s="692">
        <f t="shared" si="792"/>
        <v>0</v>
      </c>
      <c r="N1083" s="692">
        <f t="shared" si="792"/>
        <v>0</v>
      </c>
      <c r="O1083" s="692">
        <f t="shared" si="792"/>
        <v>0</v>
      </c>
      <c r="P1083" s="692">
        <f t="shared" si="792"/>
        <v>0</v>
      </c>
      <c r="Q1083" s="692">
        <f t="shared" si="792"/>
        <v>0</v>
      </c>
      <c r="R1083" s="692">
        <f t="shared" si="792"/>
        <v>0</v>
      </c>
    </row>
    <row r="1085" spans="2:21" ht="13.5" thickBot="1" x14ac:dyDescent="0.25"/>
    <row r="1086" spans="2:21" x14ac:dyDescent="0.2">
      <c r="B1086" s="194" t="s">
        <v>341</v>
      </c>
      <c r="C1086" s="195"/>
      <c r="D1086" s="195"/>
      <c r="E1086" s="195"/>
      <c r="F1086" s="196">
        <f>'Weather Adj'!D231</f>
        <v>44767990.108999997</v>
      </c>
      <c r="G1086" s="196">
        <f>'Weather Adj'!E231</f>
        <v>44321712.204000011</v>
      </c>
      <c r="H1086" s="196">
        <f>'Weather Adj'!F231</f>
        <v>55528619.809999995</v>
      </c>
      <c r="I1086" s="196">
        <f>'Weather Adj'!G231</f>
        <v>93099778.638000011</v>
      </c>
      <c r="J1086" s="196">
        <f>'Weather Adj'!H231</f>
        <v>131215309.395</v>
      </c>
      <c r="K1086" s="196">
        <f>'Weather Adj'!I231</f>
        <v>156530872.37799999</v>
      </c>
      <c r="L1086" s="196">
        <f>'Weather Adj'!J231</f>
        <v>166549704.64199999</v>
      </c>
      <c r="M1086" s="196">
        <f>'Weather Adj'!K231</f>
        <v>132716463.97799999</v>
      </c>
      <c r="N1086" s="196">
        <f>'Weather Adj'!L231</f>
        <v>138023239.37000003</v>
      </c>
      <c r="O1086" s="196">
        <f>'Weather Adj'!M231</f>
        <v>98978841.535999998</v>
      </c>
      <c r="P1086" s="196">
        <f>'Weather Adj'!N231</f>
        <v>69771203.847000003</v>
      </c>
      <c r="Q1086" s="196">
        <f>'Weather Adj'!O231</f>
        <v>50266421.470000006</v>
      </c>
      <c r="R1086" s="197">
        <f>SUM(F1086:Q1086)</f>
        <v>1181770157.3770001</v>
      </c>
      <c r="S1086"/>
    </row>
    <row r="1087" spans="2:21" x14ac:dyDescent="0.2">
      <c r="B1087" s="52" t="s">
        <v>114</v>
      </c>
      <c r="C1087" s="50"/>
      <c r="D1087" s="50"/>
      <c r="E1087" s="50"/>
      <c r="F1087" s="698">
        <f t="shared" ref="F1087:R1087" si="793">F935-F1086</f>
        <v>0</v>
      </c>
      <c r="G1087" s="698">
        <f t="shared" si="793"/>
        <v>0</v>
      </c>
      <c r="H1087" s="698">
        <f t="shared" si="793"/>
        <v>0</v>
      </c>
      <c r="I1087" s="698">
        <f t="shared" si="793"/>
        <v>0</v>
      </c>
      <c r="J1087" s="698">
        <f t="shared" si="793"/>
        <v>0</v>
      </c>
      <c r="K1087" s="698">
        <f t="shared" si="793"/>
        <v>0</v>
      </c>
      <c r="L1087" s="698">
        <f t="shared" si="793"/>
        <v>0</v>
      </c>
      <c r="M1087" s="698">
        <f t="shared" si="793"/>
        <v>0</v>
      </c>
      <c r="N1087" s="698">
        <f t="shared" si="793"/>
        <v>0</v>
      </c>
      <c r="O1087" s="698">
        <f t="shared" si="793"/>
        <v>0</v>
      </c>
      <c r="P1087" s="698">
        <f t="shared" si="793"/>
        <v>0</v>
      </c>
      <c r="Q1087" s="698">
        <f t="shared" si="793"/>
        <v>0</v>
      </c>
      <c r="R1087" s="699">
        <f t="shared" si="793"/>
        <v>0</v>
      </c>
      <c r="S1087"/>
    </row>
    <row r="1088" spans="2:21" x14ac:dyDescent="0.2">
      <c r="B1088" s="52"/>
      <c r="C1088" s="50"/>
      <c r="D1088" s="50"/>
      <c r="E1088" s="50"/>
      <c r="F1088" s="66"/>
      <c r="G1088" s="66"/>
      <c r="H1088" s="66"/>
      <c r="I1088" s="66"/>
      <c r="J1088" s="66"/>
      <c r="K1088" s="66"/>
      <c r="L1088" s="66"/>
      <c r="M1088" s="66"/>
      <c r="N1088" s="66"/>
      <c r="O1088" s="66"/>
      <c r="P1088" s="66"/>
      <c r="Q1088" s="66"/>
      <c r="R1088" s="53"/>
      <c r="S1088"/>
    </row>
    <row r="1089" spans="2:19" x14ac:dyDescent="0.2">
      <c r="B1089" s="67" t="s">
        <v>347</v>
      </c>
      <c r="C1089" s="50"/>
      <c r="D1089" s="50"/>
      <c r="E1089" s="50"/>
      <c r="F1089" s="78">
        <f>'(R) Data'!C35</f>
        <v>851159.17105035076</v>
      </c>
      <c r="G1089" s="78">
        <f>'(R) Data'!D35</f>
        <v>860099.8230356623</v>
      </c>
      <c r="H1089" s="78">
        <f>'(R) Data'!E35</f>
        <v>810762.8218296495</v>
      </c>
      <c r="I1089" s="78">
        <f>'(R) Data'!F35</f>
        <v>848487.73557747283</v>
      </c>
      <c r="J1089" s="78">
        <f>'(R) Data'!G35</f>
        <v>811672.60593412525</v>
      </c>
      <c r="K1089" s="78">
        <f>'(R) Data'!H35</f>
        <v>838433.51595005032</v>
      </c>
      <c r="L1089" s="78">
        <f>'(R) Data'!I35</f>
        <v>841603.52068070101</v>
      </c>
      <c r="M1089" s="78">
        <f>'(R) Data'!J35</f>
        <v>764493.72807058494</v>
      </c>
      <c r="N1089" s="78">
        <f>'(R) Data'!K35</f>
        <v>872555.52159902721</v>
      </c>
      <c r="O1089" s="78">
        <f>'(R) Data'!L35</f>
        <v>857050.96012735355</v>
      </c>
      <c r="P1089" s="78">
        <f>'(R) Data'!M35</f>
        <v>861214.74799908488</v>
      </c>
      <c r="Q1089" s="78">
        <f>'(R) Data'!N35</f>
        <v>823300.032169502</v>
      </c>
      <c r="R1089" s="53">
        <f>SUM(F1089:Q1089)</f>
        <v>10040834.184023567</v>
      </c>
      <c r="S1089"/>
    </row>
    <row r="1090" spans="2:19" x14ac:dyDescent="0.2">
      <c r="B1090" s="67" t="s">
        <v>114</v>
      </c>
      <c r="C1090" s="50"/>
      <c r="D1090" s="50"/>
      <c r="E1090" s="50"/>
      <c r="F1090" s="698">
        <f t="shared" ref="F1090:R1090" si="794">F887-F1089</f>
        <v>0</v>
      </c>
      <c r="G1090" s="698">
        <f t="shared" si="794"/>
        <v>0</v>
      </c>
      <c r="H1090" s="698">
        <f t="shared" si="794"/>
        <v>0</v>
      </c>
      <c r="I1090" s="698">
        <f t="shared" si="794"/>
        <v>0</v>
      </c>
      <c r="J1090" s="698">
        <f t="shared" si="794"/>
        <v>0</v>
      </c>
      <c r="K1090" s="698">
        <f t="shared" si="794"/>
        <v>0</v>
      </c>
      <c r="L1090" s="698">
        <f t="shared" si="794"/>
        <v>0</v>
      </c>
      <c r="M1090" s="698">
        <f t="shared" si="794"/>
        <v>0</v>
      </c>
      <c r="N1090" s="698">
        <f t="shared" si="794"/>
        <v>0</v>
      </c>
      <c r="O1090" s="698">
        <f t="shared" si="794"/>
        <v>0</v>
      </c>
      <c r="P1090" s="698">
        <f t="shared" si="794"/>
        <v>0</v>
      </c>
      <c r="Q1090" s="698">
        <f t="shared" si="794"/>
        <v>0</v>
      </c>
      <c r="R1090" s="699">
        <f t="shared" si="794"/>
        <v>0</v>
      </c>
      <c r="S1090"/>
    </row>
    <row r="1091" spans="2:19" x14ac:dyDescent="0.2">
      <c r="B1091" s="67"/>
      <c r="C1091" s="50"/>
      <c r="D1091" s="50"/>
      <c r="E1091" s="50"/>
      <c r="F1091" s="66"/>
      <c r="G1091" s="66"/>
      <c r="H1091" s="66"/>
      <c r="I1091" s="66"/>
      <c r="J1091" s="66"/>
      <c r="K1091" s="66"/>
      <c r="L1091" s="66"/>
      <c r="M1091" s="66"/>
      <c r="N1091" s="66"/>
      <c r="O1091" s="66"/>
      <c r="P1091" s="66"/>
      <c r="Q1091" s="66"/>
      <c r="R1091" s="53"/>
      <c r="S1091"/>
    </row>
    <row r="1092" spans="2:19" x14ac:dyDescent="0.2">
      <c r="B1092" s="67" t="s">
        <v>348</v>
      </c>
      <c r="C1092" s="50"/>
      <c r="D1092" s="50"/>
      <c r="E1092" s="50"/>
      <c r="F1092" s="78">
        <f>'(R) Data'!C55</f>
        <v>537554.5290000001</v>
      </c>
      <c r="G1092" s="78">
        <f>'(R) Data'!D55</f>
        <v>516778.20099999994</v>
      </c>
      <c r="H1092" s="78">
        <f>'(R) Data'!E55</f>
        <v>502588.34699999995</v>
      </c>
      <c r="I1092" s="78">
        <f>'(R) Data'!F55</f>
        <v>516025.26299999992</v>
      </c>
      <c r="J1092" s="78">
        <f>'(R) Data'!G55</f>
        <v>517769.82400000002</v>
      </c>
      <c r="K1092" s="78">
        <f>'(R) Data'!H55</f>
        <v>520712.13900000002</v>
      </c>
      <c r="L1092" s="78">
        <f>'(R) Data'!I55</f>
        <v>518744.90100000001</v>
      </c>
      <c r="M1092" s="78">
        <f>'(R) Data'!J55</f>
        <v>492664.87200000003</v>
      </c>
      <c r="N1092" s="78">
        <f>'(R) Data'!K55</f>
        <v>521726.08500000002</v>
      </c>
      <c r="O1092" s="78">
        <f>'(R) Data'!L55</f>
        <v>517767.875</v>
      </c>
      <c r="P1092" s="78">
        <f>'(R) Data'!M55</f>
        <v>504104.69500000001</v>
      </c>
      <c r="Q1092" s="78">
        <f>'(R) Data'!N55</f>
        <v>555383.80599999998</v>
      </c>
      <c r="R1092" s="53">
        <f>SUM(F1092:Q1092)</f>
        <v>6221820.5370000005</v>
      </c>
      <c r="S1092"/>
    </row>
    <row r="1093" spans="2:19" x14ac:dyDescent="0.2">
      <c r="B1093" s="67" t="s">
        <v>114</v>
      </c>
      <c r="C1093" s="50"/>
      <c r="D1093" s="50"/>
      <c r="E1093" s="50"/>
      <c r="F1093" s="698">
        <f t="shared" ref="F1093:R1093" si="795">F972-F1092</f>
        <v>0</v>
      </c>
      <c r="G1093" s="698">
        <f t="shared" si="795"/>
        <v>0</v>
      </c>
      <c r="H1093" s="698">
        <f t="shared" si="795"/>
        <v>0</v>
      </c>
      <c r="I1093" s="698">
        <f t="shared" si="795"/>
        <v>0</v>
      </c>
      <c r="J1093" s="698">
        <f t="shared" si="795"/>
        <v>0</v>
      </c>
      <c r="K1093" s="698">
        <f t="shared" si="795"/>
        <v>0</v>
      </c>
      <c r="L1093" s="698">
        <f t="shared" si="795"/>
        <v>0</v>
      </c>
      <c r="M1093" s="698">
        <f t="shared" si="795"/>
        <v>0</v>
      </c>
      <c r="N1093" s="698">
        <f t="shared" si="795"/>
        <v>0</v>
      </c>
      <c r="O1093" s="698">
        <f t="shared" si="795"/>
        <v>0</v>
      </c>
      <c r="P1093" s="698">
        <f t="shared" si="795"/>
        <v>0</v>
      </c>
      <c r="Q1093" s="698">
        <f t="shared" si="795"/>
        <v>0</v>
      </c>
      <c r="R1093" s="699">
        <f t="shared" si="795"/>
        <v>0</v>
      </c>
      <c r="S1093"/>
    </row>
    <row r="1094" spans="2:19" ht="13.5" thickBot="1" x14ac:dyDescent="0.25">
      <c r="B1094" s="68"/>
      <c r="C1094" s="54"/>
      <c r="D1094" s="54"/>
      <c r="E1094" s="54"/>
      <c r="F1094" s="695"/>
      <c r="G1094" s="695"/>
      <c r="H1094" s="695"/>
      <c r="I1094" s="695"/>
      <c r="J1094" s="695"/>
      <c r="K1094" s="695"/>
      <c r="L1094" s="695"/>
      <c r="M1094" s="695"/>
      <c r="N1094" s="695"/>
      <c r="O1094" s="695"/>
      <c r="P1094" s="695"/>
      <c r="Q1094" s="695"/>
      <c r="R1094" s="696"/>
      <c r="S1094"/>
    </row>
    <row r="1095" spans="2:19" x14ac:dyDescent="0.2">
      <c r="B1095" s="31"/>
      <c r="C1095" s="50"/>
      <c r="D1095" s="50"/>
      <c r="E1095" s="50"/>
      <c r="F1095" s="66"/>
      <c r="G1095" s="66"/>
      <c r="H1095" s="66"/>
      <c r="I1095" s="66"/>
      <c r="J1095" s="66"/>
      <c r="K1095" s="66"/>
      <c r="L1095" s="66"/>
      <c r="M1095" s="66"/>
      <c r="N1095" s="66"/>
      <c r="O1095" s="66"/>
      <c r="P1095" s="66"/>
      <c r="Q1095" s="66"/>
      <c r="S1095"/>
    </row>
    <row r="1097" spans="2:19" s="30" customFormat="1" x14ac:dyDescent="0.2">
      <c r="B1097" s="77"/>
      <c r="C1097" s="77"/>
      <c r="D1097" s="77"/>
      <c r="E1097" s="77"/>
      <c r="F1097" s="77"/>
      <c r="G1097" s="77"/>
      <c r="H1097" s="77"/>
      <c r="I1097" s="77"/>
      <c r="J1097" s="77"/>
      <c r="K1097" s="77"/>
      <c r="L1097" s="77"/>
      <c r="M1097" s="77"/>
      <c r="N1097" s="77"/>
      <c r="O1097" s="77"/>
      <c r="P1097" s="77"/>
      <c r="Q1097" s="77"/>
    </row>
  </sheetData>
  <mergeCells count="4">
    <mergeCell ref="B1:R1"/>
    <mergeCell ref="B2:R2"/>
    <mergeCell ref="B3:R3"/>
    <mergeCell ref="B4:R4"/>
  </mergeCells>
  <printOptions horizontalCentered="1"/>
  <pageMargins left="0.2" right="0.21" top="0.75" bottom="0.75" header="0.5" footer="0.25"/>
  <pageSetup scale="56" fitToHeight="17" orientation="landscape" horizontalDpi="300" verticalDpi="300" r:id="rId1"/>
  <headerFooter alignWithMargins="0">
    <oddFooter>&amp;L&amp;F  
&amp;A&amp;C&amp;P&amp;R&amp;D</oddFooter>
  </headerFooter>
  <rowBreaks count="13" manualBreakCount="13">
    <brk id="47" max="16383" man="1"/>
    <brk id="67" max="16383" man="1"/>
    <brk id="249" min="1" max="17" man="1"/>
    <brk id="419" min="1" max="17" man="1"/>
    <brk id="727" min="1" max="17" man="1"/>
    <brk id="287" min="1" max="17" man="1"/>
    <brk id="456" min="1" max="17" man="1"/>
    <brk id="773" min="1" max="17" man="1"/>
    <brk id="819" max="16383" man="1"/>
    <brk id="859" max="16383" man="1"/>
    <brk id="921" max="16383" man="1"/>
    <brk id="986" min="1" max="17" man="1"/>
    <brk id="1066" max="16383" man="1"/>
  </rowBreaks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19BEE985E9E72046AD1023F69CC62719" ma:contentTypeVersion="68" ma:contentTypeDescription="" ma:contentTypeScope="" ma:versionID="28623e06127f6e95eba33b0e9723d128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4a924c8152a3ca6d41f5defb10cfa585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2018-11-07T08:00:00+00:00</OpenedDate>
    <SignificantOrder xmlns="dc463f71-b30c-4ab2-9473-d307f9d35888">false</SignificantOrder>
    <Date1 xmlns="dc463f71-b30c-4ab2-9473-d307f9d35888">2018-11-13T08:00:00+00:00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180899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2463E9DF-EA44-49FA-B484-2B902819B6CA}"/>
</file>

<file path=customXml/itemProps2.xml><?xml version="1.0" encoding="utf-8"?>
<ds:datastoreItem xmlns:ds="http://schemas.openxmlformats.org/officeDocument/2006/customXml" ds:itemID="{2610C174-A667-4C25-AA40-6F19674E427D}"/>
</file>

<file path=customXml/itemProps3.xml><?xml version="1.0" encoding="utf-8"?>
<ds:datastoreItem xmlns:ds="http://schemas.openxmlformats.org/officeDocument/2006/customXml" ds:itemID="{90EF5087-58B5-40E0-BE15-5C8AE46FCFDB}"/>
</file>

<file path=customXml/itemProps4.xml><?xml version="1.0" encoding="utf-8"?>
<ds:datastoreItem xmlns:ds="http://schemas.openxmlformats.org/officeDocument/2006/customXml" ds:itemID="{C7F706AE-334A-4762-A3F9-872FB478060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25</vt:i4>
      </vt:variant>
    </vt:vector>
  </HeadingPairs>
  <TitlesOfParts>
    <vt:vector size="43" baseType="lpstr">
      <vt:lpstr>REDACTED</vt:lpstr>
      <vt:lpstr>Exh. JAP-3 Page 1</vt:lpstr>
      <vt:lpstr>Exh. JAP-3 Page 2</vt:lpstr>
      <vt:lpstr>Exh. JAP-3 Page 3</vt:lpstr>
      <vt:lpstr>Work Papers --&gt;</vt:lpstr>
      <vt:lpstr>(R) Data</vt:lpstr>
      <vt:lpstr>Therms</vt:lpstr>
      <vt:lpstr>(R) Therms By Block</vt:lpstr>
      <vt:lpstr>(R) Restated Norm Revenue</vt:lpstr>
      <vt:lpstr>Restated Rental Revenue</vt:lpstr>
      <vt:lpstr>Rate Design Res</vt:lpstr>
      <vt:lpstr>Rate Design C&amp;I</vt:lpstr>
      <vt:lpstr>Rate Design Int &amp; Trans</vt:lpstr>
      <vt:lpstr>Rate Design Rental</vt:lpstr>
      <vt:lpstr>Weather Normalization--&gt;</vt:lpstr>
      <vt:lpstr>Weather Adj</vt:lpstr>
      <vt:lpstr>(R) Weather Adj Revenue</vt:lpstr>
      <vt:lpstr>SystemWeatherAdj</vt:lpstr>
      <vt:lpstr>'(R) Data'!Print_Area</vt:lpstr>
      <vt:lpstr>'(R) Restated Norm Revenue'!Print_Area</vt:lpstr>
      <vt:lpstr>'(R) Therms By Block'!Print_Area</vt:lpstr>
      <vt:lpstr>'(R) Weather Adj Revenue'!Print_Area</vt:lpstr>
      <vt:lpstr>'Exh. JAP-3 Page 1'!Print_Area</vt:lpstr>
      <vt:lpstr>'Exh. JAP-3 Page 2'!Print_Area</vt:lpstr>
      <vt:lpstr>'Exh. JAP-3 Page 3'!Print_Area</vt:lpstr>
      <vt:lpstr>'Rate Design C&amp;I'!Print_Area</vt:lpstr>
      <vt:lpstr>'Rate Design Int &amp; Trans'!Print_Area</vt:lpstr>
      <vt:lpstr>'Rate Design Rental'!Print_Area</vt:lpstr>
      <vt:lpstr>'Rate Design Res'!Print_Area</vt:lpstr>
      <vt:lpstr>'Restated Rental Revenue'!Print_Area</vt:lpstr>
      <vt:lpstr>Therms!Print_Area</vt:lpstr>
      <vt:lpstr>'(R) Data'!Print_Titles</vt:lpstr>
      <vt:lpstr>'(R) Restated Norm Revenue'!Print_Titles</vt:lpstr>
      <vt:lpstr>'(R) Therms By Block'!Print_Titles</vt:lpstr>
      <vt:lpstr>'Exh. JAP-3 Page 1'!Print_Titles</vt:lpstr>
      <vt:lpstr>'Exh. JAP-3 Page 2'!Print_Titles</vt:lpstr>
      <vt:lpstr>'Rate Design C&amp;I'!Print_Titles</vt:lpstr>
      <vt:lpstr>'Rate Design Int &amp; Trans'!Print_Titles</vt:lpstr>
      <vt:lpstr>'Rate Design Res'!Print_Titles</vt:lpstr>
      <vt:lpstr>'Restated Rental Revenue'!Print_Titles</vt:lpstr>
      <vt:lpstr>SystemWeatherAdj!Print_Titles</vt:lpstr>
      <vt:lpstr>Therms!Print_Titles</vt:lpstr>
      <vt:lpstr>'Weather Adj'!Print_Titles</vt:lpstr>
    </vt:vector>
  </TitlesOfParts>
  <Company>Puget Sound Energy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Janet Phelps</dc:creator>
  <cp:lastModifiedBy>Paul Schmidt</cp:lastModifiedBy>
  <cp:lastPrinted>2018-10-29T20:42:27Z</cp:lastPrinted>
  <dcterms:created xsi:type="dcterms:W3CDTF">2005-10-10T18:21:10Z</dcterms:created>
  <dcterms:modified xsi:type="dcterms:W3CDTF">2018-11-07T22:56:40Z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0x0101006E56B4D1795A2E4DB2F0B01679ED314A0019BEE985E9E72046AD1023F69CC62719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