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8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3.xml" ContentType="application/vnd.openxmlformats-officedocument.spreadsheetml.comments+xml"/>
  <Override PartName="/xl/externalLinks/externalLink6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2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28710" yWindow="105" windowWidth="19020" windowHeight="11205" tabRatio="864"/>
  </bookViews>
  <sheets>
    <sheet name="REDACTED" sheetId="58" r:id="rId1"/>
    <sheet name="Exh. JAP-3 Page 1" sheetId="96" r:id="rId2"/>
    <sheet name="Exh. JAP-3 Page 2" sheetId="97" r:id="rId3"/>
    <sheet name="Exh. JAP-3 Page 3" sheetId="98" r:id="rId4"/>
    <sheet name="Work Papers --&gt;" sheetId="99" r:id="rId5"/>
    <sheet name="(R) Data" sheetId="33" r:id="rId6"/>
    <sheet name="Therms" sheetId="73" r:id="rId7"/>
    <sheet name="(R) Therms By Block" sheetId="89" r:id="rId8"/>
    <sheet name="(R) Restated Norm Revenue" sheetId="77" r:id="rId9"/>
    <sheet name="Restated Rental Revenue" sheetId="52" r:id="rId10"/>
    <sheet name="Rate Design Res" sheetId="91" r:id="rId11"/>
    <sheet name="Rate Design C&amp;I" sheetId="92" r:id="rId12"/>
    <sheet name="Rate Design Int &amp; Trans" sheetId="93" r:id="rId13"/>
    <sheet name="Rate Design Rental" sheetId="94" r:id="rId14"/>
    <sheet name="Weather Normalization--&gt;" sheetId="105" r:id="rId15"/>
    <sheet name="Weather Adj" sheetId="102" r:id="rId16"/>
    <sheet name="(R) Weather Adj Revenue" sheetId="103" r:id="rId17"/>
    <sheet name="SystemWeatherAdj" sheetId="104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Apr04">[1]BS!$U$7:$U$3582</definedName>
    <definedName name="__Aug04">[1]BS!$Y$7:$Y$3582</definedName>
    <definedName name="__Aug09" xml:space="preserve"> [2]BS!$Y$7:$Y$1726</definedName>
    <definedName name="__Dec03">[3]BS!$T$7:$T$3582</definedName>
    <definedName name="__Dec04">[1]BS!$AC$7:$AC$3580</definedName>
    <definedName name="__Jul04">[1]BS!$X$7:$X$3582</definedName>
    <definedName name="__Jul09" xml:space="preserve"> [2]BS!$X$7:$X$1726</definedName>
    <definedName name="__Jun04">[1]BS!$W$7:$W$3582</definedName>
    <definedName name="__Jun09">" BS!$AI$7:$AI$1643"</definedName>
    <definedName name="__May04">[1]BS!$V$7:$V$3582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>[3]BS!$Q$7:$Q$3582</definedName>
    <definedName name="__Sep04">[1]BS!$Z$7:$Z$3582</definedName>
    <definedName name="_Apr04">[1]BS!$U$7:$U$3582</definedName>
    <definedName name="_Apr09" xml:space="preserve"> [2]BS!$U$7:$U$1726</definedName>
    <definedName name="_Aug04">[1]BS!$Y$7:$Y$3582</definedName>
    <definedName name="_Aug09" xml:space="preserve"> [2]BS!$Y$7:$Y$1726</definedName>
    <definedName name="_Dec03">[3]BS!$T$7:$T$3582</definedName>
    <definedName name="_Dec04">[1]BS!$AC$7:$AC$3580</definedName>
    <definedName name="_Dec08" xml:space="preserve"> [2]BS!$Q$7:$Q$1726</definedName>
    <definedName name="_Feb04">[1]BS!$S$7:$S$3582</definedName>
    <definedName name="_FEB09" xml:space="preserve"> [2]BS!$S$7:$S$1726</definedName>
    <definedName name="_FEDERAL_INCOME_TAX" localSheetId="16">'[5]MJS-7'!$N$21</definedName>
    <definedName name="_FEDERAL_INCOME_TAX">'[6]MJS-7'!$N$21</definedName>
    <definedName name="_Jan04">[1]BS!$R$7:$R$3582</definedName>
    <definedName name="_Jul04">[1]BS!$X$7:$X$3582</definedName>
    <definedName name="_Jul09" xml:space="preserve"> [2]BS!$X$7:$X$1726</definedName>
    <definedName name="_Jun04">[1]BS!$W$7:$W$3582</definedName>
    <definedName name="_Jun09" xml:space="preserve"> [2]BS!$W$7:$W$1726</definedName>
    <definedName name="_Mar04">[1]BS!$T$7:$T$3582</definedName>
    <definedName name="_May04">[1]BS!$V$7:$V$3582</definedName>
    <definedName name="_May09" xml:space="preserve"> [2]BS!$V$7:$V$1726</definedName>
    <definedName name="_Nov03">[3]BS!$S$7:$S$3582</definedName>
    <definedName name="_Nov04">[1]BS!$AB$7:$AB$3582</definedName>
    <definedName name="_Oct03">[3]BS!$R$7:$R$3582</definedName>
    <definedName name="_Oct04">[1]BS!$AA$7:$AA$3582</definedName>
    <definedName name="_Oct09" xml:space="preserve"> [2]BS!$AA$7:$AA$1726</definedName>
    <definedName name="_Order1">255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>[3]BS!$Q$7:$Q$3582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>'[9]Acquisition Inputs'!$C$8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NCIL">[4]EXTERNAL!$A$163:$IV$165</definedName>
    <definedName name="Apr04AMA">[1]BS!$AG$7:$AG$3582</definedName>
    <definedName name="APR09AMA">[2]BS!$AN$7:$AN$1725</definedName>
    <definedName name="Apr10AMA">[2]BS!$AZ$7:$AZ$1726</definedName>
    <definedName name="aquila_lookup">'[12]Cabot Gas Replacement'!$B$8:$F$16</definedName>
    <definedName name="AS2DocOpenMode">"AS2DocumentEdit"</definedName>
    <definedName name="Asset_Class_Switch">[13]Assumptions!$D$5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 localSheetId="16">[14]LeadSht!$L$10</definedName>
    <definedName name="Beg_Unb_KWHs" localSheetId="17">[14]LeadSht!$L$10</definedName>
    <definedName name="Beg_Unb_KWHs" localSheetId="15">[14]LeadSht!$L$10</definedName>
    <definedName name="Beg_Unb_KWHs">[15]LeadSht!$L$10</definedName>
    <definedName name="BOOK_LIFE">'[16]Lvl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[17]Readings!$B$2</definedName>
    <definedName name="CASE">[18]INPUTS!$C$11</definedName>
    <definedName name="CaseDescription">'[9]Dispatch Cases'!$C$11</definedName>
    <definedName name="CBWorkbookPriority">-2060790043</definedName>
    <definedName name="CCGT_HeatRate">[9]Assumptions!$H$23</definedName>
    <definedName name="CCGTPrice">[9]Assumptions!$H$22</definedName>
    <definedName name="CL_RT2">'[19]Transp Data'!$A$6:$C$81</definedName>
    <definedName name="Construction_OH">'[20]Virtual 49 Back-Up'!$E$54</definedName>
    <definedName name="ConversionFactor">[9]Assumptions!$I$65</definedName>
    <definedName name="COSFacVal">[7]Inputs!$R$5</definedName>
    <definedName name="CurrQtr">'[21]Inc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 localSheetId="16">'[22]Mix Variance'!$B$1:$N$31</definedName>
    <definedName name="Data" localSheetId="17">'[22]Mix Variance'!$B$1:$N$31</definedName>
    <definedName name="Data" localSheetId="15">'[22]Mix Variance'!$B$1:$N$31</definedName>
    <definedName name="Data">'[23]Mix Variance'!$B$1:$N$31</definedName>
    <definedName name="Data.Avg">'[21]Avg Amts'!$A$5:$BP$34</definedName>
    <definedName name="Data.Qtrs.Avg">'[21]Avg Amts'!$A$5:$IV$5</definedName>
    <definedName name="data1" localSheetId="16">'[24]Mix Variance'!$O$5:$T$25</definedName>
    <definedName name="data1" localSheetId="17">'[24]Mix Variance'!$O$5:$T$25</definedName>
    <definedName name="data1" localSheetId="15">'[24]Mix Variance'!$O$5:$T$25</definedName>
    <definedName name="data1">'[25]Mix Variance'!$O$5:$T$25</definedName>
    <definedName name="DebtPerc">[9]Assumptions!$I$58</definedName>
    <definedName name="Dec03AMA">[3]BS!$AJ$7:$AJ$3582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[26]Inputs!$D$11</definedName>
    <definedName name="DES1.T">[4]INTERNAL!$A$40:$IV$42</definedName>
    <definedName name="DES2.T">[4]INTERNAL!$A$43:$IV$45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'[27]Assumptions of Purchase'!$B$45</definedName>
    <definedName name="DisFac">'[7]Func Dist Factor Table'!$A$11:$G$25</definedName>
    <definedName name="DocketNumber">'[28]JHS-4'!$AP$2</definedName>
    <definedName name="DP.T">[4]INTERNAL!$A$46:$IV$48</definedName>
    <definedName name="EBFIT.T">[4]INTERNAL!$A$88:$IV$90</definedName>
    <definedName name="EffTax">[18]INPUTS!$F$36</definedName>
    <definedName name="Electric_Prices">'[29]Monthly Price Summary'!$B$4:$E$27</definedName>
    <definedName name="ElRBLine">[1]BS!$AQ$7:$AQ$3303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[26]Inputs!$D$12</definedName>
    <definedName name="EPIS.T">[4]INTERNAL!$A$49:$IV$51</definedName>
    <definedName name="Exhibit_No.______MJS_4" localSheetId="16">'[5]MJS-4'!$O$3</definedName>
    <definedName name="Exhibit_No.______MJS_4">'[6]MJS-4'!$O$3</definedName>
    <definedName name="Exhibit_No.______MJS_5" localSheetId="16">'[5]MJS-5'!$E$3</definedName>
    <definedName name="Exhibit_No.______MJS_5">'[6]MJS-5'!$E$3</definedName>
    <definedName name="Exhibit_No.______MJS_6" localSheetId="16">'[5]MJS-6'!$F$3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'[20]Virtual 49 Back-Up'!$B$20</definedName>
    <definedName name="Feb04AMA">[1]BS!$AE$7:$AE$3582</definedName>
    <definedName name="Feb09AMA">[2]BS!$AL$7:$AL$1725</definedName>
    <definedName name="Feb10AMA">[2]BS!$AX$7:$AX$1726</definedName>
    <definedName name="Fed_Cap_Tax">[30]Inputs!$E$112</definedName>
    <definedName name="FedTaxRate">[9]Assumptions!$C$33</definedName>
    <definedName name="FERC_Lookup">'[31]Map Table'!$E$2:$F$58</definedName>
    <definedName name="FIT">'[32]ROR &amp; CONV FACTOR'!$J$20</definedName>
    <definedName name="FranchiseTax">[11]Variables!$D$26</definedName>
    <definedName name="FTAX">[18]INPUTS!$F$35</definedName>
    <definedName name="Func">'[7]Func Factor Table'!$A$10:$H$77</definedName>
    <definedName name="Function">'[7]Func Study'!$AB$250</definedName>
    <definedName name="GasRBLine">[1]BS!$AS$7:$AS$3631</definedName>
    <definedName name="GasWC_LineItem">[1]BS!$AR$7:$AR$3631</definedName>
    <definedName name="GP.T">[4]INTERNAL!$A$52:$IV$54</definedName>
    <definedName name="HTML_CodePage">1252</definedName>
    <definedName name="HTML_Control" localSheetId="7">{"'Sheet1'!$A$1:$J$121"}</definedName>
    <definedName name="HTML_Control" localSheetId="16">{"'Sheet1'!$A$1:$J$121"}</definedName>
    <definedName name="HTML_Control" localSheetId="17">{"'Sheet1'!$A$1:$J$121"}</definedName>
    <definedName name="HTML_Control" localSheetId="15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>[1]BS!$AD$7:$AD$3582</definedName>
    <definedName name="Jan09AMA">[2]BS!$AK$7:$AK$1743</definedName>
    <definedName name="Jan10AMA">[2]BS!$AW$7:$AW$1726</definedName>
    <definedName name="jjj">[33]Inputs!$N$18</definedName>
    <definedName name="JP_Bal" localSheetId="16">[34]ACCOUNTS!$AG$31</definedName>
    <definedName name="JP_Bal">[35]ACCOUNTS!$AG$31</definedName>
    <definedName name="Jul04AMA">[1]BS!$AJ$7:$AJ$3582</definedName>
    <definedName name="Jul09AMA">[2]BS!$AQ$7:$AQ$1726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eep_PSE" localSheetId="16">'[36]Gas Summary'!$I$5</definedName>
    <definedName name="keep_PSE">'[37]Gas Summary'!$I$5</definedName>
    <definedName name="keep_TESTYEAR" localSheetId="16">'[36]Gas Detail Pages'!$A$8</definedName>
    <definedName name="keep_TESTYEAR">'[37]Gas Detail Pages'!$A$8</definedName>
    <definedName name="kp_DOCKET" localSheetId="16">'[36]Gas Detail Pages'!$A$9</definedName>
    <definedName name="kp_DOCKET">'[37]Gas Detail Pages'!$A$9</definedName>
    <definedName name="Last_Row" localSheetId="16">IF('(R) Weather Adj Revenue'!Values_Entered,Header_Row+'(R) Weather Adj Revenue'!Number_of_Payments,Header_Row)</definedName>
    <definedName name="Last_Row" localSheetId="1">IF('Exh. JAP-3 Page 1'!Values_Entered,Header_Row+'Exh. JAP-3 Page 1'!Number_of_Payments,Header_Row)</definedName>
    <definedName name="Last_Row" localSheetId="2">IF('Exh. JAP-3 Page 2'!Values_Entered,Header_Row+'Exh. JAP-3 Page 2'!Number_of_Payments,Header_Row)</definedName>
    <definedName name="Last_Row" localSheetId="3">IF('Exh. JAP-3 Page 3'!Values_Entered,Header_Row+'Exh. JAP-3 Page 3'!Number_of_Payments,Header_Row)</definedName>
    <definedName name="Last_Row">IF([0]!Values_Entered,Header_Row+[0]!Number_of_Payments,Header_Row)</definedName>
    <definedName name="limcount">1</definedName>
    <definedName name="LINE.T">[4]INTERNAL!$A$55:$IV$57</definedName>
    <definedName name="LinkCos">'[7]JAM Download'!$K$4</definedName>
    <definedName name="Load_Factor" localSheetId="16">[34]ACCOUNTS!$AG$167</definedName>
    <definedName name="Load_Factor">[35]ACCOUNTS!$AG$167</definedName>
    <definedName name="LoadArray">'[38]Load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[39]M9100F4!$A$1:$V$99</definedName>
    <definedName name="Mar04AMA">[1]BS!$AF$7:$AF$3582</definedName>
    <definedName name="MAR09AMA">[2]BS!$AM$7:$AM$1725</definedName>
    <definedName name="Mar10AMA">[2]BS!$AY$7:$AY$1726</definedName>
    <definedName name="May04AMA">[1]BS!$AH$7:$AH$3582</definedName>
    <definedName name="MAY09AMA">[2]BS!$AO$7:$AO$1726</definedName>
    <definedName name="May10AMA">[2]BS!$BA$7:$BA$1726</definedName>
    <definedName name="menu1_Button5_Click" localSheetId="1">[40]!menu1_Button5_Click</definedName>
    <definedName name="menu1_Button5_Click" localSheetId="2">[40]!menu1_Button5_Click</definedName>
    <definedName name="menu1_Button5_Click" localSheetId="3">[40]!menu1_Button5_Click</definedName>
    <definedName name="menu1_Button5_Click">[40]!menu1_Button5_Click</definedName>
    <definedName name="menu1_Button6_Click" localSheetId="1">[40]!menu1_Button6_Click</definedName>
    <definedName name="menu1_Button6_Click" localSheetId="2">[40]!menu1_Button6_Click</definedName>
    <definedName name="menu1_Button6_Click" localSheetId="3">[40]!menu1_Button6_Click</definedName>
    <definedName name="menu1_Button6_Click">[40]!menu1_Button6_Click</definedName>
    <definedName name="MERGER_COST">[41]Sheet1!$AF$3:$AJ$28</definedName>
    <definedName name="METER">[4]EXTERNAL!$A$34:$IV$36</definedName>
    <definedName name="Method">[10]Inputs!$C$6</definedName>
    <definedName name="monthlist">[42]Table!$R$2:$S$13</definedName>
    <definedName name="monthtotals">'[42]WA SBC'!$D$40:$O$40</definedName>
    <definedName name="MTD_Format">[43]Mthly!$B$11:$D$11,[43]Mthly!$B$32:$D$32</definedName>
    <definedName name="MTR_YR3">[44]Variables!$E$14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>[3]BS!$AI$7:$AI$3582</definedName>
    <definedName name="Nov04AMA">[1]BS!$AN$7:$AN$3582</definedName>
    <definedName name="Nov09AMA">[2]BS!$AU$7:$AU$1726</definedName>
    <definedName name="NPC">[45]Inputs!$N$18</definedName>
    <definedName name="NRG">[4]CLASSIFIERS!$A$5:$IV$5</definedName>
    <definedName name="Number_of_Payments" localSheetId="16">MATCH(0.01,End_Bal,-1)+1</definedName>
    <definedName name="Number_of_Payments" localSheetId="1">MATCH(0.01,End_Bal,-1)+1</definedName>
    <definedName name="Number_of_Payments" localSheetId="2">MATCH(0.01,End_Bal,-1)+1</definedName>
    <definedName name="Number_of_Payments" localSheetId="3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ROJECT_ID">"PROJECT_TBL_VW"</definedName>
    <definedName name="NvsValTbl.STATISTICS_CODE">"STAT_TBL"</definedName>
    <definedName name="O_M_Rate">'[20]Virtual 49 Back-Up'!$B$21</definedName>
    <definedName name="Oct03AMA">[3]BS!$AH$7:$AH$3582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'[46]Dist Misc'!$F$120</definedName>
    <definedName name="OthRCF">[47]INPUTS!$F$41</definedName>
    <definedName name="OthUnc">[4]INPUTS!$F$36</definedName>
    <definedName name="outlookdata">'[48]pivoted data'!$D$3:$Q$90</definedName>
    <definedName name="peak_new_table">'[49]2008 Extreme Peaks - 080403'!$E$5:$AD$8</definedName>
    <definedName name="peak_table">'[49]Peaks-F01'!$C$5:$E$243</definedName>
    <definedName name="PeakMethod">[10]Inputs!$T$5</definedName>
    <definedName name="Percent_debt">[30]Inputs!$E$129</definedName>
    <definedName name="POWER.T">[4]INTERNAL!$A$58:$IV$60</definedName>
    <definedName name="PP.T">[4]INTERNAL!$A$61:$IV$63</definedName>
    <definedName name="PreTaxDebtCost">[9]Assumptions!$I$56</definedName>
    <definedName name="PreTaxWACC">[9]Assumptions!$I$62</definedName>
    <definedName name="Prices_Aurora">'[29]Monthly Price Summary'!$C$4:$H$63</definedName>
    <definedName name="_xlnm.Print_Area" localSheetId="5">'(R) Data'!$B$1:$O$72</definedName>
    <definedName name="_xlnm.Print_Area" localSheetId="8">'(R) Restated Norm Revenue'!$B$1:$R$1083</definedName>
    <definedName name="_xlnm.Print_Area" localSheetId="7">'(R) Therms By Block'!$A$1:$N$135</definedName>
    <definedName name="_xlnm.Print_Area" localSheetId="16">'(R) Weather Adj Revenue'!$A$1:$P$57</definedName>
    <definedName name="_xlnm.Print_Area" localSheetId="1">'Exh. JAP-3 Page 1'!$B$1:$G$33</definedName>
    <definedName name="_xlnm.Print_Area" localSheetId="2">'Exh. JAP-3 Page 2'!$B$1:$E$26</definedName>
    <definedName name="_xlnm.Print_Area" localSheetId="3">'Exh. JAP-3 Page 3'!$B$1:$F$22</definedName>
    <definedName name="_xlnm.Print_Area" localSheetId="11">'Rate Design C&amp;I'!$B$2:$Q$127</definedName>
    <definedName name="_xlnm.Print_Area" localSheetId="12">'Rate Design Int &amp; Trans'!$B$1:$Q$225</definedName>
    <definedName name="_xlnm.Print_Area" localSheetId="13">'Rate Design Rental'!$B$2:$L$33</definedName>
    <definedName name="_xlnm.Print_Area" localSheetId="10">'Rate Design Res'!$B$1:$Q$55</definedName>
    <definedName name="_xlnm.Print_Area" localSheetId="9">'Restated Rental Revenue'!$B$1:$R$98</definedName>
    <definedName name="_xlnm.Print_Area" localSheetId="6">Therms!$B$1:$Q$68</definedName>
    <definedName name="_xlnm.Print_Titles" localSheetId="5">'(R) Data'!$1:$6</definedName>
    <definedName name="_xlnm.Print_Titles" localSheetId="8">'(R) Restated Norm Revenue'!$1:$6</definedName>
    <definedName name="_xlnm.Print_Titles" localSheetId="7">'(R) Therms By Block'!$1:$7</definedName>
    <definedName name="_xlnm.Print_Titles" localSheetId="1">'Exh. JAP-3 Page 1'!$B:$C</definedName>
    <definedName name="_xlnm.Print_Titles" localSheetId="2">'Exh. JAP-3 Page 2'!$B:$C</definedName>
    <definedName name="_xlnm.Print_Titles" localSheetId="11">'Rate Design C&amp;I'!$1:$8</definedName>
    <definedName name="_xlnm.Print_Titles" localSheetId="12">'Rate Design Int &amp; Trans'!$1:$8</definedName>
    <definedName name="_xlnm.Print_Titles" localSheetId="10">'Rate Design Res'!$2:$8</definedName>
    <definedName name="_xlnm.Print_Titles" localSheetId="9">'Restated Rental Revenue'!$1:$6</definedName>
    <definedName name="_xlnm.Print_Titles" localSheetId="17">SystemWeatherAdj!$A:$B</definedName>
    <definedName name="_xlnm.Print_Titles" localSheetId="6">Therms!$1:$6</definedName>
    <definedName name="_xlnm.Print_Titles" localSheetId="15">'Weather Adj'!$1:$6</definedName>
    <definedName name="Prior_Month" localSheetId="16">[14]Sch_120!$I$21</definedName>
    <definedName name="Prior_Month" localSheetId="17">[14]Sch_120!$I$21</definedName>
    <definedName name="Prior_Month" localSheetId="15">[14]Sch_120!$I$21</definedName>
    <definedName name="Prior_Month">[15]Sch_120!$I$21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[50]Sheet1!$A$1147:$B$1887</definedName>
    <definedName name="Prov_Cap_Tax">[30]Inputs!$E$111</definedName>
    <definedName name="PSE">'[51]4.04'!$A$6</definedName>
    <definedName name="PSE_Pre_Tax_Equity_Rate">'[27]Assumptions of Purchase'!$B$42</definedName>
    <definedName name="PTDGP.T">[4]INTERNAL!$A$64:$IV$66</definedName>
    <definedName name="PTDP.T">[4]INTERNAL!$A$67:$IV$69</definedName>
    <definedName name="QTD_Format">[52]QTD!$B$11:$D$11,[52]QTD!$B$35:$D$35</definedName>
    <definedName name="RATE2">'[19]Transp Data'!$A$8:$I$112</definedName>
    <definedName name="Rates">[53]Codes!$A$1:$C$500</definedName>
    <definedName name="RB.T">[4]INTERNAL!$A$70:$IV$72</definedName>
    <definedName name="RCF" localSheetId="16">[34]INPUTS!$F$48</definedName>
    <definedName name="RCF">[35]INPUTS!$F$48</definedName>
    <definedName name="ResExchCrRate" localSheetId="16">[14]Sch_194!$M$31</definedName>
    <definedName name="ResExchCrRate" localSheetId="17">[14]Sch_194!$M$31</definedName>
    <definedName name="ResExchCrRate" localSheetId="15">[14]Sch_194!$M$31</definedName>
    <definedName name="ResExchCrRate">[54]Sch_194!$M$31</definedName>
    <definedName name="RESID">[4]EXTERNAL!$A$88:$IV$90</definedName>
    <definedName name="resource_lookup">'[55]#REF'!$B$3:$C$112</definedName>
    <definedName name="ResourceSupplier">[11]Variables!$D$28</definedName>
    <definedName name="ResRCF">[18]INPUTS!$F$44</definedName>
    <definedName name="ResUnc">[18]INPUTS!$F$39</definedName>
    <definedName name="RevClass">[53]Codes!$F$2:$G$10</definedName>
    <definedName name="REVFAC1.T">[4]INTERNAL!$A$73:$IV$75</definedName>
    <definedName name="ROD">[18]INPUTS!$F$30</definedName>
    <definedName name="ROR">[18]INPUTS!$F$29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[47]INPUTS!$F$40</definedName>
    <definedName name="SbUnc">[4]INPUTS!$F$35</definedName>
    <definedName name="Sch194Rlfwd">'[56]Sch94 Rlfwd'!$B$11</definedName>
    <definedName name="Schedule">[45]Inputs!$N$14</definedName>
    <definedName name="Sep03AMA">[3]BS!$AG$7:$AG$3582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>[9]Assumptions!$C$9</definedName>
    <definedName name="STATE_UTILITY_TAX" localSheetId="16">'[5]MJS-7'!$N$16</definedName>
    <definedName name="STATE_UTILITY_TAX">'[6]MJS-7'!$N$16</definedName>
    <definedName name="STAX">[18]INPUTS!$F$34</definedName>
    <definedName name="SW.T">[4]INTERNAL!$A$76:$IV$78</definedName>
    <definedName name="SWPTD.T">[4]INTERNAL!$A$79:$IV$81</definedName>
    <definedName name="TargetROR">[10]Inputs!$G$29</definedName>
    <definedName name="TDP.T">[4]INTERNAL!$A$82:$IV$84</definedName>
    <definedName name="TestPeriod">[7]Inputs!$C$5</definedName>
    <definedName name="TESTYEAR">'[28]JHS-6'!$A$7</definedName>
    <definedName name="TFR">[4]CLASSIFIERS!$A$11:$IV$11</definedName>
    <definedName name="ThermalBookLife">[9]Assumptions!$C$25</definedName>
    <definedName name="Title">[9]Assumptions!$A$1</definedName>
    <definedName name="TotalRateBase">'[7]G+T+D+R+M'!$H$58</definedName>
    <definedName name="TP.T">[4]INTERNAL!$A$91:$IV$93</definedName>
    <definedName name="transdb">'[57]Transp Unbilled'!$A$8:$E$174</definedName>
    <definedName name="TRANSM_2">[58]Transm2!$A$1:$M$461:'[58]10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 localSheetId="16">IF(Loan_Amount*Interest_Rate*Loan_Years*Loan_Start&gt;0,1,0)</definedName>
    <definedName name="Values_Entered" localSheetId="1">IF(Loan_Amount*Interest_Rate*Loan_Years*Loan_Start&gt;0,1,0)</definedName>
    <definedName name="Values_Entered" localSheetId="2">IF(Loan_Amount*Interest_Rate*Loan_Years*Loan_Start&gt;0,1,0)</definedName>
    <definedName name="Values_Entered" localSheetId="3">IF(Loan_Amount*Interest_Rate*Loan_Years*Loan_Start&gt;0,1,0)</definedName>
    <definedName name="Values_Entered">IF(Loan_Amount*Interest_Rate*Loan_Years*Loan_Start&gt;0,1,0)</definedName>
    <definedName name="VOMEsc">[9]Assumptions!$C$21</definedName>
    <definedName name="WACC">[9]Assumptions!$I$61</definedName>
    <definedName name="WaRevenueTax">[11]Variables!$D$27</definedName>
    <definedName name="Winter">'[59]Input Tab'!$B$11</definedName>
    <definedName name="WinterPeak">'[60]Load Data'!$D$9:$H$12,'[60]Load Data'!$D$20:$H$22</definedName>
    <definedName name="WUTC_Docket_No._UG_11____" localSheetId="16">'[5]MJS-6'!$F$2</definedName>
    <definedName name="WUTC_Docket_No._UG_11____">'[6]MJS-6'!$F$2</definedName>
    <definedName name="WUTC_FILING_FEE" localSheetId="16">'[5]MJS-7'!$O$15</definedName>
    <definedName name="WUTC_FILING_FEE">'[6]MJS-7'!$O$15</definedName>
    <definedName name="Years_evaluated">'[61]Revison Inputs'!$B$6</definedName>
    <definedName name="YEFactors">[8]Factors!$S$3:$AG$99</definedName>
    <definedName name="YTD_Format">[52]YTD!$B$13:$D$13,[52]YTD!$B$36:$D$36</definedName>
  </definedNames>
  <calcPr calcId="145621"/>
</workbook>
</file>

<file path=xl/calcChain.xml><?xml version="1.0" encoding="utf-8"?>
<calcChain xmlns="http://schemas.openxmlformats.org/spreadsheetml/2006/main">
  <c r="R156" i="77" l="1"/>
  <c r="R134" i="77"/>
  <c r="O149" i="102" l="1"/>
  <c r="N149" i="102"/>
  <c r="M149" i="102"/>
  <c r="L149" i="102"/>
  <c r="K149" i="102"/>
  <c r="J149" i="102"/>
  <c r="I149" i="102"/>
  <c r="H149" i="102"/>
  <c r="G149" i="102"/>
  <c r="F149" i="102"/>
  <c r="E149" i="102"/>
  <c r="D149" i="102"/>
  <c r="O148" i="102"/>
  <c r="N148" i="102"/>
  <c r="M148" i="102"/>
  <c r="L148" i="102"/>
  <c r="K148" i="102"/>
  <c r="J148" i="102"/>
  <c r="I148" i="102"/>
  <c r="H148" i="102"/>
  <c r="G148" i="102"/>
  <c r="F148" i="102"/>
  <c r="E148" i="102"/>
  <c r="D148" i="102"/>
  <c r="O147" i="102"/>
  <c r="N147" i="102"/>
  <c r="M147" i="102"/>
  <c r="L147" i="102"/>
  <c r="K147" i="102"/>
  <c r="J147" i="102"/>
  <c r="I147" i="102"/>
  <c r="H147" i="102"/>
  <c r="G147" i="102"/>
  <c r="F147" i="102"/>
  <c r="E147" i="102"/>
  <c r="D147" i="102"/>
  <c r="O81" i="102"/>
  <c r="N81" i="102"/>
  <c r="M81" i="102"/>
  <c r="L81" i="102"/>
  <c r="K81" i="102"/>
  <c r="J81" i="102"/>
  <c r="I81" i="102"/>
  <c r="H81" i="102"/>
  <c r="G81" i="102"/>
  <c r="F81" i="102"/>
  <c r="E81" i="102"/>
  <c r="D81" i="102"/>
  <c r="O80" i="102"/>
  <c r="N80" i="102"/>
  <c r="M80" i="102"/>
  <c r="L80" i="102"/>
  <c r="K80" i="102"/>
  <c r="J80" i="102"/>
  <c r="I80" i="102"/>
  <c r="H80" i="102"/>
  <c r="G80" i="102"/>
  <c r="F80" i="102"/>
  <c r="E80" i="102"/>
  <c r="D80" i="102"/>
  <c r="AD32" i="104"/>
  <c r="AB32" i="104"/>
  <c r="P32" i="104"/>
  <c r="AD31" i="104"/>
  <c r="AB31" i="104"/>
  <c r="P31" i="104"/>
  <c r="AD30" i="104"/>
  <c r="AB30" i="104"/>
  <c r="P30" i="104"/>
  <c r="AD29" i="104"/>
  <c r="AB29" i="104"/>
  <c r="P29" i="104"/>
  <c r="AD28" i="104"/>
  <c r="AB28" i="104"/>
  <c r="P28" i="104"/>
  <c r="AD27" i="104"/>
  <c r="AB27" i="104"/>
  <c r="P27" i="104"/>
  <c r="AF26" i="104"/>
  <c r="AB26" i="104"/>
  <c r="AD26" i="104" s="1"/>
  <c r="AH26" i="104" s="1"/>
  <c r="V26" i="104"/>
  <c r="U26" i="104"/>
  <c r="T26" i="104"/>
  <c r="P26" i="104"/>
  <c r="R26" i="104" s="1"/>
  <c r="N26" i="104"/>
  <c r="M26" i="104"/>
  <c r="L26" i="104"/>
  <c r="AF25" i="104"/>
  <c r="AB25" i="104"/>
  <c r="AD25" i="104" s="1"/>
  <c r="V25" i="104"/>
  <c r="U25" i="104"/>
  <c r="T25" i="104"/>
  <c r="P25" i="104"/>
  <c r="R25" i="104" s="1"/>
  <c r="N25" i="104"/>
  <c r="M25" i="104"/>
  <c r="L25" i="104"/>
  <c r="AF24" i="104"/>
  <c r="AB24" i="104"/>
  <c r="AD24" i="104" s="1"/>
  <c r="AH24" i="104" s="1"/>
  <c r="V24" i="104"/>
  <c r="U24" i="104"/>
  <c r="T24" i="104"/>
  <c r="P24" i="104"/>
  <c r="R24" i="104" s="1"/>
  <c r="N24" i="104"/>
  <c r="M24" i="104"/>
  <c r="L24" i="104"/>
  <c r="AF23" i="104"/>
  <c r="AB23" i="104"/>
  <c r="AD23" i="104" s="1"/>
  <c r="V23" i="104"/>
  <c r="U23" i="104"/>
  <c r="T23" i="104"/>
  <c r="P23" i="104"/>
  <c r="R23" i="104" s="1"/>
  <c r="N23" i="104"/>
  <c r="M23" i="104"/>
  <c r="L23" i="104"/>
  <c r="AF22" i="104"/>
  <c r="AB22" i="104"/>
  <c r="AD22" i="104" s="1"/>
  <c r="AH22" i="104" s="1"/>
  <c r="V22" i="104"/>
  <c r="U22" i="104"/>
  <c r="T22" i="104"/>
  <c r="P22" i="104"/>
  <c r="R22" i="104" s="1"/>
  <c r="N22" i="104"/>
  <c r="M22" i="104"/>
  <c r="L22" i="104"/>
  <c r="AF21" i="104"/>
  <c r="AB21" i="104"/>
  <c r="AD21" i="104" s="1"/>
  <c r="V21" i="104"/>
  <c r="U21" i="104"/>
  <c r="T21" i="104"/>
  <c r="P21" i="104"/>
  <c r="R21" i="104" s="1"/>
  <c r="N21" i="104"/>
  <c r="M21" i="104"/>
  <c r="L21" i="104"/>
  <c r="BH20" i="104"/>
  <c r="AD20" i="104"/>
  <c r="AH20" i="104" s="1"/>
  <c r="Y20" i="104"/>
  <c r="AK20" i="104" s="1"/>
  <c r="AO20" i="104" s="1"/>
  <c r="R20" i="104"/>
  <c r="N20" i="104"/>
  <c r="M20" i="104"/>
  <c r="L20" i="104"/>
  <c r="BH19" i="104"/>
  <c r="AD19" i="104"/>
  <c r="AH19" i="104" s="1"/>
  <c r="R19" i="104"/>
  <c r="N19" i="104"/>
  <c r="M19" i="104"/>
  <c r="L19" i="104"/>
  <c r="BH18" i="104"/>
  <c r="AD18" i="104"/>
  <c r="AH18" i="104" s="1"/>
  <c r="AJ18" i="104" s="1"/>
  <c r="Z18" i="104"/>
  <c r="AL18" i="104" s="1"/>
  <c r="Y18" i="104"/>
  <c r="AK18" i="104" s="1"/>
  <c r="AO18" i="104" s="1"/>
  <c r="R18" i="104"/>
  <c r="X18" i="104" s="1"/>
  <c r="N18" i="104"/>
  <c r="AP18" i="104" s="1"/>
  <c r="BB18" i="104" s="1"/>
  <c r="M18" i="104"/>
  <c r="L18" i="104"/>
  <c r="AN18" i="104" s="1"/>
  <c r="AR18" i="104" s="1"/>
  <c r="BH17" i="104"/>
  <c r="BB17" i="104"/>
  <c r="AT17" i="104"/>
  <c r="BF17" i="104" s="1"/>
  <c r="AN17" i="104"/>
  <c r="AZ17" i="104" s="1"/>
  <c r="AL17" i="104"/>
  <c r="AJ17" i="104"/>
  <c r="AD17" i="104"/>
  <c r="AH17" i="104" s="1"/>
  <c r="Y17" i="104"/>
  <c r="AK17" i="104" s="1"/>
  <c r="X17" i="104"/>
  <c r="R17" i="104"/>
  <c r="Z17" i="104" s="1"/>
  <c r="N17" i="104"/>
  <c r="AP17" i="104" s="1"/>
  <c r="M17" i="104"/>
  <c r="AO17" i="104" s="1"/>
  <c r="L17" i="104"/>
  <c r="BH16" i="104"/>
  <c r="AD16" i="104"/>
  <c r="AH16" i="104" s="1"/>
  <c r="R16" i="104"/>
  <c r="N16" i="104"/>
  <c r="M16" i="104"/>
  <c r="L16" i="104"/>
  <c r="BH15" i="104"/>
  <c r="AL15" i="104"/>
  <c r="AH15" i="104"/>
  <c r="AD15" i="104"/>
  <c r="Y15" i="104"/>
  <c r="AK15" i="104" s="1"/>
  <c r="R15" i="104"/>
  <c r="Z15" i="104" s="1"/>
  <c r="N15" i="104"/>
  <c r="M15" i="104"/>
  <c r="AO15" i="104" s="1"/>
  <c r="L15" i="104"/>
  <c r="BH14" i="104"/>
  <c r="AL14" i="104"/>
  <c r="AD14" i="104"/>
  <c r="AH14" i="104" s="1"/>
  <c r="AJ14" i="104" s="1"/>
  <c r="Y14" i="104"/>
  <c r="AK14" i="104" s="1"/>
  <c r="X14" i="104"/>
  <c r="R14" i="104"/>
  <c r="Z14" i="104" s="1"/>
  <c r="N14" i="104"/>
  <c r="AP14" i="104" s="1"/>
  <c r="BB14" i="104" s="1"/>
  <c r="M14" i="104"/>
  <c r="AO14" i="104" s="1"/>
  <c r="L14" i="104"/>
  <c r="AN14" i="104" s="1"/>
  <c r="BH13" i="104"/>
  <c r="AD13" i="104"/>
  <c r="AH13" i="104" s="1"/>
  <c r="R13" i="104"/>
  <c r="X13" i="104" s="1"/>
  <c r="AJ13" i="104" s="1"/>
  <c r="N13" i="104"/>
  <c r="M13" i="104"/>
  <c r="L13" i="104"/>
  <c r="BH12" i="104"/>
  <c r="AH12" i="104"/>
  <c r="AD12" i="104"/>
  <c r="R12" i="104"/>
  <c r="Z12" i="104" s="1"/>
  <c r="AL12" i="104" s="1"/>
  <c r="N12" i="104"/>
  <c r="M12" i="104"/>
  <c r="L12" i="104"/>
  <c r="BH11" i="104"/>
  <c r="AD11" i="104"/>
  <c r="AH11" i="104" s="1"/>
  <c r="AJ11" i="104" s="1"/>
  <c r="Y11" i="104"/>
  <c r="AK11" i="104" s="1"/>
  <c r="AO11" i="104" s="1"/>
  <c r="R11" i="104"/>
  <c r="X11" i="104" s="1"/>
  <c r="N11" i="104"/>
  <c r="M11" i="104"/>
  <c r="L11" i="104"/>
  <c r="BH10" i="104"/>
  <c r="AD10" i="104"/>
  <c r="AH10" i="104" s="1"/>
  <c r="X10" i="104"/>
  <c r="R10" i="104"/>
  <c r="Z10" i="104" s="1"/>
  <c r="AL10" i="104" s="1"/>
  <c r="N10" i="104"/>
  <c r="M10" i="104"/>
  <c r="L10" i="104"/>
  <c r="B10" i="104"/>
  <c r="A10" i="104" s="1"/>
  <c r="BH9" i="104"/>
  <c r="AD9" i="104"/>
  <c r="AH9" i="104" s="1"/>
  <c r="AJ9" i="104" s="1"/>
  <c r="Z9" i="104"/>
  <c r="R9" i="104"/>
  <c r="X9" i="104" s="1"/>
  <c r="N9" i="104"/>
  <c r="M9" i="104"/>
  <c r="L9" i="104"/>
  <c r="AS11" i="104" l="1"/>
  <c r="BA11" i="104"/>
  <c r="AJ12" i="104"/>
  <c r="AZ14" i="104"/>
  <c r="AR14" i="104"/>
  <c r="BA14" i="104"/>
  <c r="AS14" i="104"/>
  <c r="AS18" i="104"/>
  <c r="BA18" i="104"/>
  <c r="AJ10" i="104"/>
  <c r="AN10" i="104" s="1"/>
  <c r="AP11" i="104"/>
  <c r="BA15" i="104"/>
  <c r="AS15" i="104"/>
  <c r="AP9" i="104"/>
  <c r="AN12" i="104"/>
  <c r="AO13" i="104"/>
  <c r="AS20" i="104"/>
  <c r="BA20" i="104"/>
  <c r="AP10" i="104"/>
  <c r="BA17" i="104"/>
  <c r="AS17" i="104"/>
  <c r="BD18" i="104"/>
  <c r="AV18" i="104"/>
  <c r="Z25" i="104"/>
  <c r="AL25" i="104" s="1"/>
  <c r="AP25" i="104" s="1"/>
  <c r="X25" i="104"/>
  <c r="Y25" i="104"/>
  <c r="AK25" i="104" s="1"/>
  <c r="AN11" i="104"/>
  <c r="Y12" i="104"/>
  <c r="AK12" i="104" s="1"/>
  <c r="AO12" i="104" s="1"/>
  <c r="Z13" i="104"/>
  <c r="AL13" i="104" s="1"/>
  <c r="AP13" i="104" s="1"/>
  <c r="AT14" i="104"/>
  <c r="AZ18" i="104"/>
  <c r="Z23" i="104"/>
  <c r="AL23" i="104" s="1"/>
  <c r="AP23" i="104" s="1"/>
  <c r="X23" i="104"/>
  <c r="Y23" i="104"/>
  <c r="AK23" i="104" s="1"/>
  <c r="AO23" i="104" s="1"/>
  <c r="AO25" i="104"/>
  <c r="AN9" i="104"/>
  <c r="Y9" i="104"/>
  <c r="Y10" i="104"/>
  <c r="AK10" i="104" s="1"/>
  <c r="AO10" i="104" s="1"/>
  <c r="Z11" i="104"/>
  <c r="AL11" i="104" s="1"/>
  <c r="AP12" i="104"/>
  <c r="X15" i="104"/>
  <c r="AJ15" i="104" s="1"/>
  <c r="AN15" i="104" s="1"/>
  <c r="AX17" i="104"/>
  <c r="AO19" i="104"/>
  <c r="BH21" i="104"/>
  <c r="BH25" i="104"/>
  <c r="AL9" i="104"/>
  <c r="X16" i="104"/>
  <c r="AJ16" i="104" s="1"/>
  <c r="AN16" i="104" s="1"/>
  <c r="Y16" i="104"/>
  <c r="AK16" i="104" s="1"/>
  <c r="AO16" i="104" s="1"/>
  <c r="AN20" i="104"/>
  <c r="Z21" i="104"/>
  <c r="AL21" i="104" s="1"/>
  <c r="AP21" i="104" s="1"/>
  <c r="X21" i="104"/>
  <c r="Y21" i="104"/>
  <c r="AK21" i="104" s="1"/>
  <c r="AO21" i="104" s="1"/>
  <c r="B11" i="104"/>
  <c r="X12" i="104"/>
  <c r="AN13" i="104"/>
  <c r="Y13" i="104"/>
  <c r="AK13" i="104" s="1"/>
  <c r="Z16" i="104"/>
  <c r="AL16" i="104" s="1"/>
  <c r="AP16" i="104" s="1"/>
  <c r="AR17" i="104"/>
  <c r="AT18" i="104"/>
  <c r="Z19" i="104"/>
  <c r="AL19" i="104" s="1"/>
  <c r="AP19" i="104" s="1"/>
  <c r="X19" i="104"/>
  <c r="AJ19" i="104" s="1"/>
  <c r="AN19" i="104" s="1"/>
  <c r="Y19" i="104"/>
  <c r="AK19" i="104" s="1"/>
  <c r="BH23" i="104"/>
  <c r="AP15" i="104"/>
  <c r="X20" i="104"/>
  <c r="AJ20" i="104" s="1"/>
  <c r="Z20" i="104"/>
  <c r="AL20" i="104" s="1"/>
  <c r="AP20" i="104" s="1"/>
  <c r="AH23" i="104"/>
  <c r="AJ23" i="104" s="1"/>
  <c r="AN23" i="104" s="1"/>
  <c r="Z24" i="104"/>
  <c r="AL24" i="104" s="1"/>
  <c r="AP24" i="104" s="1"/>
  <c r="X24" i="104"/>
  <c r="AJ24" i="104" s="1"/>
  <c r="AN24" i="104" s="1"/>
  <c r="Y24" i="104"/>
  <c r="AK24" i="104" s="1"/>
  <c r="AO24" i="104" s="1"/>
  <c r="BH24" i="104"/>
  <c r="AH21" i="104"/>
  <c r="AJ21" i="104" s="1"/>
  <c r="AN21" i="104" s="1"/>
  <c r="Z22" i="104"/>
  <c r="AL22" i="104" s="1"/>
  <c r="AP22" i="104" s="1"/>
  <c r="X22" i="104"/>
  <c r="AJ22" i="104" s="1"/>
  <c r="AN22" i="104" s="1"/>
  <c r="Y22" i="104"/>
  <c r="AK22" i="104" s="1"/>
  <c r="AO22" i="104" s="1"/>
  <c r="BH22" i="104"/>
  <c r="AH25" i="104"/>
  <c r="Z26" i="104"/>
  <c r="AL26" i="104" s="1"/>
  <c r="AP26" i="104" s="1"/>
  <c r="X26" i="104"/>
  <c r="AJ26" i="104" s="1"/>
  <c r="AN26" i="104" s="1"/>
  <c r="Y26" i="104"/>
  <c r="AK26" i="104" s="1"/>
  <c r="AO26" i="104" s="1"/>
  <c r="BH26" i="104"/>
  <c r="AR22" i="104" l="1"/>
  <c r="AZ22" i="104"/>
  <c r="BB20" i="104"/>
  <c r="AT20" i="104"/>
  <c r="AS23" i="104"/>
  <c r="BA23" i="104"/>
  <c r="AR24" i="104"/>
  <c r="AZ24" i="104"/>
  <c r="AZ19" i="104"/>
  <c r="AR19" i="104"/>
  <c r="AZ15" i="104"/>
  <c r="AR15" i="104"/>
  <c r="AZ21" i="104"/>
  <c r="AR21" i="104"/>
  <c r="AT19" i="104"/>
  <c r="BB19" i="104"/>
  <c r="AS21" i="104"/>
  <c r="BA21" i="104"/>
  <c r="AS16" i="104"/>
  <c r="BA16" i="104"/>
  <c r="AR26" i="104"/>
  <c r="AZ26" i="104"/>
  <c r="AZ23" i="104"/>
  <c r="AR23" i="104"/>
  <c r="AZ16" i="104"/>
  <c r="AR16" i="104"/>
  <c r="A11" i="104"/>
  <c r="B12" i="104"/>
  <c r="AR20" i="104"/>
  <c r="AZ20" i="104"/>
  <c r="BA10" i="104"/>
  <c r="AS10" i="104"/>
  <c r="AT23" i="104"/>
  <c r="BB23" i="104"/>
  <c r="BA12" i="104"/>
  <c r="AS12" i="104"/>
  <c r="AT10" i="104"/>
  <c r="BB10" i="104"/>
  <c r="BB26" i="104"/>
  <c r="AT26" i="104"/>
  <c r="AS22" i="104"/>
  <c r="BA22" i="104"/>
  <c r="AS24" i="104"/>
  <c r="BA24" i="104"/>
  <c r="AK9" i="104"/>
  <c r="AO9" i="104" s="1"/>
  <c r="AT25" i="104"/>
  <c r="BB25" i="104"/>
  <c r="AR12" i="104"/>
  <c r="AZ12" i="104"/>
  <c r="AT11" i="104"/>
  <c r="BB11" i="104"/>
  <c r="AJ25" i="104"/>
  <c r="AN25" i="104" s="1"/>
  <c r="AX18" i="104"/>
  <c r="BF18" i="104"/>
  <c r="AZ13" i="104"/>
  <c r="AR13" i="104"/>
  <c r="BA19" i="104"/>
  <c r="AS19" i="104"/>
  <c r="BB12" i="104"/>
  <c r="AT12" i="104"/>
  <c r="AZ9" i="104"/>
  <c r="AR9" i="104"/>
  <c r="BF14" i="104"/>
  <c r="AX14" i="104"/>
  <c r="AW17" i="104"/>
  <c r="BE17" i="104"/>
  <c r="AW20" i="104"/>
  <c r="BE20" i="104"/>
  <c r="BB9" i="104"/>
  <c r="AT9" i="104"/>
  <c r="AW18" i="104"/>
  <c r="BE18" i="104"/>
  <c r="AS26" i="104"/>
  <c r="BA26" i="104"/>
  <c r="BB22" i="104"/>
  <c r="AT22" i="104"/>
  <c r="BB24" i="104"/>
  <c r="AT24" i="104"/>
  <c r="AV17" i="104"/>
  <c r="BD17" i="104"/>
  <c r="AT21" i="104"/>
  <c r="BB21" i="104"/>
  <c r="BB13" i="104"/>
  <c r="AT13" i="104"/>
  <c r="BE15" i="104"/>
  <c r="AW15" i="104"/>
  <c r="AZ10" i="104"/>
  <c r="AR10" i="104"/>
  <c r="BE14" i="104"/>
  <c r="AW14" i="104"/>
  <c r="BD14" i="104"/>
  <c r="AV14" i="104"/>
  <c r="BE11" i="104"/>
  <c r="AW11" i="104"/>
  <c r="BB16" i="104"/>
  <c r="AT16" i="104"/>
  <c r="AS25" i="104"/>
  <c r="BA25" i="104"/>
  <c r="AS13" i="104"/>
  <c r="BA13" i="104"/>
  <c r="BB15" i="104"/>
  <c r="AT15" i="104"/>
  <c r="AZ11" i="104"/>
  <c r="AR11" i="104"/>
  <c r="BE25" i="104" l="1"/>
  <c r="AW25" i="104"/>
  <c r="AX21" i="104"/>
  <c r="BF21" i="104"/>
  <c r="AW26" i="104"/>
  <c r="BE26" i="104"/>
  <c r="BE13" i="104"/>
  <c r="AW13" i="104"/>
  <c r="AX26" i="104"/>
  <c r="BF26" i="104"/>
  <c r="BE12" i="104"/>
  <c r="AW12" i="104"/>
  <c r="AW10" i="104"/>
  <c r="BE10" i="104"/>
  <c r="A12" i="104"/>
  <c r="B13" i="104"/>
  <c r="BD23" i="104"/>
  <c r="AV23" i="104"/>
  <c r="AV15" i="104"/>
  <c r="BD15" i="104"/>
  <c r="AX20" i="104"/>
  <c r="BF20" i="104"/>
  <c r="BF15" i="104"/>
  <c r="AX15" i="104"/>
  <c r="AX24" i="104"/>
  <c r="BF24" i="104"/>
  <c r="AX9" i="104"/>
  <c r="BF9" i="104"/>
  <c r="BD9" i="104"/>
  <c r="AV9" i="104"/>
  <c r="BE19" i="104"/>
  <c r="AW19" i="104"/>
  <c r="AX11" i="104"/>
  <c r="BF11" i="104"/>
  <c r="AX25" i="104"/>
  <c r="BF25" i="104"/>
  <c r="AW24" i="104"/>
  <c r="BE24" i="104"/>
  <c r="BE16" i="104"/>
  <c r="AW16" i="104"/>
  <c r="BF19" i="104"/>
  <c r="AX19" i="104"/>
  <c r="BD24" i="104"/>
  <c r="AV24" i="104"/>
  <c r="BD16" i="104"/>
  <c r="AV16" i="104"/>
  <c r="BD21" i="104"/>
  <c r="AV21" i="104"/>
  <c r="AV19" i="104"/>
  <c r="BD19" i="104"/>
  <c r="BD11" i="104"/>
  <c r="AV11" i="104"/>
  <c r="AX16" i="104"/>
  <c r="BF16" i="104"/>
  <c r="AV10" i="104"/>
  <c r="BD10" i="104"/>
  <c r="AX13" i="104"/>
  <c r="BF13" i="104"/>
  <c r="AX22" i="104"/>
  <c r="BF22" i="104"/>
  <c r="BF12" i="104"/>
  <c r="AX12" i="104"/>
  <c r="BD13" i="104"/>
  <c r="AV13" i="104"/>
  <c r="AZ25" i="104"/>
  <c r="AR25" i="104"/>
  <c r="AV12" i="104"/>
  <c r="BD12" i="104"/>
  <c r="AS9" i="104"/>
  <c r="BA9" i="104"/>
  <c r="AW22" i="104"/>
  <c r="BE22" i="104"/>
  <c r="BF10" i="104"/>
  <c r="AX10" i="104"/>
  <c r="AX23" i="104"/>
  <c r="BF23" i="104"/>
  <c r="BD20" i="104"/>
  <c r="AV20" i="104"/>
  <c r="BD26" i="104"/>
  <c r="AV26" i="104"/>
  <c r="BE21" i="104"/>
  <c r="AW21" i="104"/>
  <c r="BE23" i="104"/>
  <c r="AW23" i="104"/>
  <c r="BD22" i="104"/>
  <c r="AV22" i="104"/>
  <c r="BE9" i="104" l="1"/>
  <c r="AW9" i="104"/>
  <c r="B14" i="104"/>
  <c r="A13" i="104"/>
  <c r="BD25" i="104"/>
  <c r="AV25" i="104"/>
  <c r="A14" i="104" l="1"/>
  <c r="B15" i="104"/>
  <c r="A15" i="104" l="1"/>
  <c r="B16" i="104"/>
  <c r="B17" i="104" l="1"/>
  <c r="A16" i="104"/>
  <c r="A17" i="104" l="1"/>
  <c r="B18" i="104"/>
  <c r="B19" i="104" l="1"/>
  <c r="A18" i="104"/>
  <c r="A19" i="104" l="1"/>
  <c r="B20" i="104"/>
  <c r="A20" i="104" l="1"/>
  <c r="B21" i="104"/>
  <c r="A21" i="104" l="1"/>
  <c r="B22" i="104"/>
  <c r="A22" i="104" l="1"/>
  <c r="B23" i="104"/>
  <c r="A23" i="104" l="1"/>
  <c r="B24" i="104"/>
  <c r="A24" i="104" l="1"/>
  <c r="B25" i="104"/>
  <c r="A25" i="104" l="1"/>
  <c r="B26" i="104"/>
  <c r="A26" i="104" l="1"/>
  <c r="B27" i="104"/>
  <c r="A27" i="104" l="1"/>
  <c r="B28" i="104"/>
  <c r="B29" i="104" l="1"/>
  <c r="A28" i="104"/>
  <c r="B30" i="104" l="1"/>
  <c r="A29" i="104"/>
  <c r="B31" i="104" l="1"/>
  <c r="A30" i="104"/>
  <c r="A31" i="104" l="1"/>
  <c r="B32" i="104"/>
  <c r="A32" i="104" l="1"/>
  <c r="AC7" i="104" l="1"/>
  <c r="X7" i="104"/>
  <c r="Y7" i="104"/>
  <c r="AT7" i="104"/>
  <c r="Z7" i="104"/>
  <c r="H7" i="104"/>
  <c r="AH7" i="104"/>
  <c r="AJ7" i="104" s="1"/>
  <c r="AB7" i="104"/>
  <c r="AS7" i="104"/>
  <c r="Q7" i="104"/>
  <c r="P7" i="104"/>
  <c r="I7" i="104"/>
  <c r="AR7" i="104"/>
  <c r="E7" i="104"/>
  <c r="F7" i="104"/>
  <c r="J7" i="104"/>
  <c r="D7" i="104"/>
  <c r="L7" i="104" s="1"/>
  <c r="AX7" i="104" l="1"/>
  <c r="BF7" i="104"/>
  <c r="N7" i="104"/>
  <c r="AN7" i="104"/>
  <c r="AZ7" i="104" s="1"/>
  <c r="AK7" i="104"/>
  <c r="AO7" i="104" s="1"/>
  <c r="BA7" i="104" s="1"/>
  <c r="M7" i="104"/>
  <c r="R7" i="104"/>
  <c r="U7" i="104" s="1"/>
  <c r="BH7" i="104"/>
  <c r="BD7" i="104"/>
  <c r="AV7" i="104"/>
  <c r="BE7" i="104"/>
  <c r="AW7" i="104"/>
  <c r="AL7" i="104"/>
  <c r="AP7" i="104" s="1"/>
  <c r="BB7" i="104" s="1"/>
  <c r="AD7" i="104"/>
  <c r="AF7" i="104" s="1"/>
  <c r="V7" i="104" l="1"/>
  <c r="T7" i="104"/>
  <c r="J40" i="103" l="1"/>
  <c r="M39" i="103"/>
  <c r="N39" i="103" s="1"/>
  <c r="O39" i="103" s="1"/>
  <c r="L39" i="103"/>
  <c r="K39" i="103"/>
  <c r="D39" i="103"/>
  <c r="E39" i="103" s="1"/>
  <c r="F39" i="103" s="1"/>
  <c r="G39" i="103" s="1"/>
  <c r="H39" i="103" s="1"/>
  <c r="I39" i="103" s="1"/>
  <c r="L38" i="103"/>
  <c r="M38" i="103" s="1"/>
  <c r="N38" i="103" s="1"/>
  <c r="O38" i="103" s="1"/>
  <c r="K38" i="103"/>
  <c r="D38" i="103"/>
  <c r="E38" i="103" s="1"/>
  <c r="F38" i="103" s="1"/>
  <c r="G38" i="103" s="1"/>
  <c r="H38" i="103" s="1"/>
  <c r="I38" i="103" s="1"/>
  <c r="K37" i="103"/>
  <c r="J37" i="103"/>
  <c r="D37" i="103"/>
  <c r="D34" i="103"/>
  <c r="K33" i="103"/>
  <c r="L33" i="103" s="1"/>
  <c r="M33" i="103" s="1"/>
  <c r="N33" i="103" s="1"/>
  <c r="O33" i="103" s="1"/>
  <c r="G33" i="103"/>
  <c r="H33" i="103" s="1"/>
  <c r="I33" i="103" s="1"/>
  <c r="F33" i="103"/>
  <c r="E33" i="103"/>
  <c r="D33" i="103"/>
  <c r="K32" i="103"/>
  <c r="L32" i="103" s="1"/>
  <c r="M32" i="103" s="1"/>
  <c r="N32" i="103" s="1"/>
  <c r="O32" i="103" s="1"/>
  <c r="F32" i="103"/>
  <c r="G32" i="103" s="1"/>
  <c r="H32" i="103" s="1"/>
  <c r="I32" i="103" s="1"/>
  <c r="E32" i="103"/>
  <c r="D32" i="103"/>
  <c r="J31" i="103"/>
  <c r="E31" i="103"/>
  <c r="E34" i="103" s="1"/>
  <c r="D31" i="103"/>
  <c r="J28" i="103"/>
  <c r="D28" i="103"/>
  <c r="M27" i="103"/>
  <c r="N27" i="103" s="1"/>
  <c r="O27" i="103" s="1"/>
  <c r="L27" i="103"/>
  <c r="K27" i="103"/>
  <c r="E27" i="103"/>
  <c r="F27" i="103" s="1"/>
  <c r="G27" i="103" s="1"/>
  <c r="H27" i="103" s="1"/>
  <c r="I27" i="103" s="1"/>
  <c r="K26" i="103"/>
  <c r="L26" i="103" s="1"/>
  <c r="M26" i="103" s="1"/>
  <c r="N26" i="103" s="1"/>
  <c r="O26" i="103" s="1"/>
  <c r="F26" i="103"/>
  <c r="G26" i="103" s="1"/>
  <c r="H26" i="103" s="1"/>
  <c r="I26" i="103" s="1"/>
  <c r="E26" i="103"/>
  <c r="M25" i="103"/>
  <c r="N25" i="103" s="1"/>
  <c r="L25" i="103"/>
  <c r="K25" i="103"/>
  <c r="E25" i="103"/>
  <c r="F25" i="103" s="1"/>
  <c r="G25" i="103" s="1"/>
  <c r="J22" i="103"/>
  <c r="D22" i="103"/>
  <c r="K21" i="103"/>
  <c r="L21" i="103" s="1"/>
  <c r="M21" i="103" s="1"/>
  <c r="N21" i="103" s="1"/>
  <c r="O21" i="103" s="1"/>
  <c r="F21" i="103"/>
  <c r="G21" i="103" s="1"/>
  <c r="H21" i="103" s="1"/>
  <c r="I21" i="103" s="1"/>
  <c r="E21" i="103"/>
  <c r="M20" i="103"/>
  <c r="N20" i="103" s="1"/>
  <c r="O20" i="103" s="1"/>
  <c r="L20" i="103"/>
  <c r="K20" i="103"/>
  <c r="E20" i="103"/>
  <c r="F20" i="103" s="1"/>
  <c r="G20" i="103" s="1"/>
  <c r="H20" i="103" s="1"/>
  <c r="I20" i="103" s="1"/>
  <c r="K19" i="103"/>
  <c r="K22" i="103" s="1"/>
  <c r="G19" i="103"/>
  <c r="H19" i="103" s="1"/>
  <c r="I19" i="103" s="1"/>
  <c r="F19" i="103"/>
  <c r="E19" i="103"/>
  <c r="L7" i="103"/>
  <c r="M7" i="103" s="1"/>
  <c r="N7" i="103" s="1"/>
  <c r="O7" i="103" s="1"/>
  <c r="K7" i="103"/>
  <c r="O25" i="103" l="1"/>
  <c r="O28" i="103" s="1"/>
  <c r="N28" i="103"/>
  <c r="I22" i="103"/>
  <c r="G28" i="103"/>
  <c r="L28" i="103"/>
  <c r="H25" i="103"/>
  <c r="E28" i="103"/>
  <c r="M28" i="103"/>
  <c r="F31" i="103"/>
  <c r="E22" i="103"/>
  <c r="L19" i="103"/>
  <c r="G22" i="103"/>
  <c r="F28" i="103"/>
  <c r="D40" i="103"/>
  <c r="E37" i="103"/>
  <c r="K40" i="103"/>
  <c r="L37" i="103"/>
  <c r="F22" i="103"/>
  <c r="H22" i="103"/>
  <c r="K28" i="103"/>
  <c r="J34" i="103"/>
  <c r="K31" i="103"/>
  <c r="L31" i="103" l="1"/>
  <c r="K34" i="103"/>
  <c r="F37" i="103"/>
  <c r="E40" i="103"/>
  <c r="M19" i="103"/>
  <c r="L22" i="103"/>
  <c r="L40" i="103"/>
  <c r="M37" i="103"/>
  <c r="H28" i="103"/>
  <c r="I25" i="103"/>
  <c r="I28" i="103" s="1"/>
  <c r="F34" i="103"/>
  <c r="G31" i="103"/>
  <c r="N19" i="103" l="1"/>
  <c r="M22" i="103"/>
  <c r="H31" i="103"/>
  <c r="G34" i="103"/>
  <c r="N37" i="103"/>
  <c r="M40" i="103"/>
  <c r="F40" i="103"/>
  <c r="G37" i="103"/>
  <c r="L34" i="103"/>
  <c r="M31" i="103"/>
  <c r="N40" i="103" l="1"/>
  <c r="O37" i="103"/>
  <c r="O40" i="103" s="1"/>
  <c r="G40" i="103"/>
  <c r="H37" i="103"/>
  <c r="H34" i="103"/>
  <c r="I31" i="103"/>
  <c r="I34" i="103" s="1"/>
  <c r="N22" i="103"/>
  <c r="O19" i="103"/>
  <c r="O22" i="103" s="1"/>
  <c r="M34" i="103"/>
  <c r="N31" i="103"/>
  <c r="N34" i="103" l="1"/>
  <c r="O31" i="103"/>
  <c r="O34" i="103" s="1"/>
  <c r="H40" i="103"/>
  <c r="I37" i="103"/>
  <c r="I40" i="103" s="1"/>
  <c r="G40" i="77" l="1"/>
  <c r="H40" i="77"/>
  <c r="I40" i="77"/>
  <c r="J40" i="77"/>
  <c r="K40" i="77"/>
  <c r="L40" i="77"/>
  <c r="M40" i="77"/>
  <c r="N40" i="77"/>
  <c r="O40" i="77"/>
  <c r="P40" i="77"/>
  <c r="Q40" i="77"/>
  <c r="F40" i="77"/>
  <c r="G27" i="96" l="1"/>
  <c r="G26" i="96"/>
  <c r="F28" i="96"/>
  <c r="G785" i="77" l="1"/>
  <c r="H785" i="77"/>
  <c r="I785" i="77"/>
  <c r="J785" i="77"/>
  <c r="K785" i="77"/>
  <c r="L785" i="77"/>
  <c r="M785" i="77"/>
  <c r="N785" i="77"/>
  <c r="O785" i="77"/>
  <c r="P785" i="77"/>
  <c r="Q785" i="77"/>
  <c r="F785" i="77"/>
  <c r="G739" i="77"/>
  <c r="H739" i="77"/>
  <c r="I739" i="77"/>
  <c r="J739" i="77"/>
  <c r="K739" i="77"/>
  <c r="L739" i="77"/>
  <c r="M739" i="77"/>
  <c r="N739" i="77"/>
  <c r="O739" i="77"/>
  <c r="P739" i="77"/>
  <c r="Q739" i="77"/>
  <c r="F739" i="77"/>
  <c r="G684" i="77"/>
  <c r="H684" i="77"/>
  <c r="I684" i="77"/>
  <c r="J684" i="77"/>
  <c r="K684" i="77"/>
  <c r="L684" i="77"/>
  <c r="M684" i="77"/>
  <c r="N684" i="77"/>
  <c r="O684" i="77"/>
  <c r="P684" i="77"/>
  <c r="Q684" i="77"/>
  <c r="F684" i="77"/>
  <c r="G589" i="77"/>
  <c r="H589" i="77"/>
  <c r="I589" i="77"/>
  <c r="J589" i="77"/>
  <c r="K589" i="77"/>
  <c r="L589" i="77"/>
  <c r="M589" i="77"/>
  <c r="N589" i="77"/>
  <c r="O589" i="77"/>
  <c r="P589" i="77"/>
  <c r="Q589" i="77"/>
  <c r="F589" i="77"/>
  <c r="G546" i="77"/>
  <c r="H546" i="77"/>
  <c r="I546" i="77"/>
  <c r="J546" i="77"/>
  <c r="K546" i="77"/>
  <c r="L546" i="77"/>
  <c r="M546" i="77"/>
  <c r="N546" i="77"/>
  <c r="O546" i="77"/>
  <c r="P546" i="77"/>
  <c r="Q546" i="77"/>
  <c r="F546" i="77"/>
  <c r="G428" i="77"/>
  <c r="G465" i="77" s="1"/>
  <c r="H428" i="77"/>
  <c r="H465" i="77" s="1"/>
  <c r="I428" i="77"/>
  <c r="I465" i="77" s="1"/>
  <c r="J428" i="77"/>
  <c r="J465" i="77" s="1"/>
  <c r="K428" i="77"/>
  <c r="K465" i="77" s="1"/>
  <c r="L428" i="77"/>
  <c r="L465" i="77" s="1"/>
  <c r="M428" i="77"/>
  <c r="M465" i="77" s="1"/>
  <c r="N428" i="77"/>
  <c r="N465" i="77" s="1"/>
  <c r="O428" i="77"/>
  <c r="O465" i="77" s="1"/>
  <c r="P428" i="77"/>
  <c r="P465" i="77" s="1"/>
  <c r="Q428" i="77"/>
  <c r="Q465" i="77" s="1"/>
  <c r="F428" i="77"/>
  <c r="F465" i="77" s="1"/>
  <c r="G382" i="77"/>
  <c r="H382" i="77"/>
  <c r="I382" i="77"/>
  <c r="J382" i="77"/>
  <c r="K382" i="77"/>
  <c r="L382" i="77"/>
  <c r="M382" i="77"/>
  <c r="N382" i="77"/>
  <c r="O382" i="77"/>
  <c r="P382" i="77"/>
  <c r="Q382" i="77"/>
  <c r="F382" i="77"/>
  <c r="G296" i="77"/>
  <c r="H296" i="77"/>
  <c r="I296" i="77"/>
  <c r="J296" i="77"/>
  <c r="K296" i="77"/>
  <c r="L296" i="77"/>
  <c r="M296" i="77"/>
  <c r="N296" i="77"/>
  <c r="O296" i="77"/>
  <c r="P296" i="77"/>
  <c r="Q296" i="77"/>
  <c r="F296" i="77"/>
  <c r="G258" i="77"/>
  <c r="H258" i="77"/>
  <c r="I258" i="77"/>
  <c r="J258" i="77"/>
  <c r="K258" i="77"/>
  <c r="L258" i="77"/>
  <c r="M258" i="77"/>
  <c r="N258" i="77"/>
  <c r="O258" i="77"/>
  <c r="P258" i="77"/>
  <c r="Q258" i="77"/>
  <c r="F258" i="77"/>
  <c r="G212" i="77"/>
  <c r="H212" i="77"/>
  <c r="I212" i="77"/>
  <c r="J212" i="77"/>
  <c r="K212" i="77"/>
  <c r="L212" i="77"/>
  <c r="M212" i="77"/>
  <c r="N212" i="77"/>
  <c r="O212" i="77"/>
  <c r="P212" i="77"/>
  <c r="Q212" i="77"/>
  <c r="F212" i="77"/>
  <c r="G142" i="77" l="1"/>
  <c r="H142" i="77"/>
  <c r="I142" i="77"/>
  <c r="J142" i="77"/>
  <c r="K142" i="77"/>
  <c r="L142" i="77"/>
  <c r="M142" i="77"/>
  <c r="N142" i="77"/>
  <c r="O142" i="77"/>
  <c r="P142" i="77"/>
  <c r="Q142" i="77"/>
  <c r="F142" i="77"/>
  <c r="G120" i="77"/>
  <c r="H120" i="77"/>
  <c r="I120" i="77"/>
  <c r="J120" i="77"/>
  <c r="K120" i="77"/>
  <c r="L120" i="77"/>
  <c r="M120" i="77"/>
  <c r="N120" i="77"/>
  <c r="O120" i="77"/>
  <c r="P120" i="77"/>
  <c r="Q120" i="77"/>
  <c r="F120" i="77"/>
  <c r="G98" i="77"/>
  <c r="H98" i="77"/>
  <c r="I98" i="77"/>
  <c r="J98" i="77"/>
  <c r="K98" i="77"/>
  <c r="L98" i="77"/>
  <c r="M98" i="77"/>
  <c r="N98" i="77"/>
  <c r="O98" i="77"/>
  <c r="P98" i="77"/>
  <c r="Q98" i="77"/>
  <c r="F98" i="77"/>
  <c r="E18" i="98" l="1"/>
  <c r="G701" i="77" l="1"/>
  <c r="G717" i="77" s="1"/>
  <c r="H701" i="77"/>
  <c r="H717" i="77" s="1"/>
  <c r="I701" i="77"/>
  <c r="I717" i="77" s="1"/>
  <c r="J701" i="77"/>
  <c r="J717" i="77" s="1"/>
  <c r="K701" i="77"/>
  <c r="K717" i="77" s="1"/>
  <c r="L701" i="77"/>
  <c r="L717" i="77" s="1"/>
  <c r="M701" i="77"/>
  <c r="M717" i="77" s="1"/>
  <c r="N701" i="77"/>
  <c r="N717" i="77" s="1"/>
  <c r="O701" i="77"/>
  <c r="O717" i="77" s="1"/>
  <c r="P701" i="77"/>
  <c r="P717" i="77" s="1"/>
  <c r="Q701" i="77"/>
  <c r="Q717" i="77" s="1"/>
  <c r="F701" i="77"/>
  <c r="F717" i="77" s="1"/>
  <c r="G559" i="77"/>
  <c r="G571" i="77" s="1"/>
  <c r="H559" i="77"/>
  <c r="H571" i="77" s="1"/>
  <c r="I559" i="77"/>
  <c r="I571" i="77" s="1"/>
  <c r="J559" i="77"/>
  <c r="J571" i="77" s="1"/>
  <c r="K559" i="77"/>
  <c r="K571" i="77" s="1"/>
  <c r="L559" i="77"/>
  <c r="L571" i="77" s="1"/>
  <c r="M559" i="77"/>
  <c r="M571" i="77" s="1"/>
  <c r="N559" i="77"/>
  <c r="N571" i="77" s="1"/>
  <c r="O559" i="77"/>
  <c r="O571" i="77" s="1"/>
  <c r="P559" i="77"/>
  <c r="P571" i="77" s="1"/>
  <c r="Q559" i="77"/>
  <c r="Q571" i="77" s="1"/>
  <c r="F559" i="77"/>
  <c r="F571" i="77" s="1"/>
  <c r="G396" i="77"/>
  <c r="G409" i="77" s="1"/>
  <c r="H396" i="77"/>
  <c r="H409" i="77" s="1"/>
  <c r="I396" i="77"/>
  <c r="I409" i="77" s="1"/>
  <c r="J396" i="77"/>
  <c r="J409" i="77" s="1"/>
  <c r="K396" i="77"/>
  <c r="K409" i="77" s="1"/>
  <c r="L396" i="77"/>
  <c r="L409" i="77" s="1"/>
  <c r="M396" i="77"/>
  <c r="M409" i="77" s="1"/>
  <c r="N396" i="77"/>
  <c r="N409" i="77" s="1"/>
  <c r="O396" i="77"/>
  <c r="O409" i="77" s="1"/>
  <c r="P396" i="77"/>
  <c r="P409" i="77" s="1"/>
  <c r="Q396" i="77"/>
  <c r="Q409" i="77" s="1"/>
  <c r="F396" i="77"/>
  <c r="F409" i="77" s="1"/>
  <c r="G798" i="77"/>
  <c r="G813" i="77" s="1"/>
  <c r="H798" i="77"/>
  <c r="H813" i="77" s="1"/>
  <c r="I798" i="77"/>
  <c r="I813" i="77" s="1"/>
  <c r="J798" i="77"/>
  <c r="J813" i="77" s="1"/>
  <c r="K798" i="77"/>
  <c r="K813" i="77" s="1"/>
  <c r="L798" i="77"/>
  <c r="L813" i="77" s="1"/>
  <c r="M798" i="77"/>
  <c r="M813" i="77" s="1"/>
  <c r="N798" i="77"/>
  <c r="N813" i="77" s="1"/>
  <c r="O798" i="77"/>
  <c r="O813" i="77" s="1"/>
  <c r="P798" i="77"/>
  <c r="P813" i="77" s="1"/>
  <c r="Q798" i="77"/>
  <c r="Q813" i="77" s="1"/>
  <c r="F798" i="77"/>
  <c r="F813" i="77" s="1"/>
  <c r="G598" i="77"/>
  <c r="G609" i="77" s="1"/>
  <c r="G1042" i="77" s="1"/>
  <c r="G1060" i="77" s="1"/>
  <c r="H598" i="77"/>
  <c r="H609" i="77" s="1"/>
  <c r="H1042" i="77" s="1"/>
  <c r="H1060" i="77" s="1"/>
  <c r="I598" i="77"/>
  <c r="I609" i="77" s="1"/>
  <c r="I1042" i="77" s="1"/>
  <c r="I1060" i="77" s="1"/>
  <c r="J598" i="77"/>
  <c r="J609" i="77" s="1"/>
  <c r="J1042" i="77" s="1"/>
  <c r="J1060" i="77" s="1"/>
  <c r="K598" i="77"/>
  <c r="K609" i="77" s="1"/>
  <c r="K1042" i="77" s="1"/>
  <c r="K1060" i="77" s="1"/>
  <c r="L598" i="77"/>
  <c r="L609" i="77" s="1"/>
  <c r="L1042" i="77" s="1"/>
  <c r="L1060" i="77" s="1"/>
  <c r="M598" i="77"/>
  <c r="M609" i="77" s="1"/>
  <c r="M1042" i="77" s="1"/>
  <c r="M1060" i="77" s="1"/>
  <c r="N598" i="77"/>
  <c r="N609" i="77" s="1"/>
  <c r="N1042" i="77" s="1"/>
  <c r="N1060" i="77" s="1"/>
  <c r="O598" i="77"/>
  <c r="O609" i="77" s="1"/>
  <c r="O1042" i="77" s="1"/>
  <c r="O1060" i="77" s="1"/>
  <c r="P598" i="77"/>
  <c r="P609" i="77" s="1"/>
  <c r="P1042" i="77" s="1"/>
  <c r="P1060" i="77" s="1"/>
  <c r="Q598" i="77"/>
  <c r="Q609" i="77" s="1"/>
  <c r="Q1042" i="77" s="1"/>
  <c r="Q1060" i="77" s="1"/>
  <c r="F598" i="77"/>
  <c r="F609" i="77" s="1"/>
  <c r="F1042" i="77" s="1"/>
  <c r="G475" i="77"/>
  <c r="G487" i="77" s="1"/>
  <c r="H475" i="77"/>
  <c r="H487" i="77" s="1"/>
  <c r="I475" i="77"/>
  <c r="I487" i="77" s="1"/>
  <c r="J475" i="77"/>
  <c r="J487" i="77" s="1"/>
  <c r="K475" i="77"/>
  <c r="K487" i="77" s="1"/>
  <c r="L475" i="77"/>
  <c r="L487" i="77" s="1"/>
  <c r="M475" i="77"/>
  <c r="M487" i="77" s="1"/>
  <c r="N475" i="77"/>
  <c r="N487" i="77" s="1"/>
  <c r="O475" i="77"/>
  <c r="O487" i="77" s="1"/>
  <c r="P475" i="77"/>
  <c r="P487" i="77" s="1"/>
  <c r="Q475" i="77"/>
  <c r="Q487" i="77" s="1"/>
  <c r="F475" i="77"/>
  <c r="F487" i="77" s="1"/>
  <c r="G306" i="77"/>
  <c r="G319" i="77" s="1"/>
  <c r="H306" i="77"/>
  <c r="H319" i="77" s="1"/>
  <c r="I306" i="77"/>
  <c r="I319" i="77" s="1"/>
  <c r="J306" i="77"/>
  <c r="J319" i="77" s="1"/>
  <c r="K306" i="77"/>
  <c r="K319" i="77" s="1"/>
  <c r="L306" i="77"/>
  <c r="L319" i="77" s="1"/>
  <c r="M306" i="77"/>
  <c r="M319" i="77" s="1"/>
  <c r="N306" i="77"/>
  <c r="N319" i="77" s="1"/>
  <c r="O306" i="77"/>
  <c r="O319" i="77" s="1"/>
  <c r="P306" i="77"/>
  <c r="P319" i="77" s="1"/>
  <c r="Q306" i="77"/>
  <c r="Q319" i="77" s="1"/>
  <c r="F306" i="77"/>
  <c r="F319" i="77" s="1"/>
  <c r="G124" i="77"/>
  <c r="G131" i="77" s="1"/>
  <c r="H124" i="77"/>
  <c r="H131" i="77" s="1"/>
  <c r="I124" i="77"/>
  <c r="I131" i="77" s="1"/>
  <c r="J124" i="77"/>
  <c r="J131" i="77" s="1"/>
  <c r="K124" i="77"/>
  <c r="K131" i="77" s="1"/>
  <c r="L124" i="77"/>
  <c r="L131" i="77" s="1"/>
  <c r="M124" i="77"/>
  <c r="M131" i="77" s="1"/>
  <c r="N124" i="77"/>
  <c r="N131" i="77" s="1"/>
  <c r="O124" i="77"/>
  <c r="O131" i="77" s="1"/>
  <c r="P124" i="77"/>
  <c r="P131" i="77" s="1"/>
  <c r="Q124" i="77"/>
  <c r="Q131" i="77" s="1"/>
  <c r="F124" i="77"/>
  <c r="F131" i="77" s="1"/>
  <c r="G57" i="77"/>
  <c r="G63" i="77" s="1"/>
  <c r="G1033" i="77" s="1"/>
  <c r="G1051" i="77" s="1"/>
  <c r="H57" i="77"/>
  <c r="H63" i="77" s="1"/>
  <c r="H1033" i="77" s="1"/>
  <c r="H1051" i="77" s="1"/>
  <c r="I57" i="77"/>
  <c r="I63" i="77" s="1"/>
  <c r="I1033" i="77" s="1"/>
  <c r="I1051" i="77" s="1"/>
  <c r="J57" i="77"/>
  <c r="J63" i="77" s="1"/>
  <c r="J1033" i="77" s="1"/>
  <c r="J1051" i="77" s="1"/>
  <c r="K57" i="77"/>
  <c r="K63" i="77" s="1"/>
  <c r="K1033" i="77" s="1"/>
  <c r="K1051" i="77" s="1"/>
  <c r="L57" i="77"/>
  <c r="L63" i="77" s="1"/>
  <c r="L1033" i="77" s="1"/>
  <c r="L1051" i="77" s="1"/>
  <c r="M57" i="77"/>
  <c r="M63" i="77" s="1"/>
  <c r="M1033" i="77" s="1"/>
  <c r="M1051" i="77" s="1"/>
  <c r="N57" i="77"/>
  <c r="N63" i="77" s="1"/>
  <c r="N1033" i="77" s="1"/>
  <c r="N1051" i="77" s="1"/>
  <c r="O57" i="77"/>
  <c r="O63" i="77" s="1"/>
  <c r="O1033" i="77" s="1"/>
  <c r="O1051" i="77" s="1"/>
  <c r="P57" i="77"/>
  <c r="P63" i="77" s="1"/>
  <c r="P1033" i="77" s="1"/>
  <c r="P1051" i="77" s="1"/>
  <c r="Q57" i="77"/>
  <c r="Q63" i="77" s="1"/>
  <c r="Q1033" i="77" s="1"/>
  <c r="Q1051" i="77" s="1"/>
  <c r="F57" i="77"/>
  <c r="F1060" i="77" l="1"/>
  <c r="R1042" i="77"/>
  <c r="F20" i="96" s="1"/>
  <c r="G20" i="96" s="1"/>
  <c r="R813" i="77"/>
  <c r="R717" i="77"/>
  <c r="R609" i="77"/>
  <c r="R571" i="77"/>
  <c r="R319" i="77"/>
  <c r="R487" i="77"/>
  <c r="R409" i="77"/>
  <c r="R131" i="77"/>
  <c r="F63" i="77"/>
  <c r="F66" i="77"/>
  <c r="O248" i="102"/>
  <c r="N248" i="102"/>
  <c r="M248" i="102"/>
  <c r="L248" i="102"/>
  <c r="K248" i="102"/>
  <c r="J248" i="102"/>
  <c r="I248" i="102"/>
  <c r="H248" i="102"/>
  <c r="G248" i="102"/>
  <c r="F248" i="102"/>
  <c r="E248" i="102"/>
  <c r="D248" i="102"/>
  <c r="P248" i="102" s="1"/>
  <c r="O247" i="102"/>
  <c r="N247" i="102"/>
  <c r="M247" i="102"/>
  <c r="L247" i="102"/>
  <c r="K247" i="102"/>
  <c r="J247" i="102"/>
  <c r="I247" i="102"/>
  <c r="H247" i="102"/>
  <c r="G247" i="102"/>
  <c r="F247" i="102"/>
  <c r="E247" i="102"/>
  <c r="D247" i="102"/>
  <c r="P247" i="102" s="1"/>
  <c r="O246" i="102"/>
  <c r="N246" i="102"/>
  <c r="M246" i="102"/>
  <c r="L246" i="102"/>
  <c r="K246" i="102"/>
  <c r="J246" i="102"/>
  <c r="I246" i="102"/>
  <c r="H246" i="102"/>
  <c r="G246" i="102"/>
  <c r="F246" i="102"/>
  <c r="E246" i="102"/>
  <c r="D246" i="102"/>
  <c r="O245" i="102"/>
  <c r="N245" i="102"/>
  <c r="M245" i="102"/>
  <c r="L245" i="102"/>
  <c r="K245" i="102"/>
  <c r="J245" i="102"/>
  <c r="I245" i="102"/>
  <c r="H245" i="102"/>
  <c r="H249" i="102" s="1"/>
  <c r="H250" i="102" s="1"/>
  <c r="G245" i="102"/>
  <c r="F245" i="102"/>
  <c r="E245" i="102"/>
  <c r="D245" i="102"/>
  <c r="P245" i="102" s="1"/>
  <c r="O244" i="102"/>
  <c r="N244" i="102"/>
  <c r="M244" i="102"/>
  <c r="L244" i="102"/>
  <c r="K244" i="102"/>
  <c r="J244" i="102"/>
  <c r="I244" i="102"/>
  <c r="H244" i="102"/>
  <c r="G244" i="102"/>
  <c r="F244" i="102"/>
  <c r="E244" i="102"/>
  <c r="D244" i="102"/>
  <c r="P244" i="102" s="1"/>
  <c r="O243" i="102"/>
  <c r="N243" i="102"/>
  <c r="M243" i="102"/>
  <c r="L243" i="102"/>
  <c r="K243" i="102"/>
  <c r="J243" i="102"/>
  <c r="I243" i="102"/>
  <c r="H243" i="102"/>
  <c r="G243" i="102"/>
  <c r="F243" i="102"/>
  <c r="E243" i="102"/>
  <c r="D243" i="102"/>
  <c r="P243" i="102" s="1"/>
  <c r="O242" i="102"/>
  <c r="N242" i="102"/>
  <c r="M242" i="102"/>
  <c r="L242" i="102"/>
  <c r="K242" i="102"/>
  <c r="J242" i="102"/>
  <c r="I242" i="102"/>
  <c r="H242" i="102"/>
  <c r="G242" i="102"/>
  <c r="F242" i="102"/>
  <c r="E242" i="102"/>
  <c r="D242" i="102"/>
  <c r="O241" i="102"/>
  <c r="N241" i="102"/>
  <c r="M241" i="102"/>
  <c r="L241" i="102"/>
  <c r="K241" i="102"/>
  <c r="J241" i="102"/>
  <c r="I241" i="102"/>
  <c r="H241" i="102"/>
  <c r="G241" i="102"/>
  <c r="F241" i="102"/>
  <c r="E241" i="102"/>
  <c r="D241" i="102"/>
  <c r="P241" i="102" s="1"/>
  <c r="O240" i="102"/>
  <c r="N240" i="102"/>
  <c r="M240" i="102"/>
  <c r="L240" i="102"/>
  <c r="K240" i="102"/>
  <c r="J240" i="102"/>
  <c r="I240" i="102"/>
  <c r="H240" i="102"/>
  <c r="G240" i="102"/>
  <c r="F240" i="102"/>
  <c r="E240" i="102"/>
  <c r="D240" i="102"/>
  <c r="O239" i="102"/>
  <c r="N239" i="102"/>
  <c r="M239" i="102"/>
  <c r="L239" i="102"/>
  <c r="K239" i="102"/>
  <c r="J239" i="102"/>
  <c r="I239" i="102"/>
  <c r="H239" i="102"/>
  <c r="G239" i="102"/>
  <c r="F239" i="102"/>
  <c r="E239" i="102"/>
  <c r="D239" i="102"/>
  <c r="P239" i="102" s="1"/>
  <c r="O238" i="102"/>
  <c r="N238" i="102"/>
  <c r="M238" i="102"/>
  <c r="L238" i="102"/>
  <c r="K238" i="102"/>
  <c r="J238" i="102"/>
  <c r="I238" i="102"/>
  <c r="H238" i="102"/>
  <c r="G238" i="102"/>
  <c r="F238" i="102"/>
  <c r="E238" i="102"/>
  <c r="D238" i="102"/>
  <c r="P238" i="102" s="1"/>
  <c r="O237" i="102"/>
  <c r="N237" i="102"/>
  <c r="M237" i="102"/>
  <c r="L237" i="102"/>
  <c r="K237" i="102"/>
  <c r="J237" i="102"/>
  <c r="I237" i="102"/>
  <c r="H237" i="102"/>
  <c r="G237" i="102"/>
  <c r="F237" i="102"/>
  <c r="E237" i="102"/>
  <c r="D237" i="102"/>
  <c r="O236" i="102"/>
  <c r="N236" i="102"/>
  <c r="M236" i="102"/>
  <c r="M249" i="102" s="1"/>
  <c r="M250" i="102" s="1"/>
  <c r="L236" i="102"/>
  <c r="K236" i="102"/>
  <c r="J236" i="102"/>
  <c r="I236" i="102"/>
  <c r="I249" i="102" s="1"/>
  <c r="H236" i="102"/>
  <c r="G236" i="102"/>
  <c r="F236" i="102"/>
  <c r="E236" i="102"/>
  <c r="E249" i="102" s="1"/>
  <c r="D236" i="102"/>
  <c r="L228" i="102"/>
  <c r="L262" i="102" s="1"/>
  <c r="I228" i="102"/>
  <c r="I262" i="102" s="1"/>
  <c r="E228" i="102"/>
  <c r="E262" i="102" s="1"/>
  <c r="P221" i="102"/>
  <c r="O217" i="102"/>
  <c r="H217" i="102"/>
  <c r="P210" i="102"/>
  <c r="P203" i="102"/>
  <c r="P199" i="102"/>
  <c r="O194" i="102"/>
  <c r="N194" i="102"/>
  <c r="M194" i="102"/>
  <c r="L194" i="102"/>
  <c r="K194" i="102"/>
  <c r="J194" i="102"/>
  <c r="I194" i="102"/>
  <c r="H194" i="102"/>
  <c r="G194" i="102"/>
  <c r="F194" i="102"/>
  <c r="E194" i="102"/>
  <c r="D194" i="102"/>
  <c r="P194" i="102" s="1"/>
  <c r="O193" i="102"/>
  <c r="O228" i="102" s="1"/>
  <c r="O262" i="102" s="1"/>
  <c r="N193" i="102"/>
  <c r="N228" i="102" s="1"/>
  <c r="N262" i="102" s="1"/>
  <c r="M193" i="102"/>
  <c r="M228" i="102" s="1"/>
  <c r="M262" i="102" s="1"/>
  <c r="L193" i="102"/>
  <c r="K193" i="102"/>
  <c r="K228" i="102" s="1"/>
  <c r="K262" i="102" s="1"/>
  <c r="J193" i="102"/>
  <c r="J228" i="102" s="1"/>
  <c r="J262" i="102" s="1"/>
  <c r="I193" i="102"/>
  <c r="H193" i="102"/>
  <c r="H228" i="102" s="1"/>
  <c r="H262" i="102" s="1"/>
  <c r="G193" i="102"/>
  <c r="G228" i="102" s="1"/>
  <c r="G262" i="102" s="1"/>
  <c r="F193" i="102"/>
  <c r="F228" i="102" s="1"/>
  <c r="F262" i="102" s="1"/>
  <c r="E193" i="102"/>
  <c r="D193" i="102"/>
  <c r="D228" i="102" s="1"/>
  <c r="D262" i="102" s="1"/>
  <c r="O192" i="102"/>
  <c r="N192" i="102"/>
  <c r="M192" i="102"/>
  <c r="L192" i="102"/>
  <c r="K192" i="102"/>
  <c r="J192" i="102"/>
  <c r="I192" i="102"/>
  <c r="H192" i="102"/>
  <c r="G192" i="102"/>
  <c r="F192" i="102"/>
  <c r="E192" i="102"/>
  <c r="D192" i="102"/>
  <c r="P192" i="102" s="1"/>
  <c r="O191" i="102"/>
  <c r="N191" i="102"/>
  <c r="M191" i="102"/>
  <c r="L191" i="102"/>
  <c r="K191" i="102"/>
  <c r="J191" i="102"/>
  <c r="I191" i="102"/>
  <c r="H191" i="102"/>
  <c r="G191" i="102"/>
  <c r="F191" i="102"/>
  <c r="E191" i="102"/>
  <c r="D191" i="102"/>
  <c r="P191" i="102" s="1"/>
  <c r="O190" i="102"/>
  <c r="N190" i="102"/>
  <c r="M190" i="102"/>
  <c r="L190" i="102"/>
  <c r="K190" i="102"/>
  <c r="J190" i="102"/>
  <c r="I190" i="102"/>
  <c r="H190" i="102"/>
  <c r="G190" i="102"/>
  <c r="F190" i="102"/>
  <c r="E190" i="102"/>
  <c r="D190" i="102"/>
  <c r="C190" i="102"/>
  <c r="B190" i="102"/>
  <c r="O189" i="102"/>
  <c r="N189" i="102"/>
  <c r="M189" i="102"/>
  <c r="L189" i="102"/>
  <c r="K189" i="102"/>
  <c r="J189" i="102"/>
  <c r="I189" i="102"/>
  <c r="H189" i="102"/>
  <c r="G189" i="102"/>
  <c r="F189" i="102"/>
  <c r="E189" i="102"/>
  <c r="D189" i="102"/>
  <c r="P189" i="102" s="1"/>
  <c r="C189" i="102"/>
  <c r="B189" i="102"/>
  <c r="O188" i="102"/>
  <c r="N188" i="102"/>
  <c r="M188" i="102"/>
  <c r="L188" i="102"/>
  <c r="K188" i="102"/>
  <c r="J188" i="102"/>
  <c r="I188" i="102"/>
  <c r="H188" i="102"/>
  <c r="G188" i="102"/>
  <c r="F188" i="102"/>
  <c r="E188" i="102"/>
  <c r="D188" i="102"/>
  <c r="C188" i="102"/>
  <c r="B188" i="102"/>
  <c r="O187" i="102"/>
  <c r="N187" i="102"/>
  <c r="N195" i="102" s="1"/>
  <c r="M187" i="102"/>
  <c r="L187" i="102"/>
  <c r="L195" i="102" s="1"/>
  <c r="K187" i="102"/>
  <c r="J187" i="102"/>
  <c r="I187" i="102"/>
  <c r="H187" i="102"/>
  <c r="G187" i="102"/>
  <c r="F187" i="102"/>
  <c r="E187" i="102"/>
  <c r="D187" i="102"/>
  <c r="O186" i="102"/>
  <c r="N186" i="102"/>
  <c r="M186" i="102"/>
  <c r="L186" i="102"/>
  <c r="K186" i="102"/>
  <c r="J186" i="102"/>
  <c r="I186" i="102"/>
  <c r="I195" i="102" s="1"/>
  <c r="H186" i="102"/>
  <c r="G186" i="102"/>
  <c r="F186" i="102"/>
  <c r="E186" i="102"/>
  <c r="D186" i="102"/>
  <c r="P186" i="102" s="1"/>
  <c r="C186" i="102"/>
  <c r="B186" i="102"/>
  <c r="O185" i="102"/>
  <c r="N185" i="102"/>
  <c r="N217" i="102" s="1"/>
  <c r="M185" i="102"/>
  <c r="M217" i="102" s="1"/>
  <c r="L185" i="102"/>
  <c r="L217" i="102" s="1"/>
  <c r="K185" i="102"/>
  <c r="J185" i="102"/>
  <c r="I185" i="102"/>
  <c r="I217" i="102" s="1"/>
  <c r="H185" i="102"/>
  <c r="G185" i="102"/>
  <c r="F185" i="102"/>
  <c r="F217" i="102" s="1"/>
  <c r="E185" i="102"/>
  <c r="E217" i="102" s="1"/>
  <c r="D185" i="102"/>
  <c r="D217" i="102" s="1"/>
  <c r="O150" i="102"/>
  <c r="G150" i="102"/>
  <c r="L150" i="102"/>
  <c r="H150" i="102"/>
  <c r="D150" i="102"/>
  <c r="N150" i="102"/>
  <c r="J150" i="102"/>
  <c r="F150" i="102"/>
  <c r="P147" i="102"/>
  <c r="P113" i="102"/>
  <c r="P112" i="102"/>
  <c r="N82" i="102"/>
  <c r="N108" i="102" s="1"/>
  <c r="N123" i="102" s="1"/>
  <c r="N139" i="102" s="1"/>
  <c r="K82" i="102"/>
  <c r="K103" i="102" s="1"/>
  <c r="K118" i="102" s="1"/>
  <c r="K134" i="102" s="1"/>
  <c r="H82" i="102"/>
  <c r="H102" i="102" s="1"/>
  <c r="H117" i="102" s="1"/>
  <c r="H133" i="102" s="1"/>
  <c r="F82" i="102"/>
  <c r="F104" i="102" s="1"/>
  <c r="F119" i="102" s="1"/>
  <c r="F135" i="102" s="1"/>
  <c r="O82" i="102"/>
  <c r="O103" i="102" s="1"/>
  <c r="O118" i="102" s="1"/>
  <c r="O134" i="102" s="1"/>
  <c r="G82" i="102"/>
  <c r="G107" i="102" s="1"/>
  <c r="G122" i="102" s="1"/>
  <c r="G138" i="102" s="1"/>
  <c r="P81" i="102"/>
  <c r="M82" i="102"/>
  <c r="L82" i="102"/>
  <c r="L106" i="102" s="1"/>
  <c r="L121" i="102" s="1"/>
  <c r="L137" i="102" s="1"/>
  <c r="J82" i="102"/>
  <c r="J108" i="102" s="1"/>
  <c r="J123" i="102" s="1"/>
  <c r="J139" i="102" s="1"/>
  <c r="I82" i="102"/>
  <c r="I105" i="102" s="1"/>
  <c r="I120" i="102" s="1"/>
  <c r="I136" i="102" s="1"/>
  <c r="E82" i="102"/>
  <c r="E109" i="102" s="1"/>
  <c r="E124" i="102" s="1"/>
  <c r="E140" i="102" s="1"/>
  <c r="D82" i="102"/>
  <c r="D106" i="102" s="1"/>
  <c r="D121" i="102" s="1"/>
  <c r="D137" i="102" s="1"/>
  <c r="O77" i="102"/>
  <c r="O111" i="102" s="1"/>
  <c r="O126" i="102" s="1"/>
  <c r="O142" i="102" s="1"/>
  <c r="N77" i="102"/>
  <c r="M77" i="102"/>
  <c r="M111" i="102" s="1"/>
  <c r="M126" i="102" s="1"/>
  <c r="M142" i="102" s="1"/>
  <c r="L77" i="102"/>
  <c r="K77" i="102"/>
  <c r="K111" i="102" s="1"/>
  <c r="K126" i="102" s="1"/>
  <c r="K142" i="102" s="1"/>
  <c r="J77" i="102"/>
  <c r="I77" i="102"/>
  <c r="I111" i="102" s="1"/>
  <c r="I126" i="102" s="1"/>
  <c r="I142" i="102" s="1"/>
  <c r="H77" i="102"/>
  <c r="G77" i="102"/>
  <c r="G111" i="102" s="1"/>
  <c r="G126" i="102" s="1"/>
  <c r="G142" i="102" s="1"/>
  <c r="F77" i="102"/>
  <c r="E77" i="102"/>
  <c r="E111" i="102" s="1"/>
  <c r="E126" i="102" s="1"/>
  <c r="E142" i="102" s="1"/>
  <c r="D77" i="102"/>
  <c r="O76" i="102"/>
  <c r="N76" i="102"/>
  <c r="M76" i="102"/>
  <c r="L76" i="102"/>
  <c r="L109" i="102" s="1"/>
  <c r="L124" i="102" s="1"/>
  <c r="L140" i="102" s="1"/>
  <c r="K76" i="102"/>
  <c r="J76" i="102"/>
  <c r="I76" i="102"/>
  <c r="H76" i="102"/>
  <c r="H109" i="102" s="1"/>
  <c r="H124" i="102" s="1"/>
  <c r="H140" i="102" s="1"/>
  <c r="G76" i="102"/>
  <c r="F76" i="102"/>
  <c r="E76" i="102"/>
  <c r="D76" i="102"/>
  <c r="D109" i="102" s="1"/>
  <c r="O75" i="102"/>
  <c r="N75" i="102"/>
  <c r="M75" i="102"/>
  <c r="L75" i="102"/>
  <c r="K75" i="102"/>
  <c r="J75" i="102"/>
  <c r="I75" i="102"/>
  <c r="H75" i="102"/>
  <c r="H108" i="102" s="1"/>
  <c r="H123" i="102" s="1"/>
  <c r="H139" i="102" s="1"/>
  <c r="G75" i="102"/>
  <c r="F75" i="102"/>
  <c r="E75" i="102"/>
  <c r="D75" i="102"/>
  <c r="P75" i="102" s="1"/>
  <c r="O74" i="102"/>
  <c r="N74" i="102"/>
  <c r="M74" i="102"/>
  <c r="L74" i="102"/>
  <c r="L107" i="102" s="1"/>
  <c r="L122" i="102" s="1"/>
  <c r="L138" i="102" s="1"/>
  <c r="K74" i="102"/>
  <c r="J74" i="102"/>
  <c r="I74" i="102"/>
  <c r="H74" i="102"/>
  <c r="H107" i="102" s="1"/>
  <c r="H122" i="102" s="1"/>
  <c r="H138" i="102" s="1"/>
  <c r="G74" i="102"/>
  <c r="F74" i="102"/>
  <c r="E74" i="102"/>
  <c r="D74" i="102"/>
  <c r="D107" i="102" s="1"/>
  <c r="O73" i="102"/>
  <c r="O106" i="102" s="1"/>
  <c r="O121" i="102" s="1"/>
  <c r="O137" i="102" s="1"/>
  <c r="N73" i="102"/>
  <c r="M73" i="102"/>
  <c r="L73" i="102"/>
  <c r="K73" i="102"/>
  <c r="J73" i="102"/>
  <c r="I73" i="102"/>
  <c r="H73" i="102"/>
  <c r="G73" i="102"/>
  <c r="G106" i="102" s="1"/>
  <c r="G121" i="102" s="1"/>
  <c r="G137" i="102" s="1"/>
  <c r="F73" i="102"/>
  <c r="E73" i="102"/>
  <c r="D73" i="102"/>
  <c r="P73" i="102" s="1"/>
  <c r="O72" i="102"/>
  <c r="O105" i="102" s="1"/>
  <c r="O120" i="102" s="1"/>
  <c r="O136" i="102" s="1"/>
  <c r="N72" i="102"/>
  <c r="M72" i="102"/>
  <c r="L72" i="102"/>
  <c r="L105" i="102" s="1"/>
  <c r="L120" i="102" s="1"/>
  <c r="L136" i="102" s="1"/>
  <c r="K72" i="102"/>
  <c r="K105" i="102" s="1"/>
  <c r="K120" i="102" s="1"/>
  <c r="K136" i="102" s="1"/>
  <c r="J72" i="102"/>
  <c r="I72" i="102"/>
  <c r="H72" i="102"/>
  <c r="G72" i="102"/>
  <c r="G105" i="102" s="1"/>
  <c r="G120" i="102" s="1"/>
  <c r="G136" i="102" s="1"/>
  <c r="G159" i="102" s="1"/>
  <c r="G11" i="103" s="1"/>
  <c r="G51" i="103" s="1"/>
  <c r="F72" i="102"/>
  <c r="E72" i="102"/>
  <c r="D72" i="102"/>
  <c r="D105" i="102" s="1"/>
  <c r="D120" i="102" s="1"/>
  <c r="D136" i="102" s="1"/>
  <c r="O71" i="102"/>
  <c r="N71" i="102"/>
  <c r="M71" i="102"/>
  <c r="L71" i="102"/>
  <c r="L104" i="102" s="1"/>
  <c r="L119" i="102" s="1"/>
  <c r="L135" i="102" s="1"/>
  <c r="K71" i="102"/>
  <c r="J71" i="102"/>
  <c r="I71" i="102"/>
  <c r="H71" i="102"/>
  <c r="H104" i="102" s="1"/>
  <c r="H119" i="102" s="1"/>
  <c r="H135" i="102" s="1"/>
  <c r="G71" i="102"/>
  <c r="F71" i="102"/>
  <c r="E71" i="102"/>
  <c r="D71" i="102"/>
  <c r="D104" i="102" s="1"/>
  <c r="D119" i="102" s="1"/>
  <c r="O70" i="102"/>
  <c r="N70" i="102"/>
  <c r="M70" i="102"/>
  <c r="M103" i="102" s="1"/>
  <c r="M118" i="102" s="1"/>
  <c r="M134" i="102" s="1"/>
  <c r="L70" i="102"/>
  <c r="K70" i="102"/>
  <c r="J70" i="102"/>
  <c r="I70" i="102"/>
  <c r="H70" i="102"/>
  <c r="G70" i="102"/>
  <c r="F70" i="102"/>
  <c r="E70" i="102"/>
  <c r="D70" i="102"/>
  <c r="O69" i="102"/>
  <c r="O102" i="102" s="1"/>
  <c r="O117" i="102" s="1"/>
  <c r="O133" i="102" s="1"/>
  <c r="N69" i="102"/>
  <c r="M69" i="102"/>
  <c r="L69" i="102"/>
  <c r="K69" i="102"/>
  <c r="J69" i="102"/>
  <c r="I69" i="102"/>
  <c r="H69" i="102"/>
  <c r="G69" i="102"/>
  <c r="F69" i="102"/>
  <c r="E69" i="102"/>
  <c r="D69" i="102"/>
  <c r="O68" i="102"/>
  <c r="N68" i="102"/>
  <c r="M68" i="102"/>
  <c r="L68" i="102"/>
  <c r="L110" i="102" s="1"/>
  <c r="L125" i="102" s="1"/>
  <c r="L141" i="102" s="1"/>
  <c r="K68" i="102"/>
  <c r="K110" i="102" s="1"/>
  <c r="K125" i="102" s="1"/>
  <c r="K141" i="102" s="1"/>
  <c r="J68" i="102"/>
  <c r="I68" i="102"/>
  <c r="H68" i="102"/>
  <c r="H110" i="102" s="1"/>
  <c r="H125" i="102" s="1"/>
  <c r="H141" i="102" s="1"/>
  <c r="G68" i="102"/>
  <c r="F68" i="102"/>
  <c r="E68" i="102"/>
  <c r="D68" i="102"/>
  <c r="P68" i="102" s="1"/>
  <c r="O67" i="102"/>
  <c r="O101" i="102" s="1"/>
  <c r="O116" i="102" s="1"/>
  <c r="O132" i="102" s="1"/>
  <c r="N67" i="102"/>
  <c r="M67" i="102"/>
  <c r="M101" i="102" s="1"/>
  <c r="M116" i="102" s="1"/>
  <c r="M132" i="102" s="1"/>
  <c r="L67" i="102"/>
  <c r="K67" i="102"/>
  <c r="K101" i="102" s="1"/>
  <c r="K116" i="102" s="1"/>
  <c r="K132" i="102" s="1"/>
  <c r="J67" i="102"/>
  <c r="I67" i="102"/>
  <c r="I101" i="102" s="1"/>
  <c r="I116" i="102" s="1"/>
  <c r="I132" i="102" s="1"/>
  <c r="H67" i="102"/>
  <c r="H101" i="102" s="1"/>
  <c r="H116" i="102" s="1"/>
  <c r="H132" i="102" s="1"/>
  <c r="G67" i="102"/>
  <c r="G101" i="102" s="1"/>
  <c r="G116" i="102" s="1"/>
  <c r="G132" i="102" s="1"/>
  <c r="F67" i="102"/>
  <c r="E67" i="102"/>
  <c r="E101" i="102" s="1"/>
  <c r="E116" i="102" s="1"/>
  <c r="E132" i="102" s="1"/>
  <c r="D67" i="102"/>
  <c r="O66" i="102"/>
  <c r="N66" i="102"/>
  <c r="M66" i="102"/>
  <c r="L66" i="102"/>
  <c r="L100" i="102" s="1"/>
  <c r="L115" i="102" s="1"/>
  <c r="L131" i="102" s="1"/>
  <c r="K66" i="102"/>
  <c r="J66" i="102"/>
  <c r="I66" i="102"/>
  <c r="H66" i="102"/>
  <c r="H100" i="102" s="1"/>
  <c r="H115" i="102" s="1"/>
  <c r="H131" i="102" s="1"/>
  <c r="G66" i="102"/>
  <c r="F66" i="102"/>
  <c r="E66" i="102"/>
  <c r="D66" i="102"/>
  <c r="D100" i="102" s="1"/>
  <c r="O65" i="102"/>
  <c r="N65" i="102"/>
  <c r="M65" i="102"/>
  <c r="L65" i="102"/>
  <c r="L99" i="102" s="1"/>
  <c r="L114" i="102" s="1"/>
  <c r="K65" i="102"/>
  <c r="J65" i="102"/>
  <c r="I65" i="102"/>
  <c r="H65" i="102"/>
  <c r="H99" i="102" s="1"/>
  <c r="H114" i="102" s="1"/>
  <c r="G65" i="102"/>
  <c r="F65" i="102"/>
  <c r="E65" i="102"/>
  <c r="D65" i="102"/>
  <c r="D99" i="102" s="1"/>
  <c r="O62" i="102"/>
  <c r="N62" i="102"/>
  <c r="M62" i="102"/>
  <c r="L62" i="102"/>
  <c r="K62" i="102"/>
  <c r="J62" i="102"/>
  <c r="I62" i="102"/>
  <c r="H62" i="102"/>
  <c r="G62" i="102"/>
  <c r="F62" i="102"/>
  <c r="E62" i="102"/>
  <c r="D62" i="102"/>
  <c r="P62" i="102" s="1"/>
  <c r="P61" i="102"/>
  <c r="P60" i="102"/>
  <c r="P59" i="102"/>
  <c r="P58" i="102"/>
  <c r="P57" i="102"/>
  <c r="P56" i="102"/>
  <c r="P55" i="102"/>
  <c r="P54" i="102"/>
  <c r="P53" i="102"/>
  <c r="P52" i="102"/>
  <c r="P51" i="102"/>
  <c r="P50" i="102"/>
  <c r="P49" i="102"/>
  <c r="P48" i="102"/>
  <c r="P47" i="102"/>
  <c r="P46" i="102"/>
  <c r="P45" i="102"/>
  <c r="P44" i="102"/>
  <c r="P43" i="102"/>
  <c r="P42" i="102"/>
  <c r="P41" i="102"/>
  <c r="P40" i="102"/>
  <c r="P39" i="102"/>
  <c r="P38" i="102"/>
  <c r="P37" i="102"/>
  <c r="P36" i="102"/>
  <c r="O33" i="102"/>
  <c r="N33" i="102"/>
  <c r="M33" i="102"/>
  <c r="L33" i="102"/>
  <c r="K33" i="102"/>
  <c r="J33" i="102"/>
  <c r="I33" i="102"/>
  <c r="H33" i="102"/>
  <c r="G33" i="102"/>
  <c r="F33" i="102"/>
  <c r="E33" i="102"/>
  <c r="D33" i="102"/>
  <c r="P33" i="102" s="1"/>
  <c r="O32" i="102"/>
  <c r="N32" i="102"/>
  <c r="M32" i="102"/>
  <c r="L32" i="102"/>
  <c r="K32" i="102"/>
  <c r="J32" i="102"/>
  <c r="I32" i="102"/>
  <c r="H32" i="102"/>
  <c r="G32" i="102"/>
  <c r="F32" i="102"/>
  <c r="E32" i="102"/>
  <c r="D32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P31" i="102" s="1"/>
  <c r="P30" i="102"/>
  <c r="P29" i="102"/>
  <c r="P28" i="102"/>
  <c r="P27" i="102"/>
  <c r="P26" i="102"/>
  <c r="P25" i="102"/>
  <c r="P24" i="102"/>
  <c r="P23" i="102"/>
  <c r="P22" i="102"/>
  <c r="P21" i="102"/>
  <c r="P20" i="102"/>
  <c r="P19" i="102"/>
  <c r="P18" i="102"/>
  <c r="P17" i="102"/>
  <c r="P16" i="102"/>
  <c r="P15" i="102"/>
  <c r="P14" i="102"/>
  <c r="P13" i="102"/>
  <c r="P12" i="102"/>
  <c r="P11" i="102"/>
  <c r="P10" i="102"/>
  <c r="P9" i="102"/>
  <c r="P8" i="102"/>
  <c r="R63" i="77" l="1"/>
  <c r="F1033" i="77"/>
  <c r="L102" i="102"/>
  <c r="L117" i="102" s="1"/>
  <c r="L133" i="102" s="1"/>
  <c r="N106" i="102"/>
  <c r="N121" i="102" s="1"/>
  <c r="N137" i="102" s="1"/>
  <c r="F102" i="102"/>
  <c r="F117" i="102" s="1"/>
  <c r="F133" i="102" s="1"/>
  <c r="F109" i="102"/>
  <c r="F124" i="102" s="1"/>
  <c r="F140" i="102" s="1"/>
  <c r="F99" i="102"/>
  <c r="F114" i="102" s="1"/>
  <c r="F100" i="102"/>
  <c r="F115" i="102" s="1"/>
  <c r="F131" i="102" s="1"/>
  <c r="F103" i="102"/>
  <c r="F118" i="102" s="1"/>
  <c r="F134" i="102" s="1"/>
  <c r="F106" i="102"/>
  <c r="F121" i="102" s="1"/>
  <c r="F137" i="102" s="1"/>
  <c r="L101" i="102"/>
  <c r="L116" i="102" s="1"/>
  <c r="L132" i="102" s="1"/>
  <c r="J110" i="102"/>
  <c r="J125" i="102" s="1"/>
  <c r="J141" i="102" s="1"/>
  <c r="J103" i="102"/>
  <c r="J118" i="102" s="1"/>
  <c r="J134" i="102" s="1"/>
  <c r="J99" i="102"/>
  <c r="J114" i="102" s="1"/>
  <c r="J130" i="102" s="1"/>
  <c r="N99" i="102"/>
  <c r="N114" i="102" s="1"/>
  <c r="J100" i="102"/>
  <c r="J115" i="102" s="1"/>
  <c r="J131" i="102" s="1"/>
  <c r="N100" i="102"/>
  <c r="N115" i="102" s="1"/>
  <c r="N131" i="102" s="1"/>
  <c r="N110" i="102"/>
  <c r="N125" i="102" s="1"/>
  <c r="N141" i="102" s="1"/>
  <c r="N102" i="102"/>
  <c r="N117" i="102" s="1"/>
  <c r="N133" i="102" s="1"/>
  <c r="N103" i="102"/>
  <c r="N118" i="102" s="1"/>
  <c r="N134" i="102" s="1"/>
  <c r="J106" i="102"/>
  <c r="J121" i="102" s="1"/>
  <c r="J137" i="102" s="1"/>
  <c r="N107" i="102"/>
  <c r="N122" i="102" s="1"/>
  <c r="N138" i="102" s="1"/>
  <c r="J109" i="102"/>
  <c r="J124" i="102" s="1"/>
  <c r="J140" i="102" s="1"/>
  <c r="N109" i="102"/>
  <c r="N124" i="102" s="1"/>
  <c r="N140" i="102" s="1"/>
  <c r="G102" i="102"/>
  <c r="G117" i="102" s="1"/>
  <c r="G133" i="102" s="1"/>
  <c r="H106" i="102"/>
  <c r="H121" i="102" s="1"/>
  <c r="H137" i="102" s="1"/>
  <c r="D110" i="102"/>
  <c r="D125" i="102" s="1"/>
  <c r="D101" i="102"/>
  <c r="D116" i="102" s="1"/>
  <c r="D108" i="102"/>
  <c r="D123" i="102" s="1"/>
  <c r="F130" i="102"/>
  <c r="N130" i="102"/>
  <c r="G204" i="102"/>
  <c r="G176" i="102"/>
  <c r="I349" i="77" s="1"/>
  <c r="I362" i="77" s="1"/>
  <c r="I1036" i="77" s="1"/>
  <c r="H130" i="102"/>
  <c r="D115" i="102"/>
  <c r="D124" i="102"/>
  <c r="D114" i="102"/>
  <c r="L130" i="102"/>
  <c r="P66" i="102"/>
  <c r="E107" i="102"/>
  <c r="E122" i="102" s="1"/>
  <c r="E138" i="102" s="1"/>
  <c r="P76" i="102"/>
  <c r="O107" i="102"/>
  <c r="O122" i="102" s="1"/>
  <c r="O138" i="102" s="1"/>
  <c r="O160" i="102" s="1"/>
  <c r="O99" i="102"/>
  <c r="O114" i="102" s="1"/>
  <c r="I99" i="102"/>
  <c r="I114" i="102" s="1"/>
  <c r="E105" i="102"/>
  <c r="K107" i="102"/>
  <c r="K122" i="102" s="1"/>
  <c r="K138" i="102" s="1"/>
  <c r="I108" i="102"/>
  <c r="I123" i="102" s="1"/>
  <c r="I139" i="102" s="1"/>
  <c r="G109" i="102"/>
  <c r="G124" i="102" s="1"/>
  <c r="G140" i="102" s="1"/>
  <c r="O110" i="102"/>
  <c r="O125" i="102" s="1"/>
  <c r="O141" i="102" s="1"/>
  <c r="P32" i="102"/>
  <c r="E99" i="102"/>
  <c r="E114" i="102" s="1"/>
  <c r="M99" i="102"/>
  <c r="M114" i="102" s="1"/>
  <c r="E100" i="102"/>
  <c r="E115" i="102" s="1"/>
  <c r="E131" i="102" s="1"/>
  <c r="M100" i="102"/>
  <c r="M115" i="102" s="1"/>
  <c r="M131" i="102" s="1"/>
  <c r="P67" i="102"/>
  <c r="K102" i="102"/>
  <c r="K117" i="102" s="1"/>
  <c r="K133" i="102" s="1"/>
  <c r="J107" i="102"/>
  <c r="J122" i="102" s="1"/>
  <c r="J138" i="102" s="1"/>
  <c r="E108" i="102"/>
  <c r="E123" i="102" s="1"/>
  <c r="E139" i="102" s="1"/>
  <c r="M108" i="102"/>
  <c r="M123" i="102" s="1"/>
  <c r="M139" i="102" s="1"/>
  <c r="N111" i="102"/>
  <c r="N126" i="102" s="1"/>
  <c r="N142" i="102" s="1"/>
  <c r="N104" i="102"/>
  <c r="N119" i="102" s="1"/>
  <c r="N135" i="102" s="1"/>
  <c r="K99" i="102"/>
  <c r="K114" i="102" s="1"/>
  <c r="I100" i="102"/>
  <c r="I115" i="102" s="1"/>
  <c r="I131" i="102" s="1"/>
  <c r="D102" i="102"/>
  <c r="J104" i="102"/>
  <c r="J119" i="102" s="1"/>
  <c r="J135" i="102" s="1"/>
  <c r="H105" i="102"/>
  <c r="H120" i="102" s="1"/>
  <c r="H136" i="102" s="1"/>
  <c r="L108" i="102"/>
  <c r="L123" i="102" s="1"/>
  <c r="L139" i="102" s="1"/>
  <c r="I109" i="102"/>
  <c r="I124" i="102" s="1"/>
  <c r="I140" i="102" s="1"/>
  <c r="G110" i="102"/>
  <c r="G125" i="102" s="1"/>
  <c r="G141" i="102" s="1"/>
  <c r="K150" i="102"/>
  <c r="D135" i="102"/>
  <c r="P71" i="102"/>
  <c r="G160" i="102"/>
  <c r="G161" i="102"/>
  <c r="G12" i="103" s="1"/>
  <c r="G52" i="103" s="1"/>
  <c r="M109" i="102"/>
  <c r="M124" i="102" s="1"/>
  <c r="M140" i="102" s="1"/>
  <c r="M107" i="102"/>
  <c r="M122" i="102" s="1"/>
  <c r="M138" i="102" s="1"/>
  <c r="E103" i="102"/>
  <c r="E118" i="102" s="1"/>
  <c r="E134" i="102" s="1"/>
  <c r="M104" i="102"/>
  <c r="M119" i="102" s="1"/>
  <c r="M135" i="102" s="1"/>
  <c r="F107" i="102"/>
  <c r="F122" i="102" s="1"/>
  <c r="F138" i="102" s="1"/>
  <c r="P148" i="102"/>
  <c r="P228" i="102"/>
  <c r="G99" i="102"/>
  <c r="G114" i="102" s="1"/>
  <c r="F110" i="102"/>
  <c r="F125" i="102" s="1"/>
  <c r="F141" i="102" s="1"/>
  <c r="E102" i="102"/>
  <c r="E117" i="102" s="1"/>
  <c r="E133" i="102" s="1"/>
  <c r="I102" i="102"/>
  <c r="I117" i="102" s="1"/>
  <c r="I133" i="102" s="1"/>
  <c r="M102" i="102"/>
  <c r="M117" i="102" s="1"/>
  <c r="M133" i="102" s="1"/>
  <c r="I103" i="102"/>
  <c r="I118" i="102" s="1"/>
  <c r="I134" i="102" s="1"/>
  <c r="I104" i="102"/>
  <c r="I119" i="102" s="1"/>
  <c r="I135" i="102" s="1"/>
  <c r="L161" i="102"/>
  <c r="L12" i="103" s="1"/>
  <c r="L52" i="103" s="1"/>
  <c r="L159" i="102"/>
  <c r="L11" i="103" s="1"/>
  <c r="L51" i="103" s="1"/>
  <c r="L160" i="102"/>
  <c r="D122" i="102"/>
  <c r="P74" i="102"/>
  <c r="G108" i="102"/>
  <c r="G123" i="102" s="1"/>
  <c r="G139" i="102" s="1"/>
  <c r="K108" i="102"/>
  <c r="K123" i="102" s="1"/>
  <c r="K139" i="102" s="1"/>
  <c r="O108" i="102"/>
  <c r="O123" i="102" s="1"/>
  <c r="O139" i="102" s="1"/>
  <c r="K109" i="102"/>
  <c r="K124" i="102" s="1"/>
  <c r="K140" i="102" s="1"/>
  <c r="F111" i="102"/>
  <c r="F126" i="102" s="1"/>
  <c r="F142" i="102" s="1"/>
  <c r="J102" i="102"/>
  <c r="J117" i="102" s="1"/>
  <c r="J133" i="102" s="1"/>
  <c r="G103" i="102"/>
  <c r="G118" i="102" s="1"/>
  <c r="G134" i="102" s="1"/>
  <c r="E104" i="102"/>
  <c r="E119" i="102" s="1"/>
  <c r="E135" i="102" s="1"/>
  <c r="M105" i="102"/>
  <c r="M120" i="102" s="1"/>
  <c r="M136" i="102" s="1"/>
  <c r="K106" i="102"/>
  <c r="K121" i="102" s="1"/>
  <c r="K137" i="102" s="1"/>
  <c r="I107" i="102"/>
  <c r="I122" i="102" s="1"/>
  <c r="I138" i="102" s="1"/>
  <c r="F108" i="102"/>
  <c r="F123" i="102" s="1"/>
  <c r="F139" i="102" s="1"/>
  <c r="O109" i="102"/>
  <c r="O124" i="102" s="1"/>
  <c r="O140" i="102" s="1"/>
  <c r="J111" i="102"/>
  <c r="J126" i="102" s="1"/>
  <c r="J142" i="102" s="1"/>
  <c r="P149" i="102"/>
  <c r="P187" i="102"/>
  <c r="E250" i="102"/>
  <c r="I250" i="102"/>
  <c r="P72" i="102"/>
  <c r="D111" i="102"/>
  <c r="H111" i="102"/>
  <c r="H126" i="102" s="1"/>
  <c r="H142" i="102" s="1"/>
  <c r="L111" i="102"/>
  <c r="L126" i="102" s="1"/>
  <c r="L142" i="102" s="1"/>
  <c r="P80" i="102"/>
  <c r="P82" i="102" s="1"/>
  <c r="E150" i="102"/>
  <c r="I150" i="102"/>
  <c r="M150" i="102"/>
  <c r="H195" i="102"/>
  <c r="P185" i="102"/>
  <c r="E195" i="102"/>
  <c r="M195" i="102"/>
  <c r="P262" i="102"/>
  <c r="D195" i="102"/>
  <c r="F195" i="102"/>
  <c r="G100" i="102"/>
  <c r="G115" i="102" s="1"/>
  <c r="G131" i="102" s="1"/>
  <c r="K100" i="102"/>
  <c r="K115" i="102" s="1"/>
  <c r="K131" i="102" s="1"/>
  <c r="O100" i="102"/>
  <c r="O115" i="102" s="1"/>
  <c r="O131" i="102" s="1"/>
  <c r="F101" i="102"/>
  <c r="F116" i="102" s="1"/>
  <c r="F132" i="102" s="1"/>
  <c r="J101" i="102"/>
  <c r="J116" i="102" s="1"/>
  <c r="J132" i="102" s="1"/>
  <c r="N101" i="102"/>
  <c r="N116" i="102" s="1"/>
  <c r="N132" i="102" s="1"/>
  <c r="E110" i="102"/>
  <c r="E125" i="102" s="1"/>
  <c r="E141" i="102" s="1"/>
  <c r="I110" i="102"/>
  <c r="I125" i="102" s="1"/>
  <c r="I141" i="102" s="1"/>
  <c r="M110" i="102"/>
  <c r="M125" i="102" s="1"/>
  <c r="M141" i="102" s="1"/>
  <c r="P69" i="102"/>
  <c r="D103" i="102"/>
  <c r="H103" i="102"/>
  <c r="H118" i="102" s="1"/>
  <c r="H134" i="102" s="1"/>
  <c r="H162" i="102" s="1"/>
  <c r="L103" i="102"/>
  <c r="L118" i="102" s="1"/>
  <c r="L134" i="102" s="1"/>
  <c r="L157" i="102" s="1"/>
  <c r="L9" i="103" s="1"/>
  <c r="P70" i="102"/>
  <c r="G104" i="102"/>
  <c r="G119" i="102" s="1"/>
  <c r="G135" i="102" s="1"/>
  <c r="K104" i="102"/>
  <c r="K119" i="102" s="1"/>
  <c r="K135" i="102" s="1"/>
  <c r="O104" i="102"/>
  <c r="O119" i="102" s="1"/>
  <c r="O135" i="102" s="1"/>
  <c r="F105" i="102"/>
  <c r="F120" i="102" s="1"/>
  <c r="F136" i="102" s="1"/>
  <c r="J105" i="102"/>
  <c r="J120" i="102" s="1"/>
  <c r="J136" i="102" s="1"/>
  <c r="N105" i="102"/>
  <c r="N120" i="102" s="1"/>
  <c r="N136" i="102" s="1"/>
  <c r="E106" i="102"/>
  <c r="E121" i="102" s="1"/>
  <c r="I106" i="102"/>
  <c r="I121" i="102" s="1"/>
  <c r="I137" i="102" s="1"/>
  <c r="I160" i="102" s="1"/>
  <c r="M106" i="102"/>
  <c r="M121" i="102" s="1"/>
  <c r="M137" i="102" s="1"/>
  <c r="J217" i="102"/>
  <c r="J195" i="102"/>
  <c r="M282" i="102"/>
  <c r="I282" i="102"/>
  <c r="E282" i="102"/>
  <c r="M278" i="102"/>
  <c r="I278" i="102"/>
  <c r="E278" i="102"/>
  <c r="N277" i="102"/>
  <c r="J277" i="102"/>
  <c r="F277" i="102"/>
  <c r="O282" i="102"/>
  <c r="K282" i="102"/>
  <c r="G282" i="102"/>
  <c r="O278" i="102"/>
  <c r="K278" i="102"/>
  <c r="G278" i="102"/>
  <c r="L277" i="102"/>
  <c r="H277" i="102"/>
  <c r="D277" i="102"/>
  <c r="L282" i="102"/>
  <c r="D282" i="102"/>
  <c r="H278" i="102"/>
  <c r="M277" i="102"/>
  <c r="E277" i="102"/>
  <c r="H282" i="102"/>
  <c r="L278" i="102"/>
  <c r="D278" i="102"/>
  <c r="I277" i="102"/>
  <c r="J282" i="102"/>
  <c r="N278" i="102"/>
  <c r="K277" i="102"/>
  <c r="F278" i="102"/>
  <c r="J278" i="102"/>
  <c r="F282" i="102"/>
  <c r="G277" i="102"/>
  <c r="P188" i="102"/>
  <c r="D249" i="102"/>
  <c r="L249" i="102"/>
  <c r="L250" i="102" s="1"/>
  <c r="O277" i="102"/>
  <c r="N282" i="102"/>
  <c r="G195" i="102"/>
  <c r="K217" i="102"/>
  <c r="K195" i="102"/>
  <c r="O195" i="102"/>
  <c r="P193" i="102"/>
  <c r="G217" i="102"/>
  <c r="P217" i="102" s="1"/>
  <c r="P236" i="102"/>
  <c r="P237" i="102"/>
  <c r="P246" i="102"/>
  <c r="P65" i="102"/>
  <c r="P77" i="102"/>
  <c r="P190" i="102"/>
  <c r="F249" i="102"/>
  <c r="F250" i="102" s="1"/>
  <c r="J249" i="102"/>
  <c r="J250" i="102" s="1"/>
  <c r="N249" i="102"/>
  <c r="N250" i="102" s="1"/>
  <c r="P240" i="102"/>
  <c r="G249" i="102"/>
  <c r="G250" i="102" s="1"/>
  <c r="K249" i="102"/>
  <c r="K250" i="102" s="1"/>
  <c r="O249" i="102"/>
  <c r="O250" i="102" s="1"/>
  <c r="P242" i="102"/>
  <c r="F1051" i="77" l="1"/>
  <c r="R1033" i="77"/>
  <c r="P150" i="102"/>
  <c r="N162" i="102"/>
  <c r="N207" i="102" s="1"/>
  <c r="K161" i="102"/>
  <c r="K12" i="103" s="1"/>
  <c r="K52" i="103" s="1"/>
  <c r="G165" i="102"/>
  <c r="G13" i="103" s="1"/>
  <c r="G158" i="102"/>
  <c r="G10" i="103" s="1"/>
  <c r="G50" i="103" s="1"/>
  <c r="F156" i="102"/>
  <c r="F173" i="102" s="1"/>
  <c r="H268" i="77" s="1"/>
  <c r="H281" i="77" s="1"/>
  <c r="H1040" i="77" s="1"/>
  <c r="I161" i="102"/>
  <c r="I12" i="103" s="1"/>
  <c r="I52" i="103" s="1"/>
  <c r="G156" i="102"/>
  <c r="G208" i="102" s="1"/>
  <c r="F158" i="102"/>
  <c r="F10" i="103" s="1"/>
  <c r="F50" i="103" s="1"/>
  <c r="O159" i="102"/>
  <c r="O11" i="103" s="1"/>
  <c r="O51" i="103" s="1"/>
  <c r="F162" i="102"/>
  <c r="F207" i="102" s="1"/>
  <c r="H158" i="102"/>
  <c r="H10" i="103" s="1"/>
  <c r="H50" i="103" s="1"/>
  <c r="H165" i="102"/>
  <c r="H13" i="103" s="1"/>
  <c r="P107" i="102"/>
  <c r="H127" i="102"/>
  <c r="O158" i="102"/>
  <c r="O10" i="103" s="1"/>
  <c r="O50" i="103" s="1"/>
  <c r="L49" i="103"/>
  <c r="J163" i="102"/>
  <c r="J180" i="102" s="1"/>
  <c r="L102" i="77" s="1"/>
  <c r="L109" i="77" s="1"/>
  <c r="K159" i="102"/>
  <c r="K11" i="103" s="1"/>
  <c r="K51" i="103" s="1"/>
  <c r="O161" i="102"/>
  <c r="O12" i="103" s="1"/>
  <c r="O52" i="103" s="1"/>
  <c r="F165" i="102"/>
  <c r="F13" i="103" s="1"/>
  <c r="I177" i="102"/>
  <c r="K515" i="77" s="1"/>
  <c r="K527" i="77" s="1"/>
  <c r="K1037" i="77" s="1"/>
  <c r="I205" i="102"/>
  <c r="G173" i="102"/>
  <c r="I268" i="77" s="1"/>
  <c r="I281" i="77" s="1"/>
  <c r="I1040" i="77" s="1"/>
  <c r="O205" i="102"/>
  <c r="O177" i="102"/>
  <c r="Q515" i="77" s="1"/>
  <c r="Q527" i="77" s="1"/>
  <c r="Q1037" i="77" s="1"/>
  <c r="L209" i="102"/>
  <c r="L174" i="102"/>
  <c r="N438" i="77" s="1"/>
  <c r="N450" i="77" s="1"/>
  <c r="N1041" i="77" s="1"/>
  <c r="N179" i="102"/>
  <c r="P146" i="77" s="1"/>
  <c r="P153" i="77" s="1"/>
  <c r="P1039" i="77" s="1"/>
  <c r="H207" i="102"/>
  <c r="H179" i="102"/>
  <c r="J146" i="77" s="1"/>
  <c r="J153" i="77" s="1"/>
  <c r="J1039" i="77" s="1"/>
  <c r="G212" i="102"/>
  <c r="E137" i="102"/>
  <c r="P137" i="102" s="1"/>
  <c r="P121" i="102"/>
  <c r="M160" i="102"/>
  <c r="M159" i="102"/>
  <c r="M11" i="103" s="1"/>
  <c r="M51" i="103" s="1"/>
  <c r="M161" i="102"/>
  <c r="M12" i="103" s="1"/>
  <c r="M52" i="103" s="1"/>
  <c r="J165" i="102"/>
  <c r="J13" i="103" s="1"/>
  <c r="J157" i="102"/>
  <c r="J9" i="103" s="1"/>
  <c r="J158" i="102"/>
  <c r="J10" i="103" s="1"/>
  <c r="J50" i="103" s="1"/>
  <c r="J156" i="102"/>
  <c r="J162" i="102"/>
  <c r="E156" i="102"/>
  <c r="E162" i="102"/>
  <c r="E158" i="102"/>
  <c r="E10" i="103" s="1"/>
  <c r="E50" i="103" s="1"/>
  <c r="E165" i="102"/>
  <c r="E13" i="103" s="1"/>
  <c r="E157" i="102"/>
  <c r="E9" i="103" s="1"/>
  <c r="G178" i="102"/>
  <c r="I645" i="77" s="1"/>
  <c r="I661" i="77" s="1"/>
  <c r="I1038" i="77" s="1"/>
  <c r="G206" i="102"/>
  <c r="P119" i="102"/>
  <c r="J127" i="102"/>
  <c r="P101" i="102"/>
  <c r="N157" i="102"/>
  <c r="N9" i="103" s="1"/>
  <c r="L127" i="102"/>
  <c r="D140" i="102"/>
  <c r="P140" i="102" s="1"/>
  <c r="P124" i="102"/>
  <c r="P115" i="102"/>
  <c r="D131" i="102"/>
  <c r="P131" i="102" s="1"/>
  <c r="K206" i="102"/>
  <c r="N163" i="102"/>
  <c r="N155" i="102"/>
  <c r="N172" i="102" s="1"/>
  <c r="P180" i="77" s="1"/>
  <c r="P193" i="77" s="1"/>
  <c r="N143" i="102"/>
  <c r="N144" i="102" s="1"/>
  <c r="N154" i="102"/>
  <c r="N171" i="102" s="1"/>
  <c r="P79" i="77" s="1"/>
  <c r="P86" i="77" s="1"/>
  <c r="N153" i="102"/>
  <c r="N164" i="102"/>
  <c r="J164" i="102"/>
  <c r="L158" i="102"/>
  <c r="L10" i="103" s="1"/>
  <c r="L50" i="103" s="1"/>
  <c r="L165" i="102"/>
  <c r="L13" i="103" s="1"/>
  <c r="O157" i="102"/>
  <c r="O9" i="103" s="1"/>
  <c r="O162" i="102"/>
  <c r="F163" i="102"/>
  <c r="F155" i="102"/>
  <c r="F172" i="102" s="1"/>
  <c r="H180" i="77" s="1"/>
  <c r="H193" i="77" s="1"/>
  <c r="F143" i="102"/>
  <c r="F144" i="102" s="1"/>
  <c r="F154" i="102"/>
  <c r="F171" i="102" s="1"/>
  <c r="H79" i="77" s="1"/>
  <c r="H86" i="77" s="1"/>
  <c r="F153" i="102"/>
  <c r="F164" i="102"/>
  <c r="D250" i="102"/>
  <c r="P250" i="102" s="1"/>
  <c r="P249" i="102"/>
  <c r="P278" i="102"/>
  <c r="P277" i="102"/>
  <c r="N159" i="102"/>
  <c r="N11" i="103" s="1"/>
  <c r="N51" i="103" s="1"/>
  <c r="N161" i="102"/>
  <c r="N12" i="103" s="1"/>
  <c r="N52" i="103" s="1"/>
  <c r="N160" i="102"/>
  <c r="P104" i="102"/>
  <c r="H156" i="102"/>
  <c r="L177" i="102"/>
  <c r="N515" i="77" s="1"/>
  <c r="N527" i="77" s="1"/>
  <c r="N1037" i="77" s="1"/>
  <c r="L205" i="102"/>
  <c r="I159" i="102"/>
  <c r="I11" i="103" s="1"/>
  <c r="I51" i="103" s="1"/>
  <c r="G205" i="102"/>
  <c r="G177" i="102"/>
  <c r="I515" i="77" s="1"/>
  <c r="I527" i="77" s="1"/>
  <c r="I1037" i="77" s="1"/>
  <c r="D141" i="102"/>
  <c r="P141" i="102" s="1"/>
  <c r="P125" i="102"/>
  <c r="P102" i="102"/>
  <c r="D117" i="102"/>
  <c r="N156" i="102"/>
  <c r="I127" i="102"/>
  <c r="I130" i="102"/>
  <c r="N165" i="102"/>
  <c r="N13" i="103" s="1"/>
  <c r="D130" i="102"/>
  <c r="P114" i="102"/>
  <c r="P109" i="102"/>
  <c r="H153" i="102"/>
  <c r="H163" i="102"/>
  <c r="H155" i="102"/>
  <c r="H172" i="102" s="1"/>
  <c r="J180" i="77" s="1"/>
  <c r="J193" i="77" s="1"/>
  <c r="H143" i="102"/>
  <c r="H144" i="102" s="1"/>
  <c r="H164" i="102"/>
  <c r="H154" i="102"/>
  <c r="H171" i="102" s="1"/>
  <c r="J79" i="77" s="1"/>
  <c r="J86" i="77" s="1"/>
  <c r="K160" i="102"/>
  <c r="N127" i="102"/>
  <c r="J143" i="102"/>
  <c r="J144" i="102" s="1"/>
  <c r="L162" i="102"/>
  <c r="O204" i="102"/>
  <c r="O165" i="102"/>
  <c r="O13" i="103" s="1"/>
  <c r="G157" i="102"/>
  <c r="G9" i="103" s="1"/>
  <c r="G162" i="102"/>
  <c r="F157" i="102"/>
  <c r="F9" i="103" s="1"/>
  <c r="J159" i="102"/>
  <c r="J11" i="103" s="1"/>
  <c r="J51" i="103" s="1"/>
  <c r="J161" i="102"/>
  <c r="J12" i="103" s="1"/>
  <c r="J52" i="103" s="1"/>
  <c r="J160" i="102"/>
  <c r="P103" i="102"/>
  <c r="D118" i="102"/>
  <c r="P195" i="102"/>
  <c r="P111" i="102"/>
  <c r="D126" i="102"/>
  <c r="L204" i="102"/>
  <c r="L176" i="102"/>
  <c r="N349" i="77" s="1"/>
  <c r="N362" i="77" s="1"/>
  <c r="N1036" i="77" s="1"/>
  <c r="M156" i="102"/>
  <c r="M162" i="102"/>
  <c r="M158" i="102"/>
  <c r="M10" i="103" s="1"/>
  <c r="M50" i="103" s="1"/>
  <c r="M165" i="102"/>
  <c r="M13" i="103" s="1"/>
  <c r="M157" i="102"/>
  <c r="M9" i="103" s="1"/>
  <c r="G130" i="102"/>
  <c r="G127" i="102"/>
  <c r="P108" i="102"/>
  <c r="D132" i="102"/>
  <c r="P132" i="102" s="1"/>
  <c r="P116" i="102"/>
  <c r="P106" i="102"/>
  <c r="K162" i="102"/>
  <c r="K158" i="102"/>
  <c r="K10" i="103" s="1"/>
  <c r="K50" i="103" s="1"/>
  <c r="K156" i="102"/>
  <c r="K165" i="102"/>
  <c r="K13" i="103" s="1"/>
  <c r="K157" i="102"/>
  <c r="K9" i="103" s="1"/>
  <c r="M130" i="102"/>
  <c r="M127" i="102"/>
  <c r="O130" i="102"/>
  <c r="O127" i="102"/>
  <c r="N158" i="102"/>
  <c r="N10" i="103" s="1"/>
  <c r="N50" i="103" s="1"/>
  <c r="P99" i="102"/>
  <c r="G284" i="102"/>
  <c r="G222" i="102"/>
  <c r="J153" i="102"/>
  <c r="J155" i="102"/>
  <c r="J172" i="102" s="1"/>
  <c r="L180" i="77" s="1"/>
  <c r="L193" i="77" s="1"/>
  <c r="L156" i="102"/>
  <c r="O178" i="102"/>
  <c r="Q645" i="77" s="1"/>
  <c r="Q661" i="77" s="1"/>
  <c r="Q1038" i="77" s="1"/>
  <c r="O156" i="102"/>
  <c r="F208" i="102"/>
  <c r="P282" i="102"/>
  <c r="F159" i="102"/>
  <c r="F11" i="103" s="1"/>
  <c r="F51" i="103" s="1"/>
  <c r="F161" i="102"/>
  <c r="F12" i="103" s="1"/>
  <c r="F52" i="103" s="1"/>
  <c r="F160" i="102"/>
  <c r="H157" i="102"/>
  <c r="H9" i="103" s="1"/>
  <c r="D138" i="102"/>
  <c r="P122" i="102"/>
  <c r="L178" i="102"/>
  <c r="N645" i="77" s="1"/>
  <c r="N661" i="77" s="1"/>
  <c r="N1038" i="77" s="1"/>
  <c r="L206" i="102"/>
  <c r="I156" i="102"/>
  <c r="I162" i="102"/>
  <c r="I158" i="102"/>
  <c r="I10" i="103" s="1"/>
  <c r="I50" i="103" s="1"/>
  <c r="I165" i="102"/>
  <c r="I13" i="103" s="1"/>
  <c r="I157" i="102"/>
  <c r="I9" i="103" s="1"/>
  <c r="P123" i="102"/>
  <c r="D139" i="102"/>
  <c r="P139" i="102" s="1"/>
  <c r="P135" i="102"/>
  <c r="H161" i="102"/>
  <c r="H12" i="103" s="1"/>
  <c r="H52" i="103" s="1"/>
  <c r="H159" i="102"/>
  <c r="H11" i="103" s="1"/>
  <c r="H51" i="103" s="1"/>
  <c r="H160" i="102"/>
  <c r="K130" i="102"/>
  <c r="K127" i="102"/>
  <c r="E127" i="102"/>
  <c r="E130" i="102"/>
  <c r="P110" i="102"/>
  <c r="E120" i="102"/>
  <c r="P105" i="102"/>
  <c r="L153" i="102"/>
  <c r="L163" i="102"/>
  <c r="L155" i="102"/>
  <c r="L172" i="102" s="1"/>
  <c r="N180" i="77" s="1"/>
  <c r="N193" i="77" s="1"/>
  <c r="L164" i="102"/>
  <c r="L154" i="102"/>
  <c r="L171" i="102" s="1"/>
  <c r="N79" i="77" s="1"/>
  <c r="N86" i="77" s="1"/>
  <c r="L143" i="102"/>
  <c r="L144" i="102" s="1"/>
  <c r="P100" i="102"/>
  <c r="J154" i="102"/>
  <c r="J171" i="102" s="1"/>
  <c r="F127" i="102"/>
  <c r="O211" i="102" l="1"/>
  <c r="H175" i="102"/>
  <c r="J752" i="77" s="1"/>
  <c r="J767" i="77" s="1"/>
  <c r="J1043" i="77" s="1"/>
  <c r="H211" i="102"/>
  <c r="O175" i="102"/>
  <c r="Q752" i="77" s="1"/>
  <c r="Q767" i="77" s="1"/>
  <c r="Q1043" i="77" s="1"/>
  <c r="O206" i="102"/>
  <c r="G211" i="102"/>
  <c r="F179" i="102"/>
  <c r="H146" i="77" s="1"/>
  <c r="H153" i="77" s="1"/>
  <c r="H1039" i="77" s="1"/>
  <c r="K178" i="102"/>
  <c r="M645" i="77" s="1"/>
  <c r="M661" i="77" s="1"/>
  <c r="M1038" i="77" s="1"/>
  <c r="K204" i="102"/>
  <c r="F212" i="102"/>
  <c r="G175" i="102"/>
  <c r="I752" i="77" s="1"/>
  <c r="I767" i="77" s="1"/>
  <c r="I1043" i="77" s="1"/>
  <c r="L54" i="103"/>
  <c r="K176" i="102"/>
  <c r="M349" i="77" s="1"/>
  <c r="M362" i="77" s="1"/>
  <c r="M1036" i="77" s="1"/>
  <c r="I206" i="102"/>
  <c r="I178" i="102"/>
  <c r="K645" i="77" s="1"/>
  <c r="K661" i="77" s="1"/>
  <c r="K1038" i="77" s="1"/>
  <c r="H212" i="102"/>
  <c r="G182" i="102"/>
  <c r="I842" i="77" s="1"/>
  <c r="I1044" i="77" s="1"/>
  <c r="F182" i="102"/>
  <c r="H842" i="77" s="1"/>
  <c r="H1044" i="77" s="1"/>
  <c r="N14" i="103"/>
  <c r="N15" i="103" s="1"/>
  <c r="N49" i="103"/>
  <c r="N54" i="103" s="1"/>
  <c r="J14" i="103"/>
  <c r="J15" i="103" s="1"/>
  <c r="J49" i="103"/>
  <c r="J54" i="103" s="1"/>
  <c r="G14" i="103"/>
  <c r="G15" i="103" s="1"/>
  <c r="G49" i="103"/>
  <c r="G54" i="103" s="1"/>
  <c r="J275" i="102"/>
  <c r="L79" i="77"/>
  <c r="L86" i="77" s="1"/>
  <c r="L1034" i="77" s="1"/>
  <c r="M14" i="103"/>
  <c r="M15" i="103" s="1"/>
  <c r="M49" i="103"/>
  <c r="E49" i="103"/>
  <c r="F211" i="102"/>
  <c r="H14" i="103"/>
  <c r="H15" i="103" s="1"/>
  <c r="H49" i="103"/>
  <c r="H54" i="103" s="1"/>
  <c r="L14" i="103"/>
  <c r="L15" i="103" s="1"/>
  <c r="I14" i="103"/>
  <c r="I15" i="103" s="1"/>
  <c r="I49" i="103"/>
  <c r="I54" i="103" s="1"/>
  <c r="K14" i="103"/>
  <c r="K15" i="103" s="1"/>
  <c r="K49" i="103"/>
  <c r="K54" i="103" s="1"/>
  <c r="F14" i="103"/>
  <c r="F15" i="103" s="1"/>
  <c r="F49" i="103"/>
  <c r="F54" i="103" s="1"/>
  <c r="O176" i="102"/>
  <c r="Q349" i="77" s="1"/>
  <c r="Q362" i="77" s="1"/>
  <c r="Q1036" i="77" s="1"/>
  <c r="O14" i="103"/>
  <c r="O15" i="103" s="1"/>
  <c r="O49" i="103"/>
  <c r="O54" i="103" s="1"/>
  <c r="H182" i="102"/>
  <c r="J842" i="77" s="1"/>
  <c r="J1044" i="77" s="1"/>
  <c r="M54" i="103"/>
  <c r="F175" i="102"/>
  <c r="H752" i="77" s="1"/>
  <c r="H767" i="77" s="1"/>
  <c r="H1043" i="77" s="1"/>
  <c r="D127" i="102"/>
  <c r="P127" i="102" s="1"/>
  <c r="H177" i="102"/>
  <c r="J515" i="77" s="1"/>
  <c r="J527" i="77" s="1"/>
  <c r="J1037" i="77" s="1"/>
  <c r="H205" i="102"/>
  <c r="F177" i="102"/>
  <c r="H515" i="77" s="1"/>
  <c r="H527" i="77" s="1"/>
  <c r="H1037" i="77" s="1"/>
  <c r="F205" i="102"/>
  <c r="F280" i="102"/>
  <c r="F226" i="102"/>
  <c r="F260" i="102" s="1"/>
  <c r="G256" i="102"/>
  <c r="K209" i="102"/>
  <c r="K174" i="102"/>
  <c r="M438" i="77" s="1"/>
  <c r="M450" i="77" s="1"/>
  <c r="M1041" i="77" s="1"/>
  <c r="K207" i="102"/>
  <c r="K179" i="102"/>
  <c r="M146" i="77" s="1"/>
  <c r="M153" i="77" s="1"/>
  <c r="M1039" i="77" s="1"/>
  <c r="M182" i="102"/>
  <c r="O842" i="77" s="1"/>
  <c r="O1044" i="77" s="1"/>
  <c r="M212" i="102"/>
  <c r="L222" i="102"/>
  <c r="L284" i="102"/>
  <c r="P126" i="102"/>
  <c r="D142" i="102"/>
  <c r="P142" i="102" s="1"/>
  <c r="G209" i="102"/>
  <c r="G174" i="102"/>
  <c r="I438" i="77" s="1"/>
  <c r="I450" i="77" s="1"/>
  <c r="I1041" i="77" s="1"/>
  <c r="L179" i="102"/>
  <c r="N146" i="77" s="1"/>
  <c r="N153" i="77" s="1"/>
  <c r="N1039" i="77" s="1"/>
  <c r="L207" i="102"/>
  <c r="H201" i="102"/>
  <c r="H180" i="102"/>
  <c r="D153" i="102"/>
  <c r="D163" i="102"/>
  <c r="D155" i="102"/>
  <c r="D164" i="102"/>
  <c r="D154" i="102"/>
  <c r="P130" i="102"/>
  <c r="I176" i="102"/>
  <c r="K349" i="77" s="1"/>
  <c r="K362" i="77" s="1"/>
  <c r="K1036" i="77" s="1"/>
  <c r="I204" i="102"/>
  <c r="F202" i="102"/>
  <c r="F181" i="102"/>
  <c r="H226" i="77" s="1"/>
  <c r="H239" i="77" s="1"/>
  <c r="H1035" i="77" s="1"/>
  <c r="G283" i="102"/>
  <c r="L212" i="102"/>
  <c r="L182" i="102"/>
  <c r="N842" i="77" s="1"/>
  <c r="N1044" i="77" s="1"/>
  <c r="N200" i="102"/>
  <c r="N170" i="102"/>
  <c r="P37" i="77" s="1"/>
  <c r="N166" i="102"/>
  <c r="N167" i="102" s="1"/>
  <c r="N180" i="102"/>
  <c r="N201" i="102"/>
  <c r="N209" i="102"/>
  <c r="N174" i="102"/>
  <c r="P438" i="77" s="1"/>
  <c r="P450" i="77" s="1"/>
  <c r="P1041" i="77" s="1"/>
  <c r="E211" i="102"/>
  <c r="E175" i="102"/>
  <c r="G752" i="77" s="1"/>
  <c r="G767" i="77" s="1"/>
  <c r="G1043" i="77" s="1"/>
  <c r="J174" i="102"/>
  <c r="L438" i="77" s="1"/>
  <c r="L450" i="77" s="1"/>
  <c r="L1041" i="77" s="1"/>
  <c r="J209" i="102"/>
  <c r="M205" i="102"/>
  <c r="M177" i="102"/>
  <c r="O515" i="77" s="1"/>
  <c r="O527" i="77" s="1"/>
  <c r="O1037" i="77" s="1"/>
  <c r="G280" i="102"/>
  <c r="G226" i="102"/>
  <c r="G260" i="102" s="1"/>
  <c r="I285" i="102"/>
  <c r="I223" i="102"/>
  <c r="I257" i="102" s="1"/>
  <c r="L181" i="102"/>
  <c r="N226" i="77" s="1"/>
  <c r="N239" i="77" s="1"/>
  <c r="N1035" i="77" s="1"/>
  <c r="L202" i="102"/>
  <c r="H204" i="102"/>
  <c r="H176" i="102"/>
  <c r="J349" i="77" s="1"/>
  <c r="J362" i="77" s="1"/>
  <c r="J1036" i="77" s="1"/>
  <c r="F206" i="102"/>
  <c r="F178" i="102"/>
  <c r="H645" i="77" s="1"/>
  <c r="H661" i="77" s="1"/>
  <c r="H1038" i="77" s="1"/>
  <c r="O154" i="102"/>
  <c r="O171" i="102" s="1"/>
  <c r="Q79" i="77" s="1"/>
  <c r="Q86" i="77" s="1"/>
  <c r="O164" i="102"/>
  <c r="O163" i="102"/>
  <c r="O155" i="102"/>
  <c r="O172" i="102" s="1"/>
  <c r="Q180" i="77" s="1"/>
  <c r="Q193" i="77" s="1"/>
  <c r="O153" i="102"/>
  <c r="O143" i="102"/>
  <c r="O144" i="102" s="1"/>
  <c r="K182" i="102"/>
  <c r="M842" i="77" s="1"/>
  <c r="M1044" i="77" s="1"/>
  <c r="K212" i="102"/>
  <c r="M211" i="102"/>
  <c r="M175" i="102"/>
  <c r="O752" i="77" s="1"/>
  <c r="O767" i="77" s="1"/>
  <c r="O1043" i="77" s="1"/>
  <c r="J205" i="102"/>
  <c r="J177" i="102"/>
  <c r="L515" i="77" s="1"/>
  <c r="L527" i="77" s="1"/>
  <c r="L1037" i="77" s="1"/>
  <c r="O182" i="102"/>
  <c r="Q842" i="77" s="1"/>
  <c r="Q1044" i="77" s="1"/>
  <c r="O212" i="102"/>
  <c r="H181" i="102"/>
  <c r="J226" i="77" s="1"/>
  <c r="J239" i="77" s="1"/>
  <c r="J1035" i="77" s="1"/>
  <c r="H202" i="102"/>
  <c r="H200" i="102"/>
  <c r="H170" i="102"/>
  <c r="J37" i="77" s="1"/>
  <c r="H166" i="102"/>
  <c r="H167" i="102" s="1"/>
  <c r="N208" i="102"/>
  <c r="N173" i="102"/>
  <c r="P268" i="77" s="1"/>
  <c r="P281" i="77" s="1"/>
  <c r="P1040" i="77" s="1"/>
  <c r="N177" i="102"/>
  <c r="P515" i="77" s="1"/>
  <c r="P527" i="77" s="1"/>
  <c r="P1037" i="77" s="1"/>
  <c r="N205" i="102"/>
  <c r="F170" i="102"/>
  <c r="H37" i="77" s="1"/>
  <c r="F166" i="102"/>
  <c r="F167" i="102" s="1"/>
  <c r="F200" i="102"/>
  <c r="F180" i="102"/>
  <c r="F275" i="102" s="1"/>
  <c r="F201" i="102"/>
  <c r="L211" i="102"/>
  <c r="L175" i="102"/>
  <c r="N752" i="77" s="1"/>
  <c r="N767" i="77" s="1"/>
  <c r="N1043" i="77" s="1"/>
  <c r="N275" i="102"/>
  <c r="G286" i="102"/>
  <c r="G224" i="102"/>
  <c r="G258" i="102" s="1"/>
  <c r="E207" i="102"/>
  <c r="E179" i="102"/>
  <c r="G146" i="77" s="1"/>
  <c r="G153" i="77" s="1"/>
  <c r="G1039" i="77" s="1"/>
  <c r="J179" i="102"/>
  <c r="L146" i="77" s="1"/>
  <c r="L153" i="77" s="1"/>
  <c r="L1039" i="77" s="1"/>
  <c r="J207" i="102"/>
  <c r="J182" i="102"/>
  <c r="L842" i="77" s="1"/>
  <c r="L1044" i="77" s="1"/>
  <c r="J212" i="102"/>
  <c r="J201" i="102"/>
  <c r="L200" i="102"/>
  <c r="L170" i="102"/>
  <c r="N37" i="77" s="1"/>
  <c r="L166" i="102"/>
  <c r="L167" i="102" s="1"/>
  <c r="E164" i="102"/>
  <c r="E154" i="102"/>
  <c r="E171" i="102" s="1"/>
  <c r="G79" i="77" s="1"/>
  <c r="G86" i="77" s="1"/>
  <c r="E163" i="102"/>
  <c r="E155" i="102"/>
  <c r="E172" i="102" s="1"/>
  <c r="G180" i="77" s="1"/>
  <c r="G193" i="77" s="1"/>
  <c r="E153" i="102"/>
  <c r="I211" i="102"/>
  <c r="I175" i="102"/>
  <c r="K752" i="77" s="1"/>
  <c r="K767" i="77" s="1"/>
  <c r="K1043" i="77" s="1"/>
  <c r="L286" i="102"/>
  <c r="L224" i="102"/>
  <c r="L258" i="102" s="1"/>
  <c r="O286" i="102"/>
  <c r="O224" i="102"/>
  <c r="O258" i="102" s="1"/>
  <c r="I207" i="102"/>
  <c r="I179" i="102"/>
  <c r="K146" i="77" s="1"/>
  <c r="K153" i="77" s="1"/>
  <c r="K1039" i="77" s="1"/>
  <c r="L208" i="102"/>
  <c r="L173" i="102"/>
  <c r="N268" i="77" s="1"/>
  <c r="N281" i="77" s="1"/>
  <c r="N1040" i="77" s="1"/>
  <c r="E136" i="102"/>
  <c r="E143" i="102" s="1"/>
  <c r="E144" i="102" s="1"/>
  <c r="P120" i="102"/>
  <c r="H206" i="102"/>
  <c r="H178" i="102"/>
  <c r="J645" i="77" s="1"/>
  <c r="J661" i="77" s="1"/>
  <c r="J1038" i="77" s="1"/>
  <c r="I209" i="102"/>
  <c r="I174" i="102"/>
  <c r="K438" i="77" s="1"/>
  <c r="K450" i="77" s="1"/>
  <c r="K1041" i="77" s="1"/>
  <c r="I208" i="102"/>
  <c r="I173" i="102"/>
  <c r="K268" i="77" s="1"/>
  <c r="K281" i="77" s="1"/>
  <c r="K1040" i="77" s="1"/>
  <c r="P138" i="102"/>
  <c r="D160" i="102"/>
  <c r="D161" i="102"/>
  <c r="D12" i="103" s="1"/>
  <c r="D159" i="102"/>
  <c r="D11" i="103" s="1"/>
  <c r="F176" i="102"/>
  <c r="H349" i="77" s="1"/>
  <c r="H362" i="77" s="1"/>
  <c r="H1036" i="77" s="1"/>
  <c r="F204" i="102"/>
  <c r="O173" i="102"/>
  <c r="Q268" i="77" s="1"/>
  <c r="Q281" i="77" s="1"/>
  <c r="Q1040" i="77" s="1"/>
  <c r="O208" i="102"/>
  <c r="K208" i="102"/>
  <c r="K173" i="102"/>
  <c r="M268" i="77" s="1"/>
  <c r="M281" i="77" s="1"/>
  <c r="M1040" i="77" s="1"/>
  <c r="G154" i="102"/>
  <c r="G171" i="102" s="1"/>
  <c r="I79" i="77" s="1"/>
  <c r="I86" i="77" s="1"/>
  <c r="G164" i="102"/>
  <c r="G163" i="102"/>
  <c r="G155" i="102"/>
  <c r="G172" i="102" s="1"/>
  <c r="I180" i="77" s="1"/>
  <c r="I193" i="77" s="1"/>
  <c r="G153" i="102"/>
  <c r="G143" i="102"/>
  <c r="G144" i="102" s="1"/>
  <c r="M207" i="102"/>
  <c r="M179" i="102"/>
  <c r="O146" i="77" s="1"/>
  <c r="O153" i="77" s="1"/>
  <c r="O1039" i="77" s="1"/>
  <c r="H283" i="102"/>
  <c r="J206" i="102"/>
  <c r="J178" i="102"/>
  <c r="L645" i="77" s="1"/>
  <c r="L661" i="77" s="1"/>
  <c r="L1038" i="77" s="1"/>
  <c r="F209" i="102"/>
  <c r="F174" i="102"/>
  <c r="H438" i="77" s="1"/>
  <c r="H450" i="77" s="1"/>
  <c r="H1041" i="77" s="1"/>
  <c r="O284" i="102"/>
  <c r="N212" i="102"/>
  <c r="N182" i="102"/>
  <c r="P842" i="77" s="1"/>
  <c r="P1044" i="77" s="1"/>
  <c r="D133" i="102"/>
  <c r="P117" i="102"/>
  <c r="G223" i="102"/>
  <c r="G257" i="102" s="1"/>
  <c r="G285" i="102"/>
  <c r="L285" i="102"/>
  <c r="L223" i="102"/>
  <c r="L257" i="102" s="1"/>
  <c r="N206" i="102"/>
  <c r="N178" i="102"/>
  <c r="P645" i="77" s="1"/>
  <c r="P661" i="77" s="1"/>
  <c r="P1038" i="77" s="1"/>
  <c r="O179" i="102"/>
  <c r="Q146" i="77" s="1"/>
  <c r="Q153" i="77" s="1"/>
  <c r="Q1039" i="77" s="1"/>
  <c r="O207" i="102"/>
  <c r="J202" i="102"/>
  <c r="J181" i="102"/>
  <c r="K286" i="102"/>
  <c r="E174" i="102"/>
  <c r="G438" i="77" s="1"/>
  <c r="G450" i="77" s="1"/>
  <c r="G1041" i="77" s="1"/>
  <c r="E209" i="102"/>
  <c r="E173" i="102"/>
  <c r="G268" i="77" s="1"/>
  <c r="G281" i="77" s="1"/>
  <c r="G1040" i="77" s="1"/>
  <c r="E208" i="102"/>
  <c r="J173" i="102"/>
  <c r="L268" i="77" s="1"/>
  <c r="L281" i="77" s="1"/>
  <c r="L1040" i="77" s="1"/>
  <c r="J208" i="102"/>
  <c r="M206" i="102"/>
  <c r="M178" i="102"/>
  <c r="O645" i="77" s="1"/>
  <c r="O661" i="77" s="1"/>
  <c r="O1038" i="77" s="1"/>
  <c r="N279" i="102"/>
  <c r="N225" i="102"/>
  <c r="N259" i="102" s="1"/>
  <c r="J219" i="102"/>
  <c r="J254" i="102" s="1"/>
  <c r="F283" i="102"/>
  <c r="I286" i="102"/>
  <c r="L180" i="102"/>
  <c r="L201" i="102"/>
  <c r="K154" i="102"/>
  <c r="K171" i="102" s="1"/>
  <c r="M79" i="77" s="1"/>
  <c r="M86" i="77" s="1"/>
  <c r="K164" i="102"/>
  <c r="K153" i="102"/>
  <c r="K143" i="102"/>
  <c r="K144" i="102" s="1"/>
  <c r="K163" i="102"/>
  <c r="K155" i="102"/>
  <c r="K172" i="102" s="1"/>
  <c r="M180" i="77" s="1"/>
  <c r="M193" i="77" s="1"/>
  <c r="I212" i="102"/>
  <c r="I182" i="102"/>
  <c r="K842" i="77" s="1"/>
  <c r="K1044" i="77" s="1"/>
  <c r="H174" i="102"/>
  <c r="J438" i="77" s="1"/>
  <c r="J450" i="77" s="1"/>
  <c r="J1041" i="77" s="1"/>
  <c r="H209" i="102"/>
  <c r="J200" i="102"/>
  <c r="J166" i="102"/>
  <c r="J167" i="102" s="1"/>
  <c r="J170" i="102"/>
  <c r="L37" i="77" s="1"/>
  <c r="N175" i="102"/>
  <c r="P752" i="77" s="1"/>
  <c r="P767" i="77" s="1"/>
  <c r="P1043" i="77" s="1"/>
  <c r="N211" i="102"/>
  <c r="M164" i="102"/>
  <c r="M154" i="102"/>
  <c r="M171" i="102" s="1"/>
  <c r="O79" i="77" s="1"/>
  <c r="O86" i="77" s="1"/>
  <c r="M143" i="102"/>
  <c r="M144" i="102" s="1"/>
  <c r="M153" i="102"/>
  <c r="M163" i="102"/>
  <c r="M155" i="102"/>
  <c r="M172" i="102" s="1"/>
  <c r="O180" i="77" s="1"/>
  <c r="O193" i="77" s="1"/>
  <c r="K175" i="102"/>
  <c r="M752" i="77" s="1"/>
  <c r="M767" i="77" s="1"/>
  <c r="M1043" i="77" s="1"/>
  <c r="K211" i="102"/>
  <c r="M174" i="102"/>
  <c r="O438" i="77" s="1"/>
  <c r="O450" i="77" s="1"/>
  <c r="O1041" i="77" s="1"/>
  <c r="M209" i="102"/>
  <c r="M173" i="102"/>
  <c r="O268" i="77" s="1"/>
  <c r="O281" i="77" s="1"/>
  <c r="O1040" i="77" s="1"/>
  <c r="M208" i="102"/>
  <c r="P118" i="102"/>
  <c r="D134" i="102"/>
  <c r="P134" i="102" s="1"/>
  <c r="J204" i="102"/>
  <c r="J176" i="102"/>
  <c r="L349" i="77" s="1"/>
  <c r="L362" i="77" s="1"/>
  <c r="L1036" i="77" s="1"/>
  <c r="G179" i="102"/>
  <c r="I146" i="77" s="1"/>
  <c r="I153" i="77" s="1"/>
  <c r="I1039" i="77" s="1"/>
  <c r="G207" i="102"/>
  <c r="K205" i="102"/>
  <c r="K177" i="102"/>
  <c r="M515" i="77" s="1"/>
  <c r="M527" i="77" s="1"/>
  <c r="M1037" i="77" s="1"/>
  <c r="I164" i="102"/>
  <c r="I154" i="102"/>
  <c r="I171" i="102" s="1"/>
  <c r="K79" i="77" s="1"/>
  <c r="K86" i="77" s="1"/>
  <c r="I163" i="102"/>
  <c r="I155" i="102"/>
  <c r="I172" i="102" s="1"/>
  <c r="K180" i="77" s="1"/>
  <c r="K193" i="77" s="1"/>
  <c r="I153" i="102"/>
  <c r="I143" i="102"/>
  <c r="I144" i="102" s="1"/>
  <c r="H208" i="102"/>
  <c r="H173" i="102"/>
  <c r="J268" i="77" s="1"/>
  <c r="J281" i="77" s="1"/>
  <c r="J1040" i="77" s="1"/>
  <c r="N176" i="102"/>
  <c r="P349" i="77" s="1"/>
  <c r="P362" i="77" s="1"/>
  <c r="P1036" i="77" s="1"/>
  <c r="N204" i="102"/>
  <c r="F225" i="102"/>
  <c r="F259" i="102" s="1"/>
  <c r="O209" i="102"/>
  <c r="O174" i="102"/>
  <c r="Q438" i="77" s="1"/>
  <c r="Q450" i="77" s="1"/>
  <c r="Q1041" i="77" s="1"/>
  <c r="N202" i="102"/>
  <c r="N181" i="102"/>
  <c r="P226" i="77" s="1"/>
  <c r="P239" i="77" s="1"/>
  <c r="P1035" i="77" s="1"/>
  <c r="E182" i="102"/>
  <c r="G842" i="77" s="1"/>
  <c r="G1044" i="77" s="1"/>
  <c r="E212" i="102"/>
  <c r="J175" i="102"/>
  <c r="L752" i="77" s="1"/>
  <c r="L767" i="77" s="1"/>
  <c r="L1043" i="77" s="1"/>
  <c r="J211" i="102"/>
  <c r="M176" i="102"/>
  <c r="O349" i="77" s="1"/>
  <c r="O362" i="77" s="1"/>
  <c r="O1036" i="77" s="1"/>
  <c r="M204" i="102"/>
  <c r="H279" i="102"/>
  <c r="H225" i="102"/>
  <c r="H259" i="102" s="1"/>
  <c r="L281" i="102"/>
  <c r="L227" i="102"/>
  <c r="L261" i="102" s="1"/>
  <c r="O223" i="102"/>
  <c r="O257" i="102" s="1"/>
  <c r="O285" i="102"/>
  <c r="H229" i="102" l="1"/>
  <c r="H263" i="102" s="1"/>
  <c r="H287" i="102"/>
  <c r="F279" i="102"/>
  <c r="O283" i="102"/>
  <c r="O229" i="102"/>
  <c r="O263" i="102" s="1"/>
  <c r="O222" i="102"/>
  <c r="L220" i="102"/>
  <c r="L255" i="102" s="1"/>
  <c r="L276" i="102"/>
  <c r="K222" i="102"/>
  <c r="K256" i="102" s="1"/>
  <c r="K224" i="102"/>
  <c r="K258" i="102" s="1"/>
  <c r="G230" i="102"/>
  <c r="G264" i="102" s="1"/>
  <c r="F230" i="102"/>
  <c r="F264" i="102" s="1"/>
  <c r="F287" i="102"/>
  <c r="H230" i="102"/>
  <c r="H264" i="102" s="1"/>
  <c r="N220" i="102"/>
  <c r="N255" i="102" s="1"/>
  <c r="F229" i="102"/>
  <c r="F263" i="102" s="1"/>
  <c r="K284" i="102"/>
  <c r="G229" i="102"/>
  <c r="G263" i="102" s="1"/>
  <c r="I224" i="102"/>
  <c r="I258" i="102" s="1"/>
  <c r="G287" i="102"/>
  <c r="F276" i="102"/>
  <c r="N276" i="102"/>
  <c r="L219" i="102"/>
  <c r="L254" i="102" s="1"/>
  <c r="N102" i="77"/>
  <c r="N109" i="77" s="1"/>
  <c r="N1034" i="77" s="1"/>
  <c r="J276" i="102"/>
  <c r="L226" i="77"/>
  <c r="L239" i="77" s="1"/>
  <c r="L1035" i="77" s="1"/>
  <c r="N41" i="77"/>
  <c r="N42" i="77"/>
  <c r="N43" i="77"/>
  <c r="N1032" i="77" s="1"/>
  <c r="H42" i="77"/>
  <c r="H43" i="77"/>
  <c r="H1032" i="77" s="1"/>
  <c r="H41" i="77"/>
  <c r="J220" i="102"/>
  <c r="J255" i="102" s="1"/>
  <c r="H219" i="102"/>
  <c r="H254" i="102" s="1"/>
  <c r="J102" i="77"/>
  <c r="J109" i="77" s="1"/>
  <c r="J1034" i="77" s="1"/>
  <c r="H220" i="102"/>
  <c r="H255" i="102" s="1"/>
  <c r="L42" i="77"/>
  <c r="L41" i="77"/>
  <c r="L43" i="77"/>
  <c r="L1032" i="77" s="1"/>
  <c r="H275" i="102"/>
  <c r="J43" i="77"/>
  <c r="J1032" i="77" s="1"/>
  <c r="J41" i="77"/>
  <c r="J42" i="77"/>
  <c r="F220" i="102"/>
  <c r="F255" i="102" s="1"/>
  <c r="L275" i="102"/>
  <c r="F219" i="102"/>
  <c r="F254" i="102" s="1"/>
  <c r="H102" i="77"/>
  <c r="H109" i="77" s="1"/>
  <c r="H1034" i="77" s="1"/>
  <c r="N219" i="102"/>
  <c r="N254" i="102" s="1"/>
  <c r="P102" i="77"/>
  <c r="P109" i="77" s="1"/>
  <c r="P1034" i="77" s="1"/>
  <c r="H276" i="102"/>
  <c r="P42" i="77"/>
  <c r="P43" i="77"/>
  <c r="P1032" i="77" s="1"/>
  <c r="P41" i="77"/>
  <c r="D143" i="102"/>
  <c r="D51" i="103"/>
  <c r="D52" i="103"/>
  <c r="J283" i="102"/>
  <c r="J229" i="102"/>
  <c r="J263" i="102" s="1"/>
  <c r="E287" i="102"/>
  <c r="E230" i="102"/>
  <c r="E264" i="102" s="1"/>
  <c r="I180" i="102"/>
  <c r="I275" i="102" s="1"/>
  <c r="I201" i="102"/>
  <c r="G279" i="102"/>
  <c r="G225" i="102"/>
  <c r="G259" i="102" s="1"/>
  <c r="M180" i="102"/>
  <c r="M201" i="102"/>
  <c r="O279" i="102"/>
  <c r="O225" i="102"/>
  <c r="O259" i="102" s="1"/>
  <c r="O256" i="102"/>
  <c r="J224" i="102"/>
  <c r="J258" i="102" s="1"/>
  <c r="J286" i="102"/>
  <c r="M279" i="102"/>
  <c r="M225" i="102"/>
  <c r="M259" i="102" s="1"/>
  <c r="K280" i="102"/>
  <c r="K226" i="102"/>
  <c r="K260" i="102" s="1"/>
  <c r="D177" i="102"/>
  <c r="F515" i="77" s="1"/>
  <c r="F527" i="77" s="1"/>
  <c r="D205" i="102"/>
  <c r="I281" i="102"/>
  <c r="I227" i="102"/>
  <c r="I261" i="102" s="1"/>
  <c r="L226" i="102"/>
  <c r="L260" i="102" s="1"/>
  <c r="L280" i="102"/>
  <c r="E202" i="102"/>
  <c r="E181" i="102"/>
  <c r="J287" i="102"/>
  <c r="J230" i="102"/>
  <c r="J264" i="102" s="1"/>
  <c r="L283" i="102"/>
  <c r="L229" i="102"/>
  <c r="L263" i="102" s="1"/>
  <c r="F213" i="102"/>
  <c r="F214" i="102" s="1"/>
  <c r="N285" i="102"/>
  <c r="N223" i="102"/>
  <c r="N257" i="102" s="1"/>
  <c r="H218" i="102"/>
  <c r="H274" i="102"/>
  <c r="H183" i="102"/>
  <c r="H196" i="102" s="1"/>
  <c r="H288" i="102" s="1"/>
  <c r="M229" i="102"/>
  <c r="M263" i="102" s="1"/>
  <c r="M283" i="102"/>
  <c r="O181" i="102"/>
  <c r="Q226" i="77" s="1"/>
  <c r="Q239" i="77" s="1"/>
  <c r="Q1035" i="77" s="1"/>
  <c r="O202" i="102"/>
  <c r="H222" i="102"/>
  <c r="H284" i="102"/>
  <c r="N281" i="102"/>
  <c r="N227" i="102"/>
  <c r="N261" i="102" s="1"/>
  <c r="I284" i="102"/>
  <c r="I222" i="102"/>
  <c r="D181" i="102"/>
  <c r="F226" i="77" s="1"/>
  <c r="F239" i="77" s="1"/>
  <c r="D202" i="102"/>
  <c r="P164" i="102"/>
  <c r="G227" i="102"/>
  <c r="G261" i="102" s="1"/>
  <c r="G281" i="102"/>
  <c r="K279" i="102"/>
  <c r="K225" i="102"/>
  <c r="K259" i="102" s="1"/>
  <c r="O227" i="102"/>
  <c r="O261" i="102" s="1"/>
  <c r="O281" i="102"/>
  <c r="K223" i="102"/>
  <c r="K257" i="102" s="1"/>
  <c r="K285" i="102"/>
  <c r="J284" i="102"/>
  <c r="J222" i="102"/>
  <c r="M170" i="102"/>
  <c r="O37" i="77" s="1"/>
  <c r="M200" i="102"/>
  <c r="M166" i="102"/>
  <c r="M167" i="102" s="1"/>
  <c r="J213" i="102"/>
  <c r="J214" i="102" s="1"/>
  <c r="K166" i="102"/>
  <c r="K167" i="102" s="1"/>
  <c r="K170" i="102"/>
  <c r="M37" i="77" s="1"/>
  <c r="K200" i="102"/>
  <c r="D165" i="102"/>
  <c r="D13" i="103" s="1"/>
  <c r="D157" i="102"/>
  <c r="D9" i="103" s="1"/>
  <c r="P133" i="102"/>
  <c r="D156" i="102"/>
  <c r="D162" i="102"/>
  <c r="D158" i="102"/>
  <c r="D10" i="103" s="1"/>
  <c r="G201" i="102"/>
  <c r="G180" i="102"/>
  <c r="O280" i="102"/>
  <c r="O226" i="102"/>
  <c r="O260" i="102" s="1"/>
  <c r="F284" i="102"/>
  <c r="F222" i="102"/>
  <c r="E160" i="102"/>
  <c r="P160" i="102" s="1"/>
  <c r="E159" i="102"/>
  <c r="E11" i="103" s="1"/>
  <c r="E161" i="102"/>
  <c r="E12" i="103" s="1"/>
  <c r="E52" i="103" s="1"/>
  <c r="P136" i="102"/>
  <c r="I229" i="102"/>
  <c r="I263" i="102" s="1"/>
  <c r="I283" i="102"/>
  <c r="E276" i="102"/>
  <c r="N280" i="102"/>
  <c r="N226" i="102"/>
  <c r="N260" i="102" s="1"/>
  <c r="H213" i="102"/>
  <c r="H214" i="102" s="1"/>
  <c r="O287" i="102"/>
  <c r="O230" i="102"/>
  <c r="O264" i="102" s="1"/>
  <c r="O200" i="102"/>
  <c r="O166" i="102"/>
  <c r="O167" i="102" s="1"/>
  <c r="O170" i="102"/>
  <c r="Q37" i="77" s="1"/>
  <c r="J281" i="102"/>
  <c r="J227" i="102"/>
  <c r="J261" i="102" s="1"/>
  <c r="N218" i="102"/>
  <c r="N183" i="102"/>
  <c r="N196" i="102" s="1"/>
  <c r="N288" i="102" s="1"/>
  <c r="N274" i="102"/>
  <c r="P155" i="102"/>
  <c r="D172" i="102"/>
  <c r="F180" i="77" s="1"/>
  <c r="F193" i="77" s="1"/>
  <c r="L256" i="102"/>
  <c r="F285" i="102"/>
  <c r="F223" i="102"/>
  <c r="F257" i="102" s="1"/>
  <c r="M281" i="102"/>
  <c r="M227" i="102"/>
  <c r="M261" i="102" s="1"/>
  <c r="M181" i="102"/>
  <c r="O226" i="77" s="1"/>
  <c r="O239" i="77" s="1"/>
  <c r="O1035" i="77" s="1"/>
  <c r="M202" i="102"/>
  <c r="I287" i="102"/>
  <c r="I230" i="102"/>
  <c r="I264" i="102" s="1"/>
  <c r="E280" i="102"/>
  <c r="E226" i="102"/>
  <c r="E260" i="102" s="1"/>
  <c r="M284" i="102"/>
  <c r="M222" i="102"/>
  <c r="N284" i="102"/>
  <c r="N222" i="102"/>
  <c r="I170" i="102"/>
  <c r="K37" i="77" s="1"/>
  <c r="I166" i="102"/>
  <c r="I167" i="102" s="1"/>
  <c r="I200" i="102"/>
  <c r="I202" i="102"/>
  <c r="I181" i="102"/>
  <c r="K226" i="77" s="1"/>
  <c r="K239" i="77" s="1"/>
  <c r="K1035" i="77" s="1"/>
  <c r="M280" i="102"/>
  <c r="M226" i="102"/>
  <c r="M260" i="102" s="1"/>
  <c r="K283" i="102"/>
  <c r="K229" i="102"/>
  <c r="K263" i="102" s="1"/>
  <c r="N283" i="102"/>
  <c r="N229" i="102"/>
  <c r="N263" i="102" s="1"/>
  <c r="K202" i="102"/>
  <c r="K181" i="102"/>
  <c r="M226" i="77" s="1"/>
  <c r="M239" i="77" s="1"/>
  <c r="M1035" i="77" s="1"/>
  <c r="J280" i="102"/>
  <c r="J226" i="102"/>
  <c r="J260" i="102" s="1"/>
  <c r="E281" i="102"/>
  <c r="E227" i="102"/>
  <c r="E261" i="102" s="1"/>
  <c r="N224" i="102"/>
  <c r="N258" i="102" s="1"/>
  <c r="N286" i="102"/>
  <c r="N287" i="102"/>
  <c r="N230" i="102"/>
  <c r="N264" i="102" s="1"/>
  <c r="F281" i="102"/>
  <c r="F227" i="102"/>
  <c r="F261" i="102" s="1"/>
  <c r="F269" i="102" s="1"/>
  <c r="G181" i="102"/>
  <c r="G202" i="102"/>
  <c r="D204" i="102"/>
  <c r="P159" i="102"/>
  <c r="D176" i="102"/>
  <c r="F349" i="77" s="1"/>
  <c r="F362" i="77" s="1"/>
  <c r="I280" i="102"/>
  <c r="I226" i="102"/>
  <c r="I260" i="102" s="1"/>
  <c r="H286" i="102"/>
  <c r="H224" i="102"/>
  <c r="H258" i="102" s="1"/>
  <c r="I279" i="102"/>
  <c r="I225" i="102"/>
  <c r="I259" i="102" s="1"/>
  <c r="E180" i="102"/>
  <c r="E201" i="102"/>
  <c r="L274" i="102"/>
  <c r="L218" i="102"/>
  <c r="L183" i="102"/>
  <c r="L196" i="102" s="1"/>
  <c r="L288" i="102" s="1"/>
  <c r="J279" i="102"/>
  <c r="J225" i="102"/>
  <c r="J259" i="102" s="1"/>
  <c r="F183" i="102"/>
  <c r="F196" i="102" s="1"/>
  <c r="F288" i="102" s="1"/>
  <c r="F218" i="102"/>
  <c r="F274" i="102"/>
  <c r="J285" i="102"/>
  <c r="J223" i="102"/>
  <c r="J257" i="102" s="1"/>
  <c r="F224" i="102"/>
  <c r="F258" i="102" s="1"/>
  <c r="F286" i="102"/>
  <c r="M285" i="102"/>
  <c r="M223" i="102"/>
  <c r="M257" i="102" s="1"/>
  <c r="E229" i="102"/>
  <c r="E263" i="102" s="1"/>
  <c r="E283" i="102"/>
  <c r="N213" i="102"/>
  <c r="N214" i="102" s="1"/>
  <c r="D144" i="102"/>
  <c r="P144" i="102" s="1"/>
  <c r="P143" i="102"/>
  <c r="D180" i="102"/>
  <c r="F102" i="77" s="1"/>
  <c r="F109" i="77" s="1"/>
  <c r="P163" i="102"/>
  <c r="D201" i="102"/>
  <c r="K227" i="102"/>
  <c r="K261" i="102" s="1"/>
  <c r="K281" i="102"/>
  <c r="H226" i="102"/>
  <c r="H260" i="102" s="1"/>
  <c r="H280" i="102"/>
  <c r="J183" i="102"/>
  <c r="J196" i="102" s="1"/>
  <c r="J288" i="102" s="1"/>
  <c r="J274" i="102"/>
  <c r="J218" i="102"/>
  <c r="H281" i="102"/>
  <c r="H227" i="102"/>
  <c r="H261" i="102" s="1"/>
  <c r="K201" i="102"/>
  <c r="K180" i="102"/>
  <c r="M286" i="102"/>
  <c r="M224" i="102"/>
  <c r="M258" i="102" s="1"/>
  <c r="G166" i="102"/>
  <c r="G167" i="102" s="1"/>
  <c r="G200" i="102"/>
  <c r="G170" i="102"/>
  <c r="I37" i="77" s="1"/>
  <c r="G275" i="102"/>
  <c r="D178" i="102"/>
  <c r="F645" i="77" s="1"/>
  <c r="F661" i="77" s="1"/>
  <c r="D206" i="102"/>
  <c r="E200" i="102"/>
  <c r="E170" i="102"/>
  <c r="G37" i="77" s="1"/>
  <c r="L213" i="102"/>
  <c r="L214" i="102" s="1"/>
  <c r="E279" i="102"/>
  <c r="E225" i="102"/>
  <c r="E259" i="102" s="1"/>
  <c r="K287" i="102"/>
  <c r="K230" i="102"/>
  <c r="K264" i="102" s="1"/>
  <c r="O201" i="102"/>
  <c r="O180" i="102"/>
  <c r="L287" i="102"/>
  <c r="L230" i="102"/>
  <c r="L264" i="102" s="1"/>
  <c r="D171" i="102"/>
  <c r="F79" i="77" s="1"/>
  <c r="F86" i="77" s="1"/>
  <c r="P154" i="102"/>
  <c r="D200" i="102"/>
  <c r="P153" i="102"/>
  <c r="D170" i="102"/>
  <c r="F37" i="77" s="1"/>
  <c r="L279" i="102"/>
  <c r="L225" i="102"/>
  <c r="L259" i="102" s="1"/>
  <c r="M230" i="102"/>
  <c r="M264" i="102" s="1"/>
  <c r="M287" i="102"/>
  <c r="H285" i="102"/>
  <c r="H223" i="102"/>
  <c r="H257" i="102" s="1"/>
  <c r="N269" i="102" l="1"/>
  <c r="M220" i="102"/>
  <c r="M255" i="102" s="1"/>
  <c r="O276" i="102"/>
  <c r="K220" i="102"/>
  <c r="K255" i="102" s="1"/>
  <c r="D166" i="102"/>
  <c r="M276" i="102"/>
  <c r="K276" i="102"/>
  <c r="I220" i="102"/>
  <c r="I255" i="102" s="1"/>
  <c r="I269" i="102"/>
  <c r="H269" i="102"/>
  <c r="E219" i="102"/>
  <c r="E254" i="102" s="1"/>
  <c r="G102" i="77"/>
  <c r="G109" i="77" s="1"/>
  <c r="G1034" i="77" s="1"/>
  <c r="K43" i="77"/>
  <c r="K1032" i="77" s="1"/>
  <c r="K41" i="77"/>
  <c r="K42" i="77"/>
  <c r="Q41" i="77"/>
  <c r="Q43" i="77"/>
  <c r="Q1032" i="77" s="1"/>
  <c r="Q42" i="77"/>
  <c r="E275" i="102"/>
  <c r="I41" i="77"/>
  <c r="I43" i="77"/>
  <c r="I1032" i="77" s="1"/>
  <c r="I42" i="77"/>
  <c r="E51" i="103"/>
  <c r="E54" i="103" s="1"/>
  <c r="E14" i="103"/>
  <c r="E15" i="103" s="1"/>
  <c r="O43" i="77"/>
  <c r="O1032" i="77" s="1"/>
  <c r="O42" i="77"/>
  <c r="O41" i="77"/>
  <c r="E220" i="102"/>
  <c r="E255" i="102" s="1"/>
  <c r="G226" i="77"/>
  <c r="G239" i="77" s="1"/>
  <c r="G1035" i="77" s="1"/>
  <c r="P12" i="103"/>
  <c r="O219" i="102"/>
  <c r="O254" i="102" s="1"/>
  <c r="Q102" i="77"/>
  <c r="Q109" i="77" s="1"/>
  <c r="Q1034" i="77" s="1"/>
  <c r="E269" i="102"/>
  <c r="E166" i="102"/>
  <c r="E167" i="102" s="1"/>
  <c r="P161" i="102"/>
  <c r="G213" i="102"/>
  <c r="G214" i="102" s="1"/>
  <c r="M41" i="77"/>
  <c r="M42" i="77"/>
  <c r="M43" i="77"/>
  <c r="M1032" i="77" s="1"/>
  <c r="L269" i="102"/>
  <c r="I276" i="102"/>
  <c r="G43" i="77"/>
  <c r="G1032" i="77" s="1"/>
  <c r="G42" i="77"/>
  <c r="G41" i="77"/>
  <c r="K219" i="102"/>
  <c r="K254" i="102" s="1"/>
  <c r="M102" i="77"/>
  <c r="M109" i="77" s="1"/>
  <c r="M1034" i="77" s="1"/>
  <c r="P201" i="102"/>
  <c r="E11" i="98" s="1"/>
  <c r="O220" i="102"/>
  <c r="O255" i="102" s="1"/>
  <c r="G276" i="102"/>
  <c r="I226" i="77"/>
  <c r="I239" i="77" s="1"/>
  <c r="I1035" i="77" s="1"/>
  <c r="G233" i="102"/>
  <c r="G219" i="102"/>
  <c r="G254" i="102" s="1"/>
  <c r="I102" i="77"/>
  <c r="I109" i="77" s="1"/>
  <c r="I1034" i="77" s="1"/>
  <c r="M219" i="102"/>
  <c r="M254" i="102" s="1"/>
  <c r="O102" i="77"/>
  <c r="O109" i="77" s="1"/>
  <c r="O1034" i="77" s="1"/>
  <c r="I219" i="102"/>
  <c r="I254" i="102" s="1"/>
  <c r="K102" i="77"/>
  <c r="K109" i="77" s="1"/>
  <c r="K1034" i="77" s="1"/>
  <c r="P11" i="103"/>
  <c r="F43" i="77"/>
  <c r="F42" i="77"/>
  <c r="F41" i="77"/>
  <c r="F1034" i="77"/>
  <c r="R86" i="77"/>
  <c r="F1037" i="77"/>
  <c r="P52" i="103"/>
  <c r="F1035" i="77"/>
  <c r="R193" i="77"/>
  <c r="P10" i="103"/>
  <c r="D50" i="103"/>
  <c r="P50" i="103" s="1"/>
  <c r="P9" i="103"/>
  <c r="D14" i="103"/>
  <c r="D15" i="103" s="1"/>
  <c r="D49" i="103"/>
  <c r="P49" i="103" s="1"/>
  <c r="P13" i="103"/>
  <c r="P53" i="103"/>
  <c r="F1038" i="77"/>
  <c r="F1036" i="77"/>
  <c r="D167" i="102"/>
  <c r="D222" i="102"/>
  <c r="D284" i="102"/>
  <c r="M233" i="102"/>
  <c r="M256" i="102"/>
  <c r="E206" i="102"/>
  <c r="P206" i="102" s="1"/>
  <c r="E19" i="98" s="1"/>
  <c r="E178" i="102"/>
  <c r="G645" i="77" s="1"/>
  <c r="G661" i="77" s="1"/>
  <c r="G1038" i="77" s="1"/>
  <c r="K274" i="102"/>
  <c r="K218" i="102"/>
  <c r="K183" i="102"/>
  <c r="K196" i="102" s="1"/>
  <c r="K288" i="102" s="1"/>
  <c r="M213" i="102"/>
  <c r="M214" i="102" s="1"/>
  <c r="I233" i="102"/>
  <c r="I256" i="102"/>
  <c r="O233" i="102"/>
  <c r="D274" i="102"/>
  <c r="D218" i="102"/>
  <c r="P170" i="102"/>
  <c r="D275" i="102"/>
  <c r="P171" i="102"/>
  <c r="E274" i="102"/>
  <c r="E218" i="102"/>
  <c r="D286" i="102"/>
  <c r="D224" i="102"/>
  <c r="K275" i="102"/>
  <c r="M275" i="102"/>
  <c r="F253" i="102"/>
  <c r="F231" i="102"/>
  <c r="I274" i="102"/>
  <c r="I218" i="102"/>
  <c r="I183" i="102"/>
  <c r="I196" i="102" s="1"/>
  <c r="I288" i="102" s="1"/>
  <c r="L233" i="102"/>
  <c r="O213" i="102"/>
  <c r="O214" i="102" s="1"/>
  <c r="E176" i="102"/>
  <c r="E204" i="102"/>
  <c r="P204" i="102" s="1"/>
  <c r="E15" i="98" s="1"/>
  <c r="P158" i="102"/>
  <c r="D211" i="102"/>
  <c r="P211" i="102" s="1"/>
  <c r="E20" i="98" s="1"/>
  <c r="D175" i="102"/>
  <c r="F752" i="77" s="1"/>
  <c r="F767" i="77" s="1"/>
  <c r="P157" i="102"/>
  <c r="D209" i="102"/>
  <c r="P209" i="102" s="1"/>
  <c r="E16" i="98" s="1"/>
  <c r="D174" i="102"/>
  <c r="F438" i="77" s="1"/>
  <c r="F450" i="77" s="1"/>
  <c r="M274" i="102"/>
  <c r="M183" i="102"/>
  <c r="M196" i="102" s="1"/>
  <c r="M288" i="102" s="1"/>
  <c r="M218" i="102"/>
  <c r="K269" i="102"/>
  <c r="K233" i="102"/>
  <c r="G220" i="102"/>
  <c r="G255" i="102" s="1"/>
  <c r="O269" i="102"/>
  <c r="G269" i="102"/>
  <c r="J253" i="102"/>
  <c r="J231" i="102"/>
  <c r="D219" i="102"/>
  <c r="P180" i="102"/>
  <c r="L253" i="102"/>
  <c r="L231" i="102"/>
  <c r="N256" i="102"/>
  <c r="N233" i="102"/>
  <c r="O275" i="102"/>
  <c r="E205" i="102"/>
  <c r="P205" i="102" s="1"/>
  <c r="E17" i="98" s="1"/>
  <c r="E177" i="102"/>
  <c r="D179" i="102"/>
  <c r="F146" i="77" s="1"/>
  <c r="F153" i="77" s="1"/>
  <c r="D207" i="102"/>
  <c r="P207" i="102" s="1"/>
  <c r="E12" i="98" s="1"/>
  <c r="P162" i="102"/>
  <c r="D212" i="102"/>
  <c r="P212" i="102" s="1"/>
  <c r="E21" i="98" s="1"/>
  <c r="P165" i="102"/>
  <c r="D182" i="102"/>
  <c r="F842" i="77" s="1"/>
  <c r="F1044" i="77" s="1"/>
  <c r="R1044" i="77" s="1"/>
  <c r="J256" i="102"/>
  <c r="J233" i="102"/>
  <c r="P202" i="102"/>
  <c r="E13" i="98" s="1"/>
  <c r="H231" i="102"/>
  <c r="H253" i="102"/>
  <c r="D285" i="102"/>
  <c r="D223" i="102"/>
  <c r="P200" i="102"/>
  <c r="E10" i="98" s="1"/>
  <c r="G274" i="102"/>
  <c r="G218" i="102"/>
  <c r="G183" i="102"/>
  <c r="G196" i="102" s="1"/>
  <c r="G288" i="102" s="1"/>
  <c r="J269" i="102"/>
  <c r="I213" i="102"/>
  <c r="I214" i="102" s="1"/>
  <c r="D220" i="102"/>
  <c r="D276" i="102"/>
  <c r="P172" i="102"/>
  <c r="N253" i="102"/>
  <c r="N231" i="102"/>
  <c r="O274" i="102"/>
  <c r="O218" i="102"/>
  <c r="O183" i="102"/>
  <c r="O196" i="102" s="1"/>
  <c r="O288" i="102" s="1"/>
  <c r="F256" i="102"/>
  <c r="F233" i="102"/>
  <c r="D208" i="102"/>
  <c r="P208" i="102" s="1"/>
  <c r="E14" i="98" s="1"/>
  <c r="D173" i="102"/>
  <c r="F268" i="77" s="1"/>
  <c r="F281" i="77" s="1"/>
  <c r="P156" i="102"/>
  <c r="K213" i="102"/>
  <c r="K214" i="102" s="1"/>
  <c r="P181" i="102"/>
  <c r="H256" i="102"/>
  <c r="H233" i="102"/>
  <c r="M269" i="102"/>
  <c r="R1034" i="77" l="1"/>
  <c r="F13" i="96" s="1"/>
  <c r="P276" i="102"/>
  <c r="E213" i="102"/>
  <c r="E214" i="102" s="1"/>
  <c r="R661" i="77"/>
  <c r="P51" i="103"/>
  <c r="P166" i="102"/>
  <c r="P167" i="102"/>
  <c r="E183" i="102"/>
  <c r="E196" i="102" s="1"/>
  <c r="E288" i="102" s="1"/>
  <c r="G515" i="77"/>
  <c r="G527" i="77" s="1"/>
  <c r="R239" i="77"/>
  <c r="L232" i="102"/>
  <c r="N1086" i="77"/>
  <c r="J232" i="102"/>
  <c r="L1086" i="77"/>
  <c r="R109" i="77"/>
  <c r="P176" i="102"/>
  <c r="G349" i="77"/>
  <c r="G362" i="77" s="1"/>
  <c r="N232" i="102"/>
  <c r="P1086" i="77"/>
  <c r="P177" i="102"/>
  <c r="H232" i="102"/>
  <c r="J1086" i="77"/>
  <c r="F232" i="102"/>
  <c r="H1086" i="77"/>
  <c r="P14" i="103"/>
  <c r="P15" i="103" s="1"/>
  <c r="D54" i="103"/>
  <c r="P54" i="103" s="1"/>
  <c r="F1040" i="77"/>
  <c r="R281" i="77"/>
  <c r="F1039" i="77"/>
  <c r="R1039" i="77" s="1"/>
  <c r="F14" i="96" s="1"/>
  <c r="R153" i="77"/>
  <c r="F1041" i="77"/>
  <c r="R450" i="77"/>
  <c r="F1043" i="77"/>
  <c r="R767" i="77"/>
  <c r="F1032" i="77"/>
  <c r="R43" i="77"/>
  <c r="D226" i="102"/>
  <c r="D280" i="102"/>
  <c r="P280" i="102" s="1"/>
  <c r="P173" i="102"/>
  <c r="N265" i="102"/>
  <c r="N266" i="102" s="1"/>
  <c r="N268" i="102"/>
  <c r="N270" i="102" s="1"/>
  <c r="D287" i="102"/>
  <c r="P287" i="102" s="1"/>
  <c r="D230" i="102"/>
  <c r="P182" i="102"/>
  <c r="D281" i="102"/>
  <c r="P281" i="102" s="1"/>
  <c r="P174" i="102"/>
  <c r="D227" i="102"/>
  <c r="P275" i="102"/>
  <c r="P274" i="102"/>
  <c r="E286" i="102"/>
  <c r="P286" i="102" s="1"/>
  <c r="E224" i="102"/>
  <c r="E258" i="102" s="1"/>
  <c r="O231" i="102"/>
  <c r="O253" i="102"/>
  <c r="D257" i="102"/>
  <c r="D279" i="102"/>
  <c r="P279" i="102" s="1"/>
  <c r="P179" i="102"/>
  <c r="D225" i="102"/>
  <c r="L268" i="102"/>
  <c r="L270" i="102" s="1"/>
  <c r="L265" i="102"/>
  <c r="L266" i="102" s="1"/>
  <c r="J265" i="102"/>
  <c r="J266" i="102" s="1"/>
  <c r="J268" i="102"/>
  <c r="J270" i="102" s="1"/>
  <c r="M231" i="102"/>
  <c r="M253" i="102"/>
  <c r="P178" i="102"/>
  <c r="E253" i="102"/>
  <c r="D183" i="102"/>
  <c r="D213" i="102"/>
  <c r="E285" i="102"/>
  <c r="P285" i="102" s="1"/>
  <c r="E223" i="102"/>
  <c r="E257" i="102" s="1"/>
  <c r="F265" i="102"/>
  <c r="F266" i="102" s="1"/>
  <c r="F268" i="102"/>
  <c r="F270" i="102" s="1"/>
  <c r="D258" i="102"/>
  <c r="K231" i="102"/>
  <c r="K253" i="102"/>
  <c r="D256" i="102"/>
  <c r="D255" i="102"/>
  <c r="P255" i="102" s="1"/>
  <c r="P220" i="102"/>
  <c r="G253" i="102"/>
  <c r="G231" i="102"/>
  <c r="H268" i="102"/>
  <c r="H270" i="102" s="1"/>
  <c r="H265" i="102"/>
  <c r="H266" i="102" s="1"/>
  <c r="D254" i="102"/>
  <c r="P254" i="102" s="1"/>
  <c r="P219" i="102"/>
  <c r="D283" i="102"/>
  <c r="P283" i="102" s="1"/>
  <c r="P175" i="102"/>
  <c r="D229" i="102"/>
  <c r="E284" i="102"/>
  <c r="P284" i="102" s="1"/>
  <c r="E222" i="102"/>
  <c r="P222" i="102" s="1"/>
  <c r="I253" i="102"/>
  <c r="I231" i="102"/>
  <c r="P218" i="102"/>
  <c r="D253" i="102"/>
  <c r="N271" i="102" l="1"/>
  <c r="J271" i="102"/>
  <c r="H271" i="102"/>
  <c r="I232" i="102"/>
  <c r="K1086" i="77"/>
  <c r="K232" i="102"/>
  <c r="M1086" i="77"/>
  <c r="M232" i="102"/>
  <c r="O1086" i="77"/>
  <c r="P257" i="102"/>
  <c r="G1036" i="77"/>
  <c r="R362" i="77"/>
  <c r="G1037" i="77"/>
  <c r="R527" i="77"/>
  <c r="G232" i="102"/>
  <c r="I1086" i="77"/>
  <c r="F271" i="102"/>
  <c r="O232" i="102"/>
  <c r="Q1086" i="77"/>
  <c r="K265" i="102"/>
  <c r="K266" i="102" s="1"/>
  <c r="K268" i="102"/>
  <c r="K270" i="102" s="1"/>
  <c r="E231" i="102"/>
  <c r="D259" i="102"/>
  <c r="P225" i="102"/>
  <c r="D261" i="102"/>
  <c r="P261" i="102" s="1"/>
  <c r="P227" i="102"/>
  <c r="D264" i="102"/>
  <c r="P264" i="102" s="1"/>
  <c r="P230" i="102"/>
  <c r="D231" i="102"/>
  <c r="F1086" i="77" s="1"/>
  <c r="D263" i="102"/>
  <c r="P263" i="102" s="1"/>
  <c r="P229" i="102"/>
  <c r="G265" i="102"/>
  <c r="G266" i="102" s="1"/>
  <c r="G268" i="102"/>
  <c r="G270" i="102" s="1"/>
  <c r="P224" i="102"/>
  <c r="P183" i="102"/>
  <c r="D196" i="102"/>
  <c r="M268" i="102"/>
  <c r="M270" i="102" s="1"/>
  <c r="M265" i="102"/>
  <c r="M266" i="102" s="1"/>
  <c r="D260" i="102"/>
  <c r="P260" i="102" s="1"/>
  <c r="P226" i="102"/>
  <c r="D268" i="102"/>
  <c r="P253" i="102"/>
  <c r="I268" i="102"/>
  <c r="I270" i="102" s="1"/>
  <c r="I265" i="102"/>
  <c r="I266" i="102" s="1"/>
  <c r="P258" i="102"/>
  <c r="L271" i="102"/>
  <c r="P223" i="102"/>
  <c r="E233" i="102"/>
  <c r="E256" i="102"/>
  <c r="E265" i="102" s="1"/>
  <c r="D233" i="102"/>
  <c r="P213" i="102"/>
  <c r="D214" i="102"/>
  <c r="P214" i="102" s="1"/>
  <c r="O265" i="102"/>
  <c r="O266" i="102" s="1"/>
  <c r="O268" i="102"/>
  <c r="O270" i="102" s="1"/>
  <c r="E266" i="102" l="1"/>
  <c r="E268" i="102"/>
  <c r="E270" i="102" s="1"/>
  <c r="E271" i="102" s="1"/>
  <c r="P256" i="102"/>
  <c r="E232" i="102"/>
  <c r="G1086" i="77"/>
  <c r="O271" i="102"/>
  <c r="D265" i="102"/>
  <c r="P265" i="102" s="1"/>
  <c r="D269" i="102"/>
  <c r="P269" i="102" s="1"/>
  <c r="P259" i="102"/>
  <c r="P233" i="102"/>
  <c r="M271" i="102"/>
  <c r="I271" i="102"/>
  <c r="D288" i="102"/>
  <c r="P288" i="102" s="1"/>
  <c r="P196" i="102"/>
  <c r="G271" i="102"/>
  <c r="D232" i="102"/>
  <c r="P231" i="102"/>
  <c r="K271" i="102"/>
  <c r="D270" i="102" l="1"/>
  <c r="P270" i="102" s="1"/>
  <c r="D266" i="102"/>
  <c r="P266" i="102" s="1"/>
  <c r="P232" i="102"/>
  <c r="P268" i="102"/>
  <c r="D271" i="102"/>
  <c r="P271" i="102" s="1"/>
  <c r="G123" i="77" l="1"/>
  <c r="H123" i="77"/>
  <c r="I123" i="77"/>
  <c r="J123" i="77"/>
  <c r="K123" i="77"/>
  <c r="L123" i="77"/>
  <c r="M123" i="77"/>
  <c r="N123" i="77"/>
  <c r="O123" i="77"/>
  <c r="P123" i="77"/>
  <c r="Q123" i="77"/>
  <c r="F123" i="77"/>
  <c r="G927" i="77"/>
  <c r="H927" i="77"/>
  <c r="I927" i="77"/>
  <c r="J927" i="77"/>
  <c r="K927" i="77"/>
  <c r="L927" i="77"/>
  <c r="M927" i="77"/>
  <c r="N927" i="77"/>
  <c r="O927" i="77"/>
  <c r="P927" i="77"/>
  <c r="Q927" i="77"/>
  <c r="F927" i="77"/>
  <c r="G145" i="77"/>
  <c r="G877" i="77" s="1"/>
  <c r="H145" i="77"/>
  <c r="H877" i="77" s="1"/>
  <c r="I145" i="77"/>
  <c r="I877" i="77" s="1"/>
  <c r="J145" i="77"/>
  <c r="J877" i="77" s="1"/>
  <c r="K145" i="77"/>
  <c r="K877" i="77" s="1"/>
  <c r="L145" i="77"/>
  <c r="L877" i="77" s="1"/>
  <c r="M145" i="77"/>
  <c r="M877" i="77" s="1"/>
  <c r="N145" i="77"/>
  <c r="N877" i="77" s="1"/>
  <c r="O145" i="77"/>
  <c r="O877" i="77" s="1"/>
  <c r="P145" i="77"/>
  <c r="P877" i="77" s="1"/>
  <c r="Q145" i="77"/>
  <c r="Q877" i="77" s="1"/>
  <c r="F145" i="77"/>
  <c r="F877" i="77" s="1"/>
  <c r="Q141" i="77"/>
  <c r="P141" i="77"/>
  <c r="O141" i="77"/>
  <c r="N141" i="77"/>
  <c r="M141" i="77"/>
  <c r="L141" i="77"/>
  <c r="K141" i="77"/>
  <c r="J141" i="77"/>
  <c r="I141" i="77"/>
  <c r="H141" i="77"/>
  <c r="G141" i="77"/>
  <c r="F141" i="77"/>
  <c r="Q140" i="77"/>
  <c r="P140" i="77"/>
  <c r="O140" i="77"/>
  <c r="N140" i="77"/>
  <c r="M140" i="77"/>
  <c r="L140" i="77"/>
  <c r="K140" i="77"/>
  <c r="J140" i="77"/>
  <c r="I140" i="77"/>
  <c r="H140" i="77"/>
  <c r="G140" i="77"/>
  <c r="F140" i="77"/>
  <c r="Q139" i="77"/>
  <c r="P139" i="77"/>
  <c r="O139" i="77"/>
  <c r="N139" i="77"/>
  <c r="M139" i="77"/>
  <c r="L139" i="77"/>
  <c r="K139" i="77"/>
  <c r="J139" i="77"/>
  <c r="I139" i="77"/>
  <c r="H139" i="77"/>
  <c r="G139" i="77"/>
  <c r="F139" i="77"/>
  <c r="Q138" i="77"/>
  <c r="P138" i="77"/>
  <c r="O138" i="77"/>
  <c r="N138" i="77"/>
  <c r="M138" i="77"/>
  <c r="L138" i="77"/>
  <c r="K138" i="77"/>
  <c r="J138" i="77"/>
  <c r="I138" i="77"/>
  <c r="H138" i="77"/>
  <c r="G138" i="77"/>
  <c r="F138" i="77"/>
  <c r="R927" i="77" l="1"/>
  <c r="R877" i="77"/>
  <c r="G149" i="77"/>
  <c r="K149" i="77"/>
  <c r="O149" i="77"/>
  <c r="G150" i="77"/>
  <c r="K150" i="77"/>
  <c r="O150" i="77"/>
  <c r="G151" i="77"/>
  <c r="G156" i="77" s="1"/>
  <c r="K151" i="77"/>
  <c r="K156" i="77" s="1"/>
  <c r="O151" i="77"/>
  <c r="O156" i="77" s="1"/>
  <c r="I149" i="77"/>
  <c r="M149" i="77"/>
  <c r="Q149" i="77"/>
  <c r="F150" i="77"/>
  <c r="J150" i="77"/>
  <c r="N150" i="77"/>
  <c r="J151" i="77"/>
  <c r="J156" i="77" s="1"/>
  <c r="N151" i="77"/>
  <c r="N156" i="77" s="1"/>
  <c r="J152" i="77"/>
  <c r="N152" i="77"/>
  <c r="I151" i="77"/>
  <c r="I156" i="77" s="1"/>
  <c r="M151" i="77"/>
  <c r="M156" i="77" s="1"/>
  <c r="Q151" i="77"/>
  <c r="Q156" i="77" s="1"/>
  <c r="H150" i="77"/>
  <c r="L150" i="77"/>
  <c r="P150" i="77"/>
  <c r="H151" i="77"/>
  <c r="H156" i="77" s="1"/>
  <c r="L151" i="77"/>
  <c r="L156" i="77" s="1"/>
  <c r="P151" i="77"/>
  <c r="P156" i="77" s="1"/>
  <c r="H152" i="77"/>
  <c r="L152" i="77"/>
  <c r="P152" i="77"/>
  <c r="F151" i="77"/>
  <c r="F152" i="77"/>
  <c r="J149" i="77"/>
  <c r="N149" i="77"/>
  <c r="H149" i="77"/>
  <c r="L149" i="77"/>
  <c r="P149" i="77"/>
  <c r="F149" i="77"/>
  <c r="I150" i="77"/>
  <c r="M150" i="77"/>
  <c r="Q150" i="77"/>
  <c r="R145" i="77"/>
  <c r="R146" i="77"/>
  <c r="G152" i="77"/>
  <c r="K152" i="77"/>
  <c r="O152" i="77"/>
  <c r="F156" i="77"/>
  <c r="I152" i="77"/>
  <c r="M152" i="77"/>
  <c r="Q152" i="77"/>
  <c r="H154" i="77" l="1"/>
  <c r="Q154" i="77"/>
  <c r="N154" i="77"/>
  <c r="M154" i="77"/>
  <c r="F154" i="77"/>
  <c r="O154" i="77"/>
  <c r="I154" i="77"/>
  <c r="K154" i="77"/>
  <c r="P154" i="77"/>
  <c r="J154" i="77"/>
  <c r="L154" i="77"/>
  <c r="G154" i="77"/>
  <c r="R150" i="77"/>
  <c r="R151" i="77"/>
  <c r="R152" i="77"/>
  <c r="R149" i="77"/>
  <c r="R154" i="77" l="1"/>
  <c r="Q18" i="73"/>
  <c r="G164" i="77" l="1"/>
  <c r="G210" i="77" s="1"/>
  <c r="H164" i="77"/>
  <c r="H210" i="77" s="1"/>
  <c r="I164" i="77"/>
  <c r="I210" i="77" s="1"/>
  <c r="J164" i="77"/>
  <c r="J210" i="77" s="1"/>
  <c r="K164" i="77"/>
  <c r="K210" i="77" s="1"/>
  <c r="L164" i="77"/>
  <c r="L210" i="77" s="1"/>
  <c r="M164" i="77"/>
  <c r="M210" i="77" s="1"/>
  <c r="N164" i="77"/>
  <c r="N210" i="77" s="1"/>
  <c r="O164" i="77"/>
  <c r="O210" i="77" s="1"/>
  <c r="P164" i="77"/>
  <c r="P210" i="77" s="1"/>
  <c r="Q164" i="77"/>
  <c r="Q210" i="77" s="1"/>
  <c r="F164" i="77"/>
  <c r="F210" i="77" s="1"/>
  <c r="G72" i="77"/>
  <c r="G95" i="77" s="1"/>
  <c r="H72" i="77"/>
  <c r="H95" i="77" s="1"/>
  <c r="I72" i="77"/>
  <c r="I95" i="77" s="1"/>
  <c r="J72" i="77"/>
  <c r="J95" i="77" s="1"/>
  <c r="K72" i="77"/>
  <c r="K95" i="77" s="1"/>
  <c r="L72" i="77"/>
  <c r="L95" i="77" s="1"/>
  <c r="M72" i="77"/>
  <c r="M95" i="77" s="1"/>
  <c r="N72" i="77"/>
  <c r="N95" i="77" s="1"/>
  <c r="O72" i="77"/>
  <c r="O95" i="77" s="1"/>
  <c r="P72" i="77"/>
  <c r="P95" i="77" s="1"/>
  <c r="Q72" i="77"/>
  <c r="Q95" i="77" s="1"/>
  <c r="F72" i="77"/>
  <c r="F95" i="77" s="1"/>
  <c r="K237" i="77" l="1"/>
  <c r="F237" i="77"/>
  <c r="N237" i="77"/>
  <c r="Q237" i="77"/>
  <c r="M237" i="77"/>
  <c r="I237" i="77"/>
  <c r="O237" i="77"/>
  <c r="G237" i="77"/>
  <c r="J237" i="77"/>
  <c r="P237" i="77"/>
  <c r="L237" i="77"/>
  <c r="H237" i="77"/>
  <c r="R237" i="77" l="1"/>
  <c r="B11" i="98"/>
  <c r="B12" i="98" s="1"/>
  <c r="B13" i="98" s="1"/>
  <c r="B14" i="98" s="1"/>
  <c r="B15" i="98" s="1"/>
  <c r="B16" i="98" s="1"/>
  <c r="B17" i="98" s="1"/>
  <c r="B18" i="98" s="1"/>
  <c r="B19" i="98" s="1"/>
  <c r="B20" i="98" s="1"/>
  <c r="B21" i="98" s="1"/>
  <c r="B22" i="98" s="1"/>
  <c r="B13" i="97"/>
  <c r="B14" i="97" s="1"/>
  <c r="B15" i="97" s="1"/>
  <c r="B16" i="97" s="1"/>
  <c r="B17" i="97" s="1"/>
  <c r="B18" i="97" s="1"/>
  <c r="B19" i="97" s="1"/>
  <c r="B20" i="97" s="1"/>
  <c r="B21" i="97" s="1"/>
  <c r="B22" i="97" s="1"/>
  <c r="B23" i="97" s="1"/>
  <c r="B24" i="97" s="1"/>
  <c r="B12" i="97"/>
  <c r="E22" i="98" l="1"/>
  <c r="E27" i="98" s="1"/>
  <c r="B17" i="96" l="1"/>
  <c r="B18" i="96" s="1"/>
  <c r="B19" i="96" s="1"/>
  <c r="B20" i="96" s="1"/>
  <c r="B21" i="96" s="1"/>
  <c r="B22" i="96" s="1"/>
  <c r="B23" i="96" s="1"/>
  <c r="B24" i="96" s="1"/>
  <c r="B25" i="96" s="1"/>
  <c r="B26" i="96" s="1"/>
  <c r="B27" i="96" s="1"/>
  <c r="B28" i="96" s="1"/>
  <c r="B29" i="96" s="1"/>
  <c r="E28" i="96"/>
  <c r="B14" i="96"/>
  <c r="B15" i="96" s="1"/>
  <c r="B16" i="96" s="1"/>
  <c r="B13" i="96"/>
  <c r="Q107" i="77" l="1"/>
  <c r="P107" i="77"/>
  <c r="O107" i="77"/>
  <c r="N107" i="77"/>
  <c r="M107" i="77"/>
  <c r="L107" i="77"/>
  <c r="K107" i="77"/>
  <c r="J107" i="77"/>
  <c r="I107" i="77"/>
  <c r="H107" i="77"/>
  <c r="G107" i="77"/>
  <c r="F107" i="77"/>
  <c r="Q191" i="77"/>
  <c r="P191" i="77"/>
  <c r="O191" i="77"/>
  <c r="N191" i="77"/>
  <c r="M191" i="77"/>
  <c r="L191" i="77"/>
  <c r="K191" i="77"/>
  <c r="J191" i="77"/>
  <c r="I191" i="77"/>
  <c r="H191" i="77"/>
  <c r="G191" i="77"/>
  <c r="F191" i="77"/>
  <c r="Q84" i="77"/>
  <c r="P84" i="77"/>
  <c r="O84" i="77"/>
  <c r="N84" i="77"/>
  <c r="M84" i="77"/>
  <c r="L84" i="77"/>
  <c r="K84" i="77"/>
  <c r="J84" i="77"/>
  <c r="I84" i="77"/>
  <c r="H84" i="77"/>
  <c r="G84" i="77"/>
  <c r="F84" i="77"/>
  <c r="R107" i="77" l="1"/>
  <c r="R191" i="77"/>
  <c r="R84" i="77"/>
  <c r="E37" i="73" l="1"/>
  <c r="G695" i="77" l="1"/>
  <c r="H695" i="77"/>
  <c r="I695" i="77"/>
  <c r="J695" i="77"/>
  <c r="K695" i="77"/>
  <c r="L695" i="77"/>
  <c r="M695" i="77"/>
  <c r="N695" i="77"/>
  <c r="O695" i="77"/>
  <c r="P695" i="77"/>
  <c r="Q695" i="77"/>
  <c r="G696" i="77"/>
  <c r="H696" i="77"/>
  <c r="I696" i="77"/>
  <c r="J696" i="77"/>
  <c r="K696" i="77"/>
  <c r="L696" i="77"/>
  <c r="M696" i="77"/>
  <c r="N696" i="77"/>
  <c r="O696" i="77"/>
  <c r="P696" i="77"/>
  <c r="Q696" i="77"/>
  <c r="G697" i="77"/>
  <c r="H697" i="77"/>
  <c r="I697" i="77"/>
  <c r="J697" i="77"/>
  <c r="K697" i="77"/>
  <c r="L697" i="77"/>
  <c r="M697" i="77"/>
  <c r="N697" i="77"/>
  <c r="O697" i="77"/>
  <c r="P697" i="77"/>
  <c r="Q697" i="77"/>
  <c r="G698" i="77"/>
  <c r="H698" i="77"/>
  <c r="I698" i="77"/>
  <c r="J698" i="77"/>
  <c r="K698" i="77"/>
  <c r="L698" i="77"/>
  <c r="M698" i="77"/>
  <c r="N698" i="77"/>
  <c r="O698" i="77"/>
  <c r="P698" i="77"/>
  <c r="Q698" i="77"/>
  <c r="G699" i="77"/>
  <c r="H699" i="77"/>
  <c r="I699" i="77"/>
  <c r="J699" i="77"/>
  <c r="K699" i="77"/>
  <c r="L699" i="77"/>
  <c r="M699" i="77"/>
  <c r="N699" i="77"/>
  <c r="O699" i="77"/>
  <c r="P699" i="77"/>
  <c r="Q699" i="77"/>
  <c r="F696" i="77"/>
  <c r="F697" i="77"/>
  <c r="F698" i="77"/>
  <c r="F699" i="77"/>
  <c r="F695" i="77"/>
  <c r="G557" i="77"/>
  <c r="H557" i="77"/>
  <c r="I557" i="77"/>
  <c r="J557" i="77"/>
  <c r="K557" i="77"/>
  <c r="L557" i="77"/>
  <c r="M557" i="77"/>
  <c r="N557" i="77"/>
  <c r="O557" i="77"/>
  <c r="P557" i="77"/>
  <c r="Q557" i="77"/>
  <c r="F557" i="77"/>
  <c r="Q397" i="77"/>
  <c r="P397" i="77"/>
  <c r="O397" i="77"/>
  <c r="N397" i="77"/>
  <c r="M397" i="77"/>
  <c r="L397" i="77"/>
  <c r="K397" i="77"/>
  <c r="J397" i="77"/>
  <c r="I397" i="77"/>
  <c r="H397" i="77"/>
  <c r="G397" i="77"/>
  <c r="F397" i="77"/>
  <c r="G393" i="77"/>
  <c r="H393" i="77"/>
  <c r="I393" i="77"/>
  <c r="J393" i="77"/>
  <c r="K393" i="77"/>
  <c r="L393" i="77"/>
  <c r="M393" i="77"/>
  <c r="N393" i="77"/>
  <c r="O393" i="77"/>
  <c r="P393" i="77"/>
  <c r="Q393" i="77"/>
  <c r="G394" i="77"/>
  <c r="H394" i="77"/>
  <c r="I394" i="77"/>
  <c r="J394" i="77"/>
  <c r="K394" i="77"/>
  <c r="L394" i="77"/>
  <c r="M394" i="77"/>
  <c r="N394" i="77"/>
  <c r="O394" i="77"/>
  <c r="P394" i="77"/>
  <c r="Q394" i="77"/>
  <c r="F394" i="77"/>
  <c r="F393" i="77"/>
  <c r="Q391" i="77"/>
  <c r="P391" i="77"/>
  <c r="O391" i="77"/>
  <c r="N391" i="77"/>
  <c r="M391" i="77"/>
  <c r="L391" i="77"/>
  <c r="K391" i="77"/>
  <c r="J391" i="77"/>
  <c r="I391" i="77"/>
  <c r="H391" i="77"/>
  <c r="G391" i="77"/>
  <c r="F391" i="77"/>
  <c r="G792" i="77"/>
  <c r="H792" i="77"/>
  <c r="I792" i="77"/>
  <c r="J792" i="77"/>
  <c r="K792" i="77"/>
  <c r="L792" i="77"/>
  <c r="M792" i="77"/>
  <c r="N792" i="77"/>
  <c r="O792" i="77"/>
  <c r="P792" i="77"/>
  <c r="Q792" i="77"/>
  <c r="G793" i="77"/>
  <c r="H793" i="77"/>
  <c r="I793" i="77"/>
  <c r="J793" i="77"/>
  <c r="K793" i="77"/>
  <c r="L793" i="77"/>
  <c r="M793" i="77"/>
  <c r="N793" i="77"/>
  <c r="O793" i="77"/>
  <c r="P793" i="77"/>
  <c r="Q793" i="77"/>
  <c r="G794" i="77"/>
  <c r="H794" i="77"/>
  <c r="I794" i="77"/>
  <c r="J794" i="77"/>
  <c r="K794" i="77"/>
  <c r="L794" i="77"/>
  <c r="M794" i="77"/>
  <c r="N794" i="77"/>
  <c r="O794" i="77"/>
  <c r="P794" i="77"/>
  <c r="Q794" i="77"/>
  <c r="G795" i="77"/>
  <c r="H795" i="77"/>
  <c r="I795" i="77"/>
  <c r="J795" i="77"/>
  <c r="K795" i="77"/>
  <c r="L795" i="77"/>
  <c r="M795" i="77"/>
  <c r="N795" i="77"/>
  <c r="O795" i="77"/>
  <c r="P795" i="77"/>
  <c r="Q795" i="77"/>
  <c r="G796" i="77"/>
  <c r="H796" i="77"/>
  <c r="I796" i="77"/>
  <c r="J796" i="77"/>
  <c r="K796" i="77"/>
  <c r="L796" i="77"/>
  <c r="M796" i="77"/>
  <c r="N796" i="77"/>
  <c r="O796" i="77"/>
  <c r="P796" i="77"/>
  <c r="Q796" i="77"/>
  <c r="F793" i="77"/>
  <c r="F794" i="77"/>
  <c r="F795" i="77"/>
  <c r="F796" i="77"/>
  <c r="F792" i="77"/>
  <c r="G596" i="77"/>
  <c r="H596" i="77"/>
  <c r="I596" i="77"/>
  <c r="J596" i="77"/>
  <c r="K596" i="77"/>
  <c r="L596" i="77"/>
  <c r="M596" i="77"/>
  <c r="N596" i="77"/>
  <c r="O596" i="77"/>
  <c r="P596" i="77"/>
  <c r="Q596" i="77"/>
  <c r="F596" i="77"/>
  <c r="G590" i="77"/>
  <c r="H590" i="77"/>
  <c r="I590" i="77"/>
  <c r="J590" i="77"/>
  <c r="K590" i="77"/>
  <c r="L590" i="77"/>
  <c r="M590" i="77"/>
  <c r="N590" i="77"/>
  <c r="O590" i="77"/>
  <c r="P590" i="77"/>
  <c r="Q590" i="77"/>
  <c r="F590" i="77"/>
  <c r="G588" i="77"/>
  <c r="H588" i="77"/>
  <c r="I588" i="77"/>
  <c r="J588" i="77"/>
  <c r="K588" i="77"/>
  <c r="L588" i="77"/>
  <c r="M588" i="77"/>
  <c r="N588" i="77"/>
  <c r="O588" i="77"/>
  <c r="P588" i="77"/>
  <c r="Q588" i="77"/>
  <c r="F588" i="77"/>
  <c r="G586" i="77"/>
  <c r="H586" i="77"/>
  <c r="I586" i="77"/>
  <c r="J586" i="77"/>
  <c r="K586" i="77"/>
  <c r="L586" i="77"/>
  <c r="M586" i="77"/>
  <c r="N586" i="77"/>
  <c r="O586" i="77"/>
  <c r="P586" i="77"/>
  <c r="Q586" i="77"/>
  <c r="G587" i="77"/>
  <c r="H587" i="77"/>
  <c r="I587" i="77"/>
  <c r="J587" i="77"/>
  <c r="K587" i="77"/>
  <c r="L587" i="77"/>
  <c r="M587" i="77"/>
  <c r="N587" i="77"/>
  <c r="O587" i="77"/>
  <c r="P587" i="77"/>
  <c r="Q587" i="77"/>
  <c r="F587" i="77"/>
  <c r="F586" i="77"/>
  <c r="G584" i="77"/>
  <c r="H584" i="77"/>
  <c r="I584" i="77"/>
  <c r="J584" i="77"/>
  <c r="K584" i="77"/>
  <c r="L584" i="77"/>
  <c r="M584" i="77"/>
  <c r="N584" i="77"/>
  <c r="O584" i="77"/>
  <c r="P584" i="77"/>
  <c r="Q584" i="77"/>
  <c r="F584" i="77"/>
  <c r="G476" i="77"/>
  <c r="H476" i="77"/>
  <c r="I476" i="77"/>
  <c r="J476" i="77"/>
  <c r="K476" i="77"/>
  <c r="L476" i="77"/>
  <c r="M476" i="77"/>
  <c r="N476" i="77"/>
  <c r="O476" i="77"/>
  <c r="P476" i="77"/>
  <c r="Q476" i="77"/>
  <c r="F476" i="77"/>
  <c r="G472" i="77"/>
  <c r="H472" i="77"/>
  <c r="I472" i="77"/>
  <c r="J472" i="77"/>
  <c r="K472" i="77"/>
  <c r="L472" i="77"/>
  <c r="M472" i="77"/>
  <c r="N472" i="77"/>
  <c r="O472" i="77"/>
  <c r="P472" i="77"/>
  <c r="Q472" i="77"/>
  <c r="G473" i="77"/>
  <c r="H473" i="77"/>
  <c r="I473" i="77"/>
  <c r="J473" i="77"/>
  <c r="K473" i="77"/>
  <c r="L473" i="77"/>
  <c r="M473" i="77"/>
  <c r="N473" i="77"/>
  <c r="O473" i="77"/>
  <c r="P473" i="77"/>
  <c r="Q473" i="77"/>
  <c r="F473" i="77"/>
  <c r="F472" i="77"/>
  <c r="G470" i="77"/>
  <c r="H470" i="77"/>
  <c r="I470" i="77"/>
  <c r="J470" i="77"/>
  <c r="K470" i="77"/>
  <c r="L470" i="77"/>
  <c r="M470" i="77"/>
  <c r="N470" i="77"/>
  <c r="O470" i="77"/>
  <c r="P470" i="77"/>
  <c r="Q470" i="77"/>
  <c r="F470" i="77"/>
  <c r="G307" i="77"/>
  <c r="H307" i="77"/>
  <c r="I307" i="77"/>
  <c r="J307" i="77"/>
  <c r="K307" i="77"/>
  <c r="L307" i="77"/>
  <c r="M307" i="77"/>
  <c r="N307" i="77"/>
  <c r="O307" i="77"/>
  <c r="P307" i="77"/>
  <c r="Q307" i="77"/>
  <c r="F307" i="77"/>
  <c r="G303" i="77"/>
  <c r="H303" i="77"/>
  <c r="I303" i="77"/>
  <c r="J303" i="77"/>
  <c r="K303" i="77"/>
  <c r="L303" i="77"/>
  <c r="M303" i="77"/>
  <c r="N303" i="77"/>
  <c r="O303" i="77"/>
  <c r="P303" i="77"/>
  <c r="Q303" i="77"/>
  <c r="G304" i="77"/>
  <c r="H304" i="77"/>
  <c r="I304" i="77"/>
  <c r="J304" i="77"/>
  <c r="K304" i="77"/>
  <c r="L304" i="77"/>
  <c r="M304" i="77"/>
  <c r="N304" i="77"/>
  <c r="O304" i="77"/>
  <c r="P304" i="77"/>
  <c r="Q304" i="77"/>
  <c r="F304" i="77"/>
  <c r="F303" i="77"/>
  <c r="G301" i="77"/>
  <c r="H301" i="77"/>
  <c r="I301" i="77"/>
  <c r="J301" i="77"/>
  <c r="K301" i="77"/>
  <c r="L301" i="77"/>
  <c r="M301" i="77"/>
  <c r="N301" i="77"/>
  <c r="O301" i="77"/>
  <c r="P301" i="77"/>
  <c r="Q301" i="77"/>
  <c r="F301" i="77"/>
  <c r="G227" i="77"/>
  <c r="H227" i="77"/>
  <c r="I227" i="77"/>
  <c r="J227" i="77"/>
  <c r="K227" i="77"/>
  <c r="L227" i="77"/>
  <c r="M227" i="77"/>
  <c r="N227" i="77"/>
  <c r="O227" i="77"/>
  <c r="P227" i="77"/>
  <c r="Q227" i="77"/>
  <c r="F227" i="77"/>
  <c r="G223" i="77"/>
  <c r="H223" i="77"/>
  <c r="I223" i="77"/>
  <c r="J223" i="77"/>
  <c r="K223" i="77"/>
  <c r="L223" i="77"/>
  <c r="M223" i="77"/>
  <c r="N223" i="77"/>
  <c r="O223" i="77"/>
  <c r="P223" i="77"/>
  <c r="Q223" i="77"/>
  <c r="G224" i="77"/>
  <c r="H224" i="77"/>
  <c r="I224" i="77"/>
  <c r="J224" i="77"/>
  <c r="K224" i="77"/>
  <c r="L224" i="77"/>
  <c r="M224" i="77"/>
  <c r="N224" i="77"/>
  <c r="O224" i="77"/>
  <c r="P224" i="77"/>
  <c r="Q224" i="77"/>
  <c r="F224" i="77"/>
  <c r="F223" i="77"/>
  <c r="G221" i="77"/>
  <c r="H221" i="77"/>
  <c r="I221" i="77"/>
  <c r="J221" i="77"/>
  <c r="K221" i="77"/>
  <c r="L221" i="77"/>
  <c r="M221" i="77"/>
  <c r="N221" i="77"/>
  <c r="O221" i="77"/>
  <c r="P221" i="77"/>
  <c r="Q221" i="77"/>
  <c r="F221" i="77"/>
  <c r="G639" i="77"/>
  <c r="H639" i="77"/>
  <c r="I639" i="77"/>
  <c r="J639" i="77"/>
  <c r="K639" i="77"/>
  <c r="L639" i="77"/>
  <c r="M639" i="77"/>
  <c r="N639" i="77"/>
  <c r="O639" i="77"/>
  <c r="P639" i="77"/>
  <c r="Q639" i="77"/>
  <c r="G640" i="77"/>
  <c r="H640" i="77"/>
  <c r="I640" i="77"/>
  <c r="J640" i="77"/>
  <c r="K640" i="77"/>
  <c r="L640" i="77"/>
  <c r="M640" i="77"/>
  <c r="N640" i="77"/>
  <c r="O640" i="77"/>
  <c r="P640" i="77"/>
  <c r="Q640" i="77"/>
  <c r="G641" i="77"/>
  <c r="H641" i="77"/>
  <c r="I641" i="77"/>
  <c r="J641" i="77"/>
  <c r="K641" i="77"/>
  <c r="L641" i="77"/>
  <c r="M641" i="77"/>
  <c r="N641" i="77"/>
  <c r="O641" i="77"/>
  <c r="P641" i="77"/>
  <c r="Q641" i="77"/>
  <c r="G642" i="77"/>
  <c r="H642" i="77"/>
  <c r="I642" i="77"/>
  <c r="J642" i="77"/>
  <c r="K642" i="77"/>
  <c r="L642" i="77"/>
  <c r="M642" i="77"/>
  <c r="N642" i="77"/>
  <c r="O642" i="77"/>
  <c r="P642" i="77"/>
  <c r="Q642" i="77"/>
  <c r="G643" i="77"/>
  <c r="H643" i="77"/>
  <c r="I643" i="77"/>
  <c r="J643" i="77"/>
  <c r="K643" i="77"/>
  <c r="L643" i="77"/>
  <c r="M643" i="77"/>
  <c r="N643" i="77"/>
  <c r="O643" i="77"/>
  <c r="P643" i="77"/>
  <c r="Q643" i="77"/>
  <c r="F640" i="77"/>
  <c r="F641" i="77"/>
  <c r="F642" i="77"/>
  <c r="F643" i="77"/>
  <c r="F639" i="77"/>
  <c r="G630" i="77"/>
  <c r="H630" i="77"/>
  <c r="I630" i="77"/>
  <c r="J630" i="77"/>
  <c r="K630" i="77"/>
  <c r="L630" i="77"/>
  <c r="M630" i="77"/>
  <c r="N630" i="77"/>
  <c r="O630" i="77"/>
  <c r="P630" i="77"/>
  <c r="Q630" i="77"/>
  <c r="F630" i="77"/>
  <c r="G627" i="77"/>
  <c r="H627" i="77"/>
  <c r="I627" i="77"/>
  <c r="J627" i="77"/>
  <c r="K627" i="77"/>
  <c r="L627" i="77"/>
  <c r="M627" i="77"/>
  <c r="N627" i="77"/>
  <c r="O627" i="77"/>
  <c r="P627" i="77"/>
  <c r="Q627" i="77"/>
  <c r="F627" i="77"/>
  <c r="G620" i="77"/>
  <c r="H620" i="77"/>
  <c r="I620" i="77"/>
  <c r="J620" i="77"/>
  <c r="K620" i="77"/>
  <c r="L620" i="77"/>
  <c r="M620" i="77"/>
  <c r="N620" i="77"/>
  <c r="O620" i="77"/>
  <c r="P620" i="77"/>
  <c r="Q620" i="77"/>
  <c r="G621" i="77"/>
  <c r="H621" i="77"/>
  <c r="I621" i="77"/>
  <c r="J621" i="77"/>
  <c r="K621" i="77"/>
  <c r="L621" i="77"/>
  <c r="M621" i="77"/>
  <c r="N621" i="77"/>
  <c r="O621" i="77"/>
  <c r="P621" i="77"/>
  <c r="Q621" i="77"/>
  <c r="G622" i="77"/>
  <c r="H622" i="77"/>
  <c r="I622" i="77"/>
  <c r="J622" i="77"/>
  <c r="K622" i="77"/>
  <c r="L622" i="77"/>
  <c r="M622" i="77"/>
  <c r="N622" i="77"/>
  <c r="O622" i="77"/>
  <c r="P622" i="77"/>
  <c r="Q622" i="77"/>
  <c r="G623" i="77"/>
  <c r="H623" i="77"/>
  <c r="I623" i="77"/>
  <c r="J623" i="77"/>
  <c r="K623" i="77"/>
  <c r="L623" i="77"/>
  <c r="M623" i="77"/>
  <c r="N623" i="77"/>
  <c r="O623" i="77"/>
  <c r="P623" i="77"/>
  <c r="Q623" i="77"/>
  <c r="G624" i="77"/>
  <c r="H624" i="77"/>
  <c r="I624" i="77"/>
  <c r="J624" i="77"/>
  <c r="K624" i="77"/>
  <c r="L624" i="77"/>
  <c r="M624" i="77"/>
  <c r="N624" i="77"/>
  <c r="O624" i="77"/>
  <c r="P624" i="77"/>
  <c r="Q624" i="77"/>
  <c r="G625" i="77"/>
  <c r="H625" i="77"/>
  <c r="I625" i="77"/>
  <c r="J625" i="77"/>
  <c r="K625" i="77"/>
  <c r="L625" i="77"/>
  <c r="M625" i="77"/>
  <c r="N625" i="77"/>
  <c r="O625" i="77"/>
  <c r="P625" i="77"/>
  <c r="Q625" i="77"/>
  <c r="F625" i="77"/>
  <c r="F624" i="77"/>
  <c r="F623" i="77"/>
  <c r="F622" i="77"/>
  <c r="F621" i="77"/>
  <c r="F620" i="77"/>
  <c r="G618" i="77"/>
  <c r="H618" i="77"/>
  <c r="I618" i="77"/>
  <c r="J618" i="77"/>
  <c r="K618" i="77"/>
  <c r="L618" i="77"/>
  <c r="M618" i="77"/>
  <c r="N618" i="77"/>
  <c r="O618" i="77"/>
  <c r="P618" i="77"/>
  <c r="Q618" i="77"/>
  <c r="F618" i="77"/>
  <c r="G513" i="77"/>
  <c r="H513" i="77"/>
  <c r="I513" i="77"/>
  <c r="J513" i="77"/>
  <c r="K513" i="77"/>
  <c r="L513" i="77"/>
  <c r="M513" i="77"/>
  <c r="N513" i="77"/>
  <c r="O513" i="77"/>
  <c r="P513" i="77"/>
  <c r="Q513" i="77"/>
  <c r="F513" i="77"/>
  <c r="G504" i="77"/>
  <c r="H504" i="77"/>
  <c r="I504" i="77"/>
  <c r="J504" i="77"/>
  <c r="K504" i="77"/>
  <c r="L504" i="77"/>
  <c r="M504" i="77"/>
  <c r="N504" i="77"/>
  <c r="O504" i="77"/>
  <c r="P504" i="77"/>
  <c r="Q504" i="77"/>
  <c r="F504" i="77"/>
  <c r="R1041" i="77" s="1"/>
  <c r="F18" i="96" s="1"/>
  <c r="G501" i="77"/>
  <c r="H501" i="77"/>
  <c r="I501" i="77"/>
  <c r="J501" i="77"/>
  <c r="K501" i="77"/>
  <c r="L501" i="77"/>
  <c r="M501" i="77"/>
  <c r="N501" i="77"/>
  <c r="O501" i="77"/>
  <c r="P501" i="77"/>
  <c r="Q501" i="77"/>
  <c r="F501" i="77"/>
  <c r="G498" i="77"/>
  <c r="H498" i="77"/>
  <c r="I498" i="77"/>
  <c r="J498" i="77"/>
  <c r="K498" i="77"/>
  <c r="L498" i="77"/>
  <c r="M498" i="77"/>
  <c r="N498" i="77"/>
  <c r="O498" i="77"/>
  <c r="P498" i="77"/>
  <c r="Q498" i="77"/>
  <c r="G499" i="77"/>
  <c r="H499" i="77"/>
  <c r="I499" i="77"/>
  <c r="J499" i="77"/>
  <c r="K499" i="77"/>
  <c r="L499" i="77"/>
  <c r="M499" i="77"/>
  <c r="N499" i="77"/>
  <c r="O499" i="77"/>
  <c r="P499" i="77"/>
  <c r="Q499" i="77"/>
  <c r="F499" i="77"/>
  <c r="F498" i="77"/>
  <c r="G496" i="77"/>
  <c r="H496" i="77"/>
  <c r="I496" i="77"/>
  <c r="J496" i="77"/>
  <c r="K496" i="77"/>
  <c r="L496" i="77"/>
  <c r="M496" i="77"/>
  <c r="N496" i="77"/>
  <c r="O496" i="77"/>
  <c r="P496" i="77"/>
  <c r="Q496" i="77"/>
  <c r="F496" i="77"/>
  <c r="G350" i="77"/>
  <c r="H350" i="77"/>
  <c r="I350" i="77"/>
  <c r="J350" i="77"/>
  <c r="K350" i="77"/>
  <c r="L350" i="77"/>
  <c r="M350" i="77"/>
  <c r="N350" i="77"/>
  <c r="O350" i="77"/>
  <c r="P350" i="77"/>
  <c r="Q350" i="77"/>
  <c r="F350" i="77"/>
  <c r="G346" i="77"/>
  <c r="H346" i="77"/>
  <c r="I346" i="77"/>
  <c r="J346" i="77"/>
  <c r="K346" i="77"/>
  <c r="L346" i="77"/>
  <c r="M346" i="77"/>
  <c r="N346" i="77"/>
  <c r="O346" i="77"/>
  <c r="P346" i="77"/>
  <c r="Q346" i="77"/>
  <c r="G347" i="77"/>
  <c r="H347" i="77"/>
  <c r="I347" i="77"/>
  <c r="J347" i="77"/>
  <c r="K347" i="77"/>
  <c r="L347" i="77"/>
  <c r="M347" i="77"/>
  <c r="N347" i="77"/>
  <c r="O347" i="77"/>
  <c r="P347" i="77"/>
  <c r="Q347" i="77"/>
  <c r="F347" i="77"/>
  <c r="F346" i="77"/>
  <c r="G344" i="77"/>
  <c r="H344" i="77"/>
  <c r="I344" i="77"/>
  <c r="J344" i="77"/>
  <c r="K344" i="77"/>
  <c r="L344" i="77"/>
  <c r="M344" i="77"/>
  <c r="N344" i="77"/>
  <c r="O344" i="77"/>
  <c r="P344" i="77"/>
  <c r="Q344" i="77"/>
  <c r="F344" i="77"/>
  <c r="G337" i="77"/>
  <c r="H337" i="77"/>
  <c r="I337" i="77"/>
  <c r="J337" i="77"/>
  <c r="K337" i="77"/>
  <c r="L337" i="77"/>
  <c r="M337" i="77"/>
  <c r="N337" i="77"/>
  <c r="O337" i="77"/>
  <c r="P337" i="77"/>
  <c r="Q337" i="77"/>
  <c r="F337" i="77"/>
  <c r="G334" i="77"/>
  <c r="H334" i="77"/>
  <c r="I334" i="77"/>
  <c r="J334" i="77"/>
  <c r="K334" i="77"/>
  <c r="L334" i="77"/>
  <c r="M334" i="77"/>
  <c r="N334" i="77"/>
  <c r="O334" i="77"/>
  <c r="P334" i="77"/>
  <c r="Q334" i="77"/>
  <c r="F334" i="77"/>
  <c r="G330" i="77"/>
  <c r="H330" i="77"/>
  <c r="I330" i="77"/>
  <c r="J330" i="77"/>
  <c r="K330" i="77"/>
  <c r="L330" i="77"/>
  <c r="M330" i="77"/>
  <c r="N330" i="77"/>
  <c r="O330" i="77"/>
  <c r="P330" i="77"/>
  <c r="Q330" i="77"/>
  <c r="G331" i="77"/>
  <c r="H331" i="77"/>
  <c r="I331" i="77"/>
  <c r="J331" i="77"/>
  <c r="K331" i="77"/>
  <c r="L331" i="77"/>
  <c r="M331" i="77"/>
  <c r="N331" i="77"/>
  <c r="O331" i="77"/>
  <c r="P331" i="77"/>
  <c r="Q331" i="77"/>
  <c r="G332" i="77"/>
  <c r="H332" i="77"/>
  <c r="I332" i="77"/>
  <c r="J332" i="77"/>
  <c r="K332" i="77"/>
  <c r="L332" i="77"/>
  <c r="M332" i="77"/>
  <c r="N332" i="77"/>
  <c r="O332" i="77"/>
  <c r="P332" i="77"/>
  <c r="Q332" i="77"/>
  <c r="F332" i="77"/>
  <c r="F331" i="77"/>
  <c r="F330" i="77"/>
  <c r="G328" i="77"/>
  <c r="H328" i="77"/>
  <c r="I328" i="77"/>
  <c r="J328" i="77"/>
  <c r="K328" i="77"/>
  <c r="L328" i="77"/>
  <c r="M328" i="77"/>
  <c r="N328" i="77"/>
  <c r="O328" i="77"/>
  <c r="P328" i="77"/>
  <c r="Q328" i="77"/>
  <c r="F328" i="77"/>
  <c r="G746" i="77"/>
  <c r="H746" i="77"/>
  <c r="I746" i="77"/>
  <c r="J746" i="77"/>
  <c r="K746" i="77"/>
  <c r="L746" i="77"/>
  <c r="M746" i="77"/>
  <c r="N746" i="77"/>
  <c r="O746" i="77"/>
  <c r="P746" i="77"/>
  <c r="Q746" i="77"/>
  <c r="G747" i="77"/>
  <c r="H747" i="77"/>
  <c r="I747" i="77"/>
  <c r="J747" i="77"/>
  <c r="K747" i="77"/>
  <c r="L747" i="77"/>
  <c r="M747" i="77"/>
  <c r="N747" i="77"/>
  <c r="O747" i="77"/>
  <c r="P747" i="77"/>
  <c r="Q747" i="77"/>
  <c r="G748" i="77"/>
  <c r="H748" i="77"/>
  <c r="I748" i="77"/>
  <c r="J748" i="77"/>
  <c r="K748" i="77"/>
  <c r="L748" i="77"/>
  <c r="M748" i="77"/>
  <c r="N748" i="77"/>
  <c r="O748" i="77"/>
  <c r="P748" i="77"/>
  <c r="Q748" i="77"/>
  <c r="G749" i="77"/>
  <c r="H749" i="77"/>
  <c r="I749" i="77"/>
  <c r="J749" i="77"/>
  <c r="K749" i="77"/>
  <c r="L749" i="77"/>
  <c r="M749" i="77"/>
  <c r="N749" i="77"/>
  <c r="O749" i="77"/>
  <c r="P749" i="77"/>
  <c r="Q749" i="77"/>
  <c r="G750" i="77"/>
  <c r="H750" i="77"/>
  <c r="I750" i="77"/>
  <c r="J750" i="77"/>
  <c r="K750" i="77"/>
  <c r="L750" i="77"/>
  <c r="M750" i="77"/>
  <c r="N750" i="77"/>
  <c r="O750" i="77"/>
  <c r="P750" i="77"/>
  <c r="Q750" i="77"/>
  <c r="F747" i="77"/>
  <c r="F748" i="77"/>
  <c r="F749" i="77"/>
  <c r="F750" i="77"/>
  <c r="F746" i="77"/>
  <c r="G732" i="77"/>
  <c r="H732" i="77"/>
  <c r="I732" i="77"/>
  <c r="J732" i="77"/>
  <c r="K732" i="77"/>
  <c r="L732" i="77"/>
  <c r="M732" i="77"/>
  <c r="N732" i="77"/>
  <c r="O732" i="77"/>
  <c r="P732" i="77"/>
  <c r="Q732" i="77"/>
  <c r="G733" i="77"/>
  <c r="H733" i="77"/>
  <c r="I733" i="77"/>
  <c r="J733" i="77"/>
  <c r="K733" i="77"/>
  <c r="L733" i="77"/>
  <c r="M733" i="77"/>
  <c r="N733" i="77"/>
  <c r="O733" i="77"/>
  <c r="P733" i="77"/>
  <c r="Q733" i="77"/>
  <c r="G734" i="77"/>
  <c r="H734" i="77"/>
  <c r="I734" i="77"/>
  <c r="J734" i="77"/>
  <c r="K734" i="77"/>
  <c r="L734" i="77"/>
  <c r="M734" i="77"/>
  <c r="N734" i="77"/>
  <c r="O734" i="77"/>
  <c r="P734" i="77"/>
  <c r="Q734" i="77"/>
  <c r="G735" i="77"/>
  <c r="H735" i="77"/>
  <c r="I735" i="77"/>
  <c r="J735" i="77"/>
  <c r="K735" i="77"/>
  <c r="L735" i="77"/>
  <c r="M735" i="77"/>
  <c r="N735" i="77"/>
  <c r="O735" i="77"/>
  <c r="P735" i="77"/>
  <c r="Q735" i="77"/>
  <c r="G736" i="77"/>
  <c r="H736" i="77"/>
  <c r="I736" i="77"/>
  <c r="J736" i="77"/>
  <c r="K736" i="77"/>
  <c r="L736" i="77"/>
  <c r="M736" i="77"/>
  <c r="N736" i="77"/>
  <c r="O736" i="77"/>
  <c r="P736" i="77"/>
  <c r="Q736" i="77"/>
  <c r="G737" i="77"/>
  <c r="H737" i="77"/>
  <c r="I737" i="77"/>
  <c r="J737" i="77"/>
  <c r="K737" i="77"/>
  <c r="L737" i="77"/>
  <c r="M737" i="77"/>
  <c r="N737" i="77"/>
  <c r="O737" i="77"/>
  <c r="P737" i="77"/>
  <c r="Q737" i="77"/>
  <c r="G738" i="77"/>
  <c r="H738" i="77"/>
  <c r="I738" i="77"/>
  <c r="J738" i="77"/>
  <c r="K738" i="77"/>
  <c r="L738" i="77"/>
  <c r="M738" i="77"/>
  <c r="N738" i="77"/>
  <c r="O738" i="77"/>
  <c r="P738" i="77"/>
  <c r="Q738" i="77"/>
  <c r="G740" i="77"/>
  <c r="H740" i="77"/>
  <c r="I740" i="77"/>
  <c r="J740" i="77"/>
  <c r="K740" i="77"/>
  <c r="L740" i="77"/>
  <c r="M740" i="77"/>
  <c r="N740" i="77"/>
  <c r="O740" i="77"/>
  <c r="P740" i="77"/>
  <c r="Q740" i="77"/>
  <c r="F738" i="77"/>
  <c r="F737" i="77"/>
  <c r="F736" i="77"/>
  <c r="F735" i="77"/>
  <c r="F734" i="77"/>
  <c r="F733" i="77"/>
  <c r="F732" i="77"/>
  <c r="F740" i="77"/>
  <c r="G730" i="77"/>
  <c r="H730" i="77"/>
  <c r="I730" i="77"/>
  <c r="J730" i="77"/>
  <c r="K730" i="77"/>
  <c r="L730" i="77"/>
  <c r="M730" i="77"/>
  <c r="N730" i="77"/>
  <c r="O730" i="77"/>
  <c r="P730" i="77"/>
  <c r="Q730" i="77"/>
  <c r="F730" i="77"/>
  <c r="G439" i="77"/>
  <c r="H439" i="77"/>
  <c r="I439" i="77"/>
  <c r="J439" i="77"/>
  <c r="K439" i="77"/>
  <c r="L439" i="77"/>
  <c r="M439" i="77"/>
  <c r="N439" i="77"/>
  <c r="O439" i="77"/>
  <c r="P439" i="77"/>
  <c r="Q439" i="77"/>
  <c r="F439" i="77"/>
  <c r="G435" i="77"/>
  <c r="H435" i="77"/>
  <c r="I435" i="77"/>
  <c r="J435" i="77"/>
  <c r="K435" i="77"/>
  <c r="L435" i="77"/>
  <c r="M435" i="77"/>
  <c r="N435" i="77"/>
  <c r="O435" i="77"/>
  <c r="P435" i="77"/>
  <c r="Q435" i="77"/>
  <c r="G436" i="77"/>
  <c r="H436" i="77"/>
  <c r="I436" i="77"/>
  <c r="J436" i="77"/>
  <c r="K436" i="77"/>
  <c r="L436" i="77"/>
  <c r="M436" i="77"/>
  <c r="N436" i="77"/>
  <c r="O436" i="77"/>
  <c r="P436" i="77"/>
  <c r="Q436" i="77"/>
  <c r="F436" i="77"/>
  <c r="F435" i="77"/>
  <c r="G433" i="77"/>
  <c r="H433" i="77"/>
  <c r="I433" i="77"/>
  <c r="J433" i="77"/>
  <c r="K433" i="77"/>
  <c r="L433" i="77"/>
  <c r="M433" i="77"/>
  <c r="N433" i="77"/>
  <c r="O433" i="77"/>
  <c r="P433" i="77"/>
  <c r="Q433" i="77"/>
  <c r="F433" i="77"/>
  <c r="G429" i="77"/>
  <c r="H429" i="77"/>
  <c r="I429" i="77"/>
  <c r="J429" i="77"/>
  <c r="K429" i="77"/>
  <c r="L429" i="77"/>
  <c r="M429" i="77"/>
  <c r="N429" i="77"/>
  <c r="O429" i="77"/>
  <c r="P429" i="77"/>
  <c r="Q429" i="77"/>
  <c r="F429" i="77"/>
  <c r="G427" i="77"/>
  <c r="H427" i="77"/>
  <c r="I427" i="77"/>
  <c r="J427" i="77"/>
  <c r="K427" i="77"/>
  <c r="L427" i="77"/>
  <c r="M427" i="77"/>
  <c r="N427" i="77"/>
  <c r="O427" i="77"/>
  <c r="P427" i="77"/>
  <c r="Q427" i="77"/>
  <c r="F427" i="77"/>
  <c r="G424" i="77"/>
  <c r="H424" i="77"/>
  <c r="I424" i="77"/>
  <c r="J424" i="77"/>
  <c r="K424" i="77"/>
  <c r="L424" i="77"/>
  <c r="M424" i="77"/>
  <c r="N424" i="77"/>
  <c r="O424" i="77"/>
  <c r="P424" i="77"/>
  <c r="Q424" i="77"/>
  <c r="G425" i="77"/>
  <c r="H425" i="77"/>
  <c r="I425" i="77"/>
  <c r="J425" i="77"/>
  <c r="K425" i="77"/>
  <c r="L425" i="77"/>
  <c r="M425" i="77"/>
  <c r="N425" i="77"/>
  <c r="O425" i="77"/>
  <c r="P425" i="77"/>
  <c r="Q425" i="77"/>
  <c r="G426" i="77"/>
  <c r="H426" i="77"/>
  <c r="I426" i="77"/>
  <c r="J426" i="77"/>
  <c r="K426" i="77"/>
  <c r="L426" i="77"/>
  <c r="M426" i="77"/>
  <c r="N426" i="77"/>
  <c r="O426" i="77"/>
  <c r="P426" i="77"/>
  <c r="Q426" i="77"/>
  <c r="F426" i="77"/>
  <c r="F425" i="77"/>
  <c r="F424" i="77"/>
  <c r="G422" i="77"/>
  <c r="H422" i="77"/>
  <c r="I422" i="77"/>
  <c r="J422" i="77"/>
  <c r="K422" i="77"/>
  <c r="L422" i="77"/>
  <c r="M422" i="77"/>
  <c r="N422" i="77"/>
  <c r="O422" i="77"/>
  <c r="P422" i="77"/>
  <c r="Q422" i="77"/>
  <c r="F422" i="77"/>
  <c r="Q269" i="77"/>
  <c r="P269" i="77"/>
  <c r="O269" i="77"/>
  <c r="N269" i="77"/>
  <c r="M269" i="77"/>
  <c r="L269" i="77"/>
  <c r="K269" i="77"/>
  <c r="J269" i="77"/>
  <c r="I269" i="77"/>
  <c r="H269" i="77"/>
  <c r="G269" i="77"/>
  <c r="F269" i="77"/>
  <c r="G265" i="77"/>
  <c r="H265" i="77"/>
  <c r="I265" i="77"/>
  <c r="J265" i="77"/>
  <c r="K265" i="77"/>
  <c r="L265" i="77"/>
  <c r="M265" i="77"/>
  <c r="N265" i="77"/>
  <c r="O265" i="77"/>
  <c r="P265" i="77"/>
  <c r="Q265" i="77"/>
  <c r="G266" i="77"/>
  <c r="H266" i="77"/>
  <c r="I266" i="77"/>
  <c r="J266" i="77"/>
  <c r="K266" i="77"/>
  <c r="L266" i="77"/>
  <c r="M266" i="77"/>
  <c r="N266" i="77"/>
  <c r="O266" i="77"/>
  <c r="P266" i="77"/>
  <c r="Q266" i="77"/>
  <c r="F266" i="77"/>
  <c r="F265" i="77"/>
  <c r="G263" i="77"/>
  <c r="H263" i="77"/>
  <c r="I263" i="77"/>
  <c r="J263" i="77"/>
  <c r="K263" i="77"/>
  <c r="L263" i="77"/>
  <c r="M263" i="77"/>
  <c r="N263" i="77"/>
  <c r="O263" i="77"/>
  <c r="P263" i="77"/>
  <c r="Q263" i="77"/>
  <c r="F263" i="77"/>
  <c r="G260" i="77"/>
  <c r="H260" i="77"/>
  <c r="I260" i="77"/>
  <c r="J260" i="77"/>
  <c r="K260" i="77"/>
  <c r="L260" i="77"/>
  <c r="M260" i="77"/>
  <c r="N260" i="77"/>
  <c r="O260" i="77"/>
  <c r="P260" i="77"/>
  <c r="Q260" i="77"/>
  <c r="F260" i="77"/>
  <c r="G259" i="77"/>
  <c r="H259" i="77"/>
  <c r="I259" i="77"/>
  <c r="J259" i="77"/>
  <c r="K259" i="77"/>
  <c r="L259" i="77"/>
  <c r="M259" i="77"/>
  <c r="N259" i="77"/>
  <c r="O259" i="77"/>
  <c r="P259" i="77"/>
  <c r="Q259" i="77"/>
  <c r="F259" i="77"/>
  <c r="G257" i="77"/>
  <c r="H257" i="77"/>
  <c r="I257" i="77"/>
  <c r="J257" i="77"/>
  <c r="K257" i="77"/>
  <c r="L257" i="77"/>
  <c r="M257" i="77"/>
  <c r="N257" i="77"/>
  <c r="O257" i="77"/>
  <c r="P257" i="77"/>
  <c r="Q257" i="77"/>
  <c r="F257" i="77"/>
  <c r="G256" i="77"/>
  <c r="H256" i="77"/>
  <c r="I256" i="77"/>
  <c r="J256" i="77"/>
  <c r="K256" i="77"/>
  <c r="L256" i="77"/>
  <c r="M256" i="77"/>
  <c r="N256" i="77"/>
  <c r="O256" i="77"/>
  <c r="P256" i="77"/>
  <c r="Q256" i="77"/>
  <c r="F256" i="77"/>
  <c r="G254" i="77"/>
  <c r="H254" i="77"/>
  <c r="I254" i="77"/>
  <c r="J254" i="77"/>
  <c r="K254" i="77"/>
  <c r="L254" i="77"/>
  <c r="M254" i="77"/>
  <c r="N254" i="77"/>
  <c r="O254" i="77"/>
  <c r="P254" i="77"/>
  <c r="Q254" i="77"/>
  <c r="G255" i="77"/>
  <c r="H255" i="77"/>
  <c r="I255" i="77"/>
  <c r="J255" i="77"/>
  <c r="K255" i="77"/>
  <c r="L255" i="77"/>
  <c r="M255" i="77"/>
  <c r="N255" i="77"/>
  <c r="O255" i="77"/>
  <c r="P255" i="77"/>
  <c r="Q255" i="77"/>
  <c r="F255" i="77"/>
  <c r="F254" i="77"/>
  <c r="G252" i="77"/>
  <c r="H252" i="77"/>
  <c r="I252" i="77"/>
  <c r="J252" i="77"/>
  <c r="K252" i="77"/>
  <c r="L252" i="77"/>
  <c r="M252" i="77"/>
  <c r="N252" i="77"/>
  <c r="O252" i="77"/>
  <c r="P252" i="77"/>
  <c r="Q252" i="77"/>
  <c r="F252" i="77"/>
  <c r="G119" i="77"/>
  <c r="H119" i="77"/>
  <c r="I119" i="77"/>
  <c r="J119" i="77"/>
  <c r="K119" i="77"/>
  <c r="L119" i="77"/>
  <c r="M119" i="77"/>
  <c r="N119" i="77"/>
  <c r="O119" i="77"/>
  <c r="P119" i="77"/>
  <c r="Q119" i="77"/>
  <c r="F119" i="77"/>
  <c r="G118" i="77"/>
  <c r="H118" i="77"/>
  <c r="I118" i="77"/>
  <c r="J118" i="77"/>
  <c r="K118" i="77"/>
  <c r="L118" i="77"/>
  <c r="M118" i="77"/>
  <c r="N118" i="77"/>
  <c r="O118" i="77"/>
  <c r="P118" i="77"/>
  <c r="Q118" i="77"/>
  <c r="F118" i="77"/>
  <c r="G117" i="77"/>
  <c r="H117" i="77"/>
  <c r="I117" i="77"/>
  <c r="J117" i="77"/>
  <c r="K117" i="77"/>
  <c r="L117" i="77"/>
  <c r="M117" i="77"/>
  <c r="N117" i="77"/>
  <c r="O117" i="77"/>
  <c r="P117" i="77"/>
  <c r="Q117" i="77"/>
  <c r="F117" i="77"/>
  <c r="G116" i="77"/>
  <c r="H116" i="77"/>
  <c r="I116" i="77"/>
  <c r="J116" i="77"/>
  <c r="K116" i="77"/>
  <c r="L116" i="77"/>
  <c r="M116" i="77"/>
  <c r="N116" i="77"/>
  <c r="O116" i="77"/>
  <c r="P116" i="77"/>
  <c r="Q116" i="77"/>
  <c r="F116" i="77"/>
  <c r="G181" i="77"/>
  <c r="H181" i="77"/>
  <c r="I181" i="77"/>
  <c r="J181" i="77"/>
  <c r="K181" i="77"/>
  <c r="L181" i="77"/>
  <c r="M181" i="77"/>
  <c r="N181" i="77"/>
  <c r="O181" i="77"/>
  <c r="P181" i="77"/>
  <c r="Q181" i="77"/>
  <c r="F181" i="77"/>
  <c r="G177" i="77"/>
  <c r="H177" i="77"/>
  <c r="I177" i="77"/>
  <c r="J177" i="77"/>
  <c r="K177" i="77"/>
  <c r="L177" i="77"/>
  <c r="M177" i="77"/>
  <c r="N177" i="77"/>
  <c r="O177" i="77"/>
  <c r="P177" i="77"/>
  <c r="Q177" i="77"/>
  <c r="G178" i="77"/>
  <c r="H178" i="77"/>
  <c r="I178" i="77"/>
  <c r="J178" i="77"/>
  <c r="K178" i="77"/>
  <c r="L178" i="77"/>
  <c r="M178" i="77"/>
  <c r="N178" i="77"/>
  <c r="O178" i="77"/>
  <c r="P178" i="77"/>
  <c r="Q178" i="77"/>
  <c r="F178" i="77"/>
  <c r="F177" i="77"/>
  <c r="G175" i="77"/>
  <c r="H175" i="77"/>
  <c r="I175" i="77"/>
  <c r="J175" i="77"/>
  <c r="K175" i="77"/>
  <c r="L175" i="77"/>
  <c r="M175" i="77"/>
  <c r="N175" i="77"/>
  <c r="O175" i="77"/>
  <c r="P175" i="77"/>
  <c r="Q175" i="77"/>
  <c r="F175" i="77"/>
  <c r="F182" i="77" s="1"/>
  <c r="G170" i="77"/>
  <c r="H170" i="77"/>
  <c r="I170" i="77"/>
  <c r="J170" i="77"/>
  <c r="K170" i="77"/>
  <c r="L170" i="77"/>
  <c r="M170" i="77"/>
  <c r="N170" i="77"/>
  <c r="O170" i="77"/>
  <c r="P170" i="77"/>
  <c r="Q170" i="77"/>
  <c r="F170" i="77"/>
  <c r="G168" i="77"/>
  <c r="H168" i="77"/>
  <c r="I168" i="77"/>
  <c r="J168" i="77"/>
  <c r="K168" i="77"/>
  <c r="L168" i="77"/>
  <c r="M168" i="77"/>
  <c r="N168" i="77"/>
  <c r="O168" i="77"/>
  <c r="P168" i="77"/>
  <c r="Q168" i="77"/>
  <c r="F168" i="77"/>
  <c r="G162" i="77"/>
  <c r="H162" i="77"/>
  <c r="I162" i="77"/>
  <c r="J162" i="77"/>
  <c r="K162" i="77"/>
  <c r="L162" i="77"/>
  <c r="M162" i="77"/>
  <c r="N162" i="77"/>
  <c r="O162" i="77"/>
  <c r="P162" i="77"/>
  <c r="Q162" i="77"/>
  <c r="G163" i="77"/>
  <c r="H163" i="77"/>
  <c r="I163" i="77"/>
  <c r="J163" i="77"/>
  <c r="K163" i="77"/>
  <c r="L163" i="77"/>
  <c r="M163" i="77"/>
  <c r="N163" i="77"/>
  <c r="O163" i="77"/>
  <c r="P163" i="77"/>
  <c r="Q163" i="77"/>
  <c r="F163" i="77"/>
  <c r="F162" i="77"/>
  <c r="G160" i="77"/>
  <c r="H160" i="77"/>
  <c r="I160" i="77"/>
  <c r="J160" i="77"/>
  <c r="K160" i="77"/>
  <c r="L160" i="77"/>
  <c r="M160" i="77"/>
  <c r="N160" i="77"/>
  <c r="O160" i="77"/>
  <c r="P160" i="77"/>
  <c r="Q160" i="77"/>
  <c r="F160" i="77"/>
  <c r="F267" i="77" l="1"/>
  <c r="R798" i="77"/>
  <c r="G71" i="77"/>
  <c r="H71" i="77"/>
  <c r="I71" i="77"/>
  <c r="J71" i="77"/>
  <c r="K71" i="77"/>
  <c r="L71" i="77"/>
  <c r="M71" i="77"/>
  <c r="N71" i="77"/>
  <c r="O71" i="77"/>
  <c r="P71" i="77"/>
  <c r="Q71" i="77"/>
  <c r="F71" i="77"/>
  <c r="F83" i="77" s="1"/>
  <c r="G70" i="77"/>
  <c r="H70" i="77"/>
  <c r="I70" i="77"/>
  <c r="J70" i="77"/>
  <c r="K70" i="77"/>
  <c r="L70" i="77"/>
  <c r="M70" i="77"/>
  <c r="N70" i="77"/>
  <c r="O70" i="77"/>
  <c r="P70" i="77"/>
  <c r="Q70" i="77"/>
  <c r="F70" i="77"/>
  <c r="G51" i="77"/>
  <c r="H51" i="77"/>
  <c r="I51" i="77"/>
  <c r="J51" i="77"/>
  <c r="K51" i="77"/>
  <c r="L51" i="77"/>
  <c r="M51" i="77"/>
  <c r="N51" i="77"/>
  <c r="O51" i="77"/>
  <c r="P51" i="77"/>
  <c r="Q51" i="77"/>
  <c r="F51" i="77"/>
  <c r="G50" i="77"/>
  <c r="H50" i="77"/>
  <c r="I50" i="77"/>
  <c r="J50" i="77"/>
  <c r="K50" i="77"/>
  <c r="L50" i="77"/>
  <c r="M50" i="77"/>
  <c r="N50" i="77"/>
  <c r="O50" i="77"/>
  <c r="P50" i="77"/>
  <c r="Q50" i="77"/>
  <c r="F50" i="77"/>
  <c r="G30" i="77"/>
  <c r="H30" i="77"/>
  <c r="I30" i="77"/>
  <c r="J30" i="77"/>
  <c r="K30" i="77"/>
  <c r="L30" i="77"/>
  <c r="M30" i="77"/>
  <c r="N30" i="77"/>
  <c r="O30" i="77"/>
  <c r="P30" i="77"/>
  <c r="Q30" i="77"/>
  <c r="F30" i="77"/>
  <c r="G29" i="77"/>
  <c r="H29" i="77"/>
  <c r="I29" i="77"/>
  <c r="J29" i="77"/>
  <c r="K29" i="77"/>
  <c r="L29" i="77"/>
  <c r="M29" i="77"/>
  <c r="N29" i="77"/>
  <c r="O29" i="77"/>
  <c r="P29" i="77"/>
  <c r="Q29" i="77"/>
  <c r="F29" i="77"/>
  <c r="G9" i="77"/>
  <c r="H9" i="77"/>
  <c r="I9" i="77"/>
  <c r="J9" i="77"/>
  <c r="K9" i="77"/>
  <c r="L9" i="77"/>
  <c r="M9" i="77"/>
  <c r="N9" i="77"/>
  <c r="O9" i="77"/>
  <c r="P9" i="77"/>
  <c r="Q9" i="77"/>
  <c r="F9" i="77"/>
  <c r="G66" i="52" l="1"/>
  <c r="H66" i="52"/>
  <c r="I66" i="52"/>
  <c r="J66" i="52"/>
  <c r="K66" i="52"/>
  <c r="L66" i="52"/>
  <c r="M66" i="52"/>
  <c r="N66" i="52"/>
  <c r="O66" i="52"/>
  <c r="P66" i="52"/>
  <c r="Q66" i="52"/>
  <c r="G67" i="52"/>
  <c r="H67" i="52"/>
  <c r="I67" i="52"/>
  <c r="J67" i="52"/>
  <c r="K67" i="52"/>
  <c r="L67" i="52"/>
  <c r="M67" i="52"/>
  <c r="N67" i="52"/>
  <c r="O67" i="52"/>
  <c r="P67" i="52"/>
  <c r="Q67" i="52"/>
  <c r="G68" i="52"/>
  <c r="H68" i="52"/>
  <c r="I68" i="52"/>
  <c r="J68" i="52"/>
  <c r="K68" i="52"/>
  <c r="L68" i="52"/>
  <c r="M68" i="52"/>
  <c r="N68" i="52"/>
  <c r="O68" i="52"/>
  <c r="P68" i="52"/>
  <c r="Q68" i="52"/>
  <c r="G69" i="52"/>
  <c r="H69" i="52"/>
  <c r="I69" i="52"/>
  <c r="J69" i="52"/>
  <c r="K69" i="52"/>
  <c r="L69" i="52"/>
  <c r="M69" i="52"/>
  <c r="N69" i="52"/>
  <c r="O69" i="52"/>
  <c r="P69" i="52"/>
  <c r="Q69" i="52"/>
  <c r="F69" i="52"/>
  <c r="F68" i="52"/>
  <c r="F67" i="52"/>
  <c r="F66" i="52"/>
  <c r="G36" i="52"/>
  <c r="H36" i="52"/>
  <c r="I36" i="52"/>
  <c r="J36" i="52"/>
  <c r="K36" i="52"/>
  <c r="L36" i="52"/>
  <c r="M36" i="52"/>
  <c r="N36" i="52"/>
  <c r="O36" i="52"/>
  <c r="P36" i="52"/>
  <c r="Q36" i="52"/>
  <c r="G37" i="52"/>
  <c r="H37" i="52"/>
  <c r="I37" i="52"/>
  <c r="J37" i="52"/>
  <c r="K37" i="52"/>
  <c r="L37" i="52"/>
  <c r="M37" i="52"/>
  <c r="N37" i="52"/>
  <c r="O37" i="52"/>
  <c r="P37" i="52"/>
  <c r="Q37" i="52"/>
  <c r="G38" i="52"/>
  <c r="H38" i="52"/>
  <c r="I38" i="52"/>
  <c r="J38" i="52"/>
  <c r="K38" i="52"/>
  <c r="L38" i="52"/>
  <c r="M38" i="52"/>
  <c r="N38" i="52"/>
  <c r="O38" i="52"/>
  <c r="P38" i="52"/>
  <c r="Q38" i="52"/>
  <c r="G39" i="52"/>
  <c r="H39" i="52"/>
  <c r="I39" i="52"/>
  <c r="J39" i="52"/>
  <c r="K39" i="52"/>
  <c r="L39" i="52"/>
  <c r="M39" i="52"/>
  <c r="N39" i="52"/>
  <c r="O39" i="52"/>
  <c r="P39" i="52"/>
  <c r="Q39" i="52"/>
  <c r="G40" i="52"/>
  <c r="H40" i="52"/>
  <c r="I40" i="52"/>
  <c r="J40" i="52"/>
  <c r="K40" i="52"/>
  <c r="L40" i="52"/>
  <c r="M40" i="52"/>
  <c r="N40" i="52"/>
  <c r="O40" i="52"/>
  <c r="P40" i="52"/>
  <c r="Q40" i="52"/>
  <c r="G41" i="52"/>
  <c r="H41" i="52"/>
  <c r="I41" i="52"/>
  <c r="J41" i="52"/>
  <c r="K41" i="52"/>
  <c r="L41" i="52"/>
  <c r="M41" i="52"/>
  <c r="N41" i="52"/>
  <c r="O41" i="52"/>
  <c r="P41" i="52"/>
  <c r="Q41" i="52"/>
  <c r="G42" i="52"/>
  <c r="H42" i="52"/>
  <c r="I42" i="52"/>
  <c r="J42" i="52"/>
  <c r="K42" i="52"/>
  <c r="L42" i="52"/>
  <c r="M42" i="52"/>
  <c r="N42" i="52"/>
  <c r="O42" i="52"/>
  <c r="P42" i="52"/>
  <c r="Q42" i="52"/>
  <c r="F42" i="52"/>
  <c r="F41" i="52"/>
  <c r="F40" i="52"/>
  <c r="F39" i="52"/>
  <c r="F38" i="52"/>
  <c r="F37" i="52"/>
  <c r="F36" i="52"/>
  <c r="G9" i="52"/>
  <c r="H9" i="52"/>
  <c r="I9" i="52"/>
  <c r="J9" i="52"/>
  <c r="K9" i="52"/>
  <c r="L9" i="52"/>
  <c r="M9" i="52"/>
  <c r="N9" i="52"/>
  <c r="O9" i="52"/>
  <c r="P9" i="52"/>
  <c r="Q9" i="52"/>
  <c r="G10" i="52"/>
  <c r="H10" i="52"/>
  <c r="I10" i="52"/>
  <c r="J10" i="52"/>
  <c r="K10" i="52"/>
  <c r="L10" i="52"/>
  <c r="M10" i="52"/>
  <c r="N10" i="52"/>
  <c r="O10" i="52"/>
  <c r="P10" i="52"/>
  <c r="Q10" i="52"/>
  <c r="G11" i="52"/>
  <c r="H11" i="52"/>
  <c r="I11" i="52"/>
  <c r="J11" i="52"/>
  <c r="K11" i="52"/>
  <c r="L11" i="52"/>
  <c r="M11" i="52"/>
  <c r="N11" i="52"/>
  <c r="O11" i="52"/>
  <c r="P11" i="52"/>
  <c r="Q11" i="52"/>
  <c r="G12" i="52"/>
  <c r="H12" i="52"/>
  <c r="I12" i="52"/>
  <c r="J12" i="52"/>
  <c r="K12" i="52"/>
  <c r="L12" i="52"/>
  <c r="M12" i="52"/>
  <c r="N12" i="52"/>
  <c r="O12" i="52"/>
  <c r="P12" i="52"/>
  <c r="Q12" i="52"/>
  <c r="G13" i="52"/>
  <c r="H13" i="52"/>
  <c r="I13" i="52"/>
  <c r="J13" i="52"/>
  <c r="K13" i="52"/>
  <c r="L13" i="52"/>
  <c r="M13" i="52"/>
  <c r="N13" i="52"/>
  <c r="O13" i="52"/>
  <c r="P13" i="52"/>
  <c r="Q13" i="52"/>
  <c r="G14" i="52"/>
  <c r="H14" i="52"/>
  <c r="I14" i="52"/>
  <c r="J14" i="52"/>
  <c r="K14" i="52"/>
  <c r="L14" i="52"/>
  <c r="M14" i="52"/>
  <c r="N14" i="52"/>
  <c r="O14" i="52"/>
  <c r="P14" i="52"/>
  <c r="Q14" i="52"/>
  <c r="F14" i="52"/>
  <c r="F13" i="52"/>
  <c r="F12" i="52"/>
  <c r="F11" i="52"/>
  <c r="F10" i="52"/>
  <c r="F9" i="52"/>
  <c r="J30" i="94"/>
  <c r="K30" i="94" s="1"/>
  <c r="I30" i="94"/>
  <c r="H30" i="94"/>
  <c r="J29" i="94"/>
  <c r="K29" i="94" s="1"/>
  <c r="I29" i="94"/>
  <c r="H29" i="94"/>
  <c r="I28" i="94"/>
  <c r="J28" i="94" s="1"/>
  <c r="K28" i="94" s="1"/>
  <c r="H28" i="94"/>
  <c r="I27" i="94"/>
  <c r="J27" i="94" s="1"/>
  <c r="K27" i="94" s="1"/>
  <c r="H27" i="94"/>
  <c r="I26" i="94"/>
  <c r="J26" i="94" s="1"/>
  <c r="J25" i="94"/>
  <c r="K25" i="94" s="1"/>
  <c r="I25" i="94"/>
  <c r="H25" i="94"/>
  <c r="I24" i="94"/>
  <c r="J24" i="94" s="1"/>
  <c r="K24" i="94" s="1"/>
  <c r="H24" i="94"/>
  <c r="I23" i="94"/>
  <c r="J23" i="94" s="1"/>
  <c r="K23" i="94" s="1"/>
  <c r="H23" i="94"/>
  <c r="H22" i="94"/>
  <c r="I22" i="94"/>
  <c r="J22" i="94" s="1"/>
  <c r="J21" i="94"/>
  <c r="K21" i="94" s="1"/>
  <c r="I21" i="94"/>
  <c r="H21" i="94"/>
  <c r="I20" i="94"/>
  <c r="J20" i="94" s="1"/>
  <c r="K20" i="94" s="1"/>
  <c r="H20" i="94"/>
  <c r="B20" i="94"/>
  <c r="B21" i="94" s="1"/>
  <c r="B22" i="94" s="1"/>
  <c r="B23" i="94" s="1"/>
  <c r="B24" i="94" s="1"/>
  <c r="B25" i="94" s="1"/>
  <c r="B26" i="94" s="1"/>
  <c r="B27" i="94" s="1"/>
  <c r="B28" i="94" s="1"/>
  <c r="B29" i="94" s="1"/>
  <c r="B30" i="94" s="1"/>
  <c r="B31" i="94" s="1"/>
  <c r="I19" i="94"/>
  <c r="J19" i="94" s="1"/>
  <c r="K19" i="94" s="1"/>
  <c r="H19" i="94"/>
  <c r="I18" i="94"/>
  <c r="J18" i="94" s="1"/>
  <c r="J17" i="94"/>
  <c r="K17" i="94" s="1"/>
  <c r="I17" i="94"/>
  <c r="H17" i="94"/>
  <c r="J16" i="94"/>
  <c r="K16" i="94" s="1"/>
  <c r="I16" i="94"/>
  <c r="H16" i="94"/>
  <c r="B16" i="94"/>
  <c r="B17" i="94" s="1"/>
  <c r="B18" i="94" s="1"/>
  <c r="B19" i="94" s="1"/>
  <c r="I15" i="94"/>
  <c r="J15" i="94" s="1"/>
  <c r="K15" i="94" s="1"/>
  <c r="H15" i="94"/>
  <c r="B15" i="94"/>
  <c r="H14" i="94"/>
  <c r="I14" i="94"/>
  <c r="J14" i="94" s="1"/>
  <c r="K219" i="93"/>
  <c r="L219" i="93" s="1"/>
  <c r="K218" i="93"/>
  <c r="L218" i="93" s="1"/>
  <c r="D183" i="93"/>
  <c r="D181" i="93"/>
  <c r="D173" i="93"/>
  <c r="H163" i="93"/>
  <c r="F163" i="93"/>
  <c r="H162" i="93"/>
  <c r="I162" i="93" s="1"/>
  <c r="F162" i="93"/>
  <c r="F161" i="93"/>
  <c r="F181" i="93" s="1"/>
  <c r="F159" i="93"/>
  <c r="I156" i="93"/>
  <c r="I154" i="93"/>
  <c r="H154" i="93"/>
  <c r="Q154" i="93" s="1"/>
  <c r="F154" i="93"/>
  <c r="F146" i="93"/>
  <c r="F189" i="93" s="1"/>
  <c r="D146" i="93"/>
  <c r="I146" i="93" s="1"/>
  <c r="I189" i="93" s="1"/>
  <c r="K189" i="93" s="1"/>
  <c r="H141" i="93"/>
  <c r="F141" i="93"/>
  <c r="F140" i="93"/>
  <c r="F183" i="93" s="1"/>
  <c r="H140" i="93"/>
  <c r="Q139" i="93"/>
  <c r="H139" i="93"/>
  <c r="I138" i="93"/>
  <c r="K138" i="93" s="1"/>
  <c r="H138" i="93"/>
  <c r="F138" i="93"/>
  <c r="Q137" i="93"/>
  <c r="H137" i="93"/>
  <c r="F137" i="93"/>
  <c r="F136" i="93"/>
  <c r="F179" i="93" s="1"/>
  <c r="H136" i="93"/>
  <c r="H159" i="93" s="1"/>
  <c r="D179" i="93"/>
  <c r="F176" i="93"/>
  <c r="Q132" i="93"/>
  <c r="F131" i="93"/>
  <c r="Q130" i="93"/>
  <c r="H130" i="93"/>
  <c r="I130" i="93" s="1"/>
  <c r="F130" i="93"/>
  <c r="F173" i="93" s="1"/>
  <c r="D115" i="93"/>
  <c r="D108" i="93"/>
  <c r="D100" i="93"/>
  <c r="D102" i="93" s="1"/>
  <c r="F99" i="93"/>
  <c r="F98" i="93"/>
  <c r="I95" i="93"/>
  <c r="K95" i="93" s="1"/>
  <c r="H93" i="93"/>
  <c r="Q93" i="93" s="1"/>
  <c r="F93" i="93"/>
  <c r="H80" i="93"/>
  <c r="F80" i="93"/>
  <c r="F115" i="93" s="1"/>
  <c r="I80" i="93"/>
  <c r="Q79" i="93"/>
  <c r="H79" i="93"/>
  <c r="H98" i="93" s="1"/>
  <c r="Q98" i="93" s="1"/>
  <c r="D114" i="93"/>
  <c r="D116" i="93" s="1"/>
  <c r="I76" i="93"/>
  <c r="Q75" i="93"/>
  <c r="I74" i="93"/>
  <c r="Q73" i="93"/>
  <c r="H73" i="93"/>
  <c r="F73" i="93"/>
  <c r="I73" i="93"/>
  <c r="D57" i="93"/>
  <c r="F54" i="93"/>
  <c r="D52" i="93"/>
  <c r="D51" i="93"/>
  <c r="Q40" i="93"/>
  <c r="H40" i="93"/>
  <c r="F40" i="93"/>
  <c r="I40" i="93"/>
  <c r="I36" i="93"/>
  <c r="K36" i="93" s="1"/>
  <c r="I34" i="93"/>
  <c r="K34" i="93" s="1"/>
  <c r="H34" i="93"/>
  <c r="Q34" i="93" s="1"/>
  <c r="F34" i="93"/>
  <c r="H20" i="93"/>
  <c r="H19" i="93"/>
  <c r="Q19" i="93" s="1"/>
  <c r="F19" i="93"/>
  <c r="Q18" i="93"/>
  <c r="F18" i="93"/>
  <c r="F57" i="93" s="1"/>
  <c r="H18" i="93"/>
  <c r="I18" i="93"/>
  <c r="I57" i="93" s="1"/>
  <c r="I15" i="93"/>
  <c r="Q14" i="93"/>
  <c r="H12" i="93"/>
  <c r="Q12" i="93" s="1"/>
  <c r="F12" i="93"/>
  <c r="F51" i="93" s="1"/>
  <c r="D95" i="92"/>
  <c r="D88" i="92"/>
  <c r="D89" i="92" s="1"/>
  <c r="I76" i="92"/>
  <c r="F76" i="92"/>
  <c r="F95" i="92" s="1"/>
  <c r="F75" i="92"/>
  <c r="H71" i="92"/>
  <c r="F71" i="92"/>
  <c r="Q70" i="92"/>
  <c r="F70" i="92"/>
  <c r="F69" i="92"/>
  <c r="F88" i="92" s="1"/>
  <c r="H69" i="92"/>
  <c r="Q68" i="92" s="1"/>
  <c r="D70" i="92"/>
  <c r="I61" i="92"/>
  <c r="F60" i="92"/>
  <c r="H54" i="92"/>
  <c r="H76" i="92" s="1"/>
  <c r="Q75" i="92" s="1"/>
  <c r="F54" i="92"/>
  <c r="I54" i="92"/>
  <c r="K54" i="92" s="1"/>
  <c r="Q53" i="92"/>
  <c r="H53" i="92"/>
  <c r="D55" i="92"/>
  <c r="D60" i="92" s="1"/>
  <c r="D61" i="92"/>
  <c r="Q48" i="92"/>
  <c r="H48" i="92"/>
  <c r="H70" i="92" s="1"/>
  <c r="Q69" i="92" s="1"/>
  <c r="D48" i="92"/>
  <c r="F48" i="92" s="1"/>
  <c r="H47" i="92"/>
  <c r="Q46" i="92" s="1"/>
  <c r="F47" i="92"/>
  <c r="H29" i="92"/>
  <c r="H24" i="92"/>
  <c r="I24" i="92"/>
  <c r="Q23" i="92"/>
  <c r="F17" i="92"/>
  <c r="D17" i="92"/>
  <c r="I17" i="92" s="1"/>
  <c r="D14" i="92"/>
  <c r="I14" i="92" s="1"/>
  <c r="I13" i="92"/>
  <c r="H13" i="92"/>
  <c r="Q13" i="92" s="1"/>
  <c r="H12" i="92"/>
  <c r="Q12" i="92" s="1"/>
  <c r="H41" i="91"/>
  <c r="F41" i="91"/>
  <c r="D41" i="91"/>
  <c r="I41" i="91" s="1"/>
  <c r="K41" i="91" s="1"/>
  <c r="L41" i="91" s="1"/>
  <c r="H37" i="91"/>
  <c r="Q37" i="91" s="1"/>
  <c r="I37" i="91"/>
  <c r="H28" i="91"/>
  <c r="F28" i="91"/>
  <c r="I28" i="91" s="1"/>
  <c r="K28" i="91" s="1"/>
  <c r="L28" i="91" s="1"/>
  <c r="D28" i="91"/>
  <c r="H25" i="91"/>
  <c r="Q25" i="91" s="1"/>
  <c r="F25" i="91"/>
  <c r="Q24" i="91"/>
  <c r="H24" i="91"/>
  <c r="F24" i="91"/>
  <c r="F26" i="91" s="1"/>
  <c r="F30" i="91" s="1"/>
  <c r="I24" i="91"/>
  <c r="H13" i="91"/>
  <c r="Q13" i="91" s="1"/>
  <c r="Q12" i="91"/>
  <c r="I12" i="91"/>
  <c r="K24" i="92" l="1"/>
  <c r="I14" i="91"/>
  <c r="I26" i="91"/>
  <c r="I30" i="91" s="1"/>
  <c r="K24" i="91"/>
  <c r="K26" i="91" s="1"/>
  <c r="I43" i="91"/>
  <c r="I102" i="92"/>
  <c r="F89" i="92"/>
  <c r="K17" i="92"/>
  <c r="L17" i="92" s="1"/>
  <c r="I113" i="92"/>
  <c r="I54" i="93"/>
  <c r="K54" i="93" s="1"/>
  <c r="K15" i="93"/>
  <c r="Q52" i="92"/>
  <c r="H52" i="92"/>
  <c r="H74" i="92" s="1"/>
  <c r="Q73" i="92" s="1"/>
  <c r="I95" i="92"/>
  <c r="K76" i="92"/>
  <c r="K95" i="92" s="1"/>
  <c r="H35" i="93"/>
  <c r="Q13" i="93"/>
  <c r="F20" i="93"/>
  <c r="I20" i="93"/>
  <c r="D212" i="93"/>
  <c r="D119" i="93"/>
  <c r="D121" i="93" s="1"/>
  <c r="D180" i="93"/>
  <c r="D165" i="93"/>
  <c r="D167" i="93" s="1"/>
  <c r="F160" i="93"/>
  <c r="F180" i="93" s="1"/>
  <c r="I160" i="93"/>
  <c r="K162" i="93"/>
  <c r="D16" i="91"/>
  <c r="F16" i="91" s="1"/>
  <c r="F49" i="91" s="1"/>
  <c r="I25" i="91"/>
  <c r="K25" i="91" s="1"/>
  <c r="F113" i="92"/>
  <c r="F40" i="92"/>
  <c r="D29" i="92"/>
  <c r="F29" i="92" s="1"/>
  <c r="D26" i="92"/>
  <c r="F25" i="92"/>
  <c r="D36" i="92"/>
  <c r="Q47" i="92"/>
  <c r="I48" i="92"/>
  <c r="K48" i="92" s="1"/>
  <c r="F53" i="92"/>
  <c r="D56" i="92"/>
  <c r="I60" i="92"/>
  <c r="D93" i="92"/>
  <c r="D77" i="92"/>
  <c r="I12" i="93"/>
  <c r="I13" i="93"/>
  <c r="H155" i="93"/>
  <c r="Q155" i="93" s="1"/>
  <c r="Q131" i="93"/>
  <c r="I131" i="93"/>
  <c r="K131" i="93" s="1"/>
  <c r="D182" i="93"/>
  <c r="F139" i="93"/>
  <c r="F182" i="93" s="1"/>
  <c r="I139" i="93"/>
  <c r="K139" i="93" s="1"/>
  <c r="D142" i="93"/>
  <c r="F155" i="93"/>
  <c r="I155" i="93"/>
  <c r="D174" i="93"/>
  <c r="Q162" i="93"/>
  <c r="Q163" i="93"/>
  <c r="I163" i="93"/>
  <c r="H26" i="94"/>
  <c r="K26" i="94" s="1"/>
  <c r="F12" i="91"/>
  <c r="F14" i="91" s="1"/>
  <c r="F13" i="91"/>
  <c r="D51" i="91"/>
  <c r="F14" i="92"/>
  <c r="K14" i="92" s="1"/>
  <c r="F24" i="92"/>
  <c r="F49" i="92"/>
  <c r="F90" i="92" s="1"/>
  <c r="I69" i="92"/>
  <c r="H75" i="92"/>
  <c r="K18" i="93"/>
  <c r="H42" i="93"/>
  <c r="Q20" i="93"/>
  <c r="H41" i="93"/>
  <c r="H94" i="93"/>
  <c r="Q94" i="93" s="1"/>
  <c r="Q74" i="93"/>
  <c r="H99" i="93"/>
  <c r="Q99" i="93" s="1"/>
  <c r="Q80" i="93"/>
  <c r="I133" i="93"/>
  <c r="J31" i="94"/>
  <c r="K14" i="94"/>
  <c r="I13" i="91"/>
  <c r="I29" i="92"/>
  <c r="I49" i="92"/>
  <c r="K49" i="92" s="1"/>
  <c r="F101" i="92"/>
  <c r="F94" i="92"/>
  <c r="D90" i="92"/>
  <c r="F37" i="91"/>
  <c r="F43" i="91" s="1"/>
  <c r="F12" i="92"/>
  <c r="I12" i="92"/>
  <c r="H25" i="92"/>
  <c r="Q24" i="92" s="1"/>
  <c r="D35" i="92"/>
  <c r="I53" i="92"/>
  <c r="K53" i="92" s="1"/>
  <c r="F61" i="92"/>
  <c r="F102" i="92" s="1"/>
  <c r="I70" i="92"/>
  <c r="I71" i="92"/>
  <c r="D94" i="92"/>
  <c r="K57" i="93"/>
  <c r="D21" i="93"/>
  <c r="K40" i="93"/>
  <c r="D59" i="93"/>
  <c r="K73" i="93"/>
  <c r="I109" i="93"/>
  <c r="K109" i="93" s="1"/>
  <c r="I111" i="93"/>
  <c r="K76" i="93"/>
  <c r="K80" i="93"/>
  <c r="F94" i="93"/>
  <c r="I94" i="93"/>
  <c r="K94" i="93" s="1"/>
  <c r="F102" i="93"/>
  <c r="I102" i="93"/>
  <c r="F13" i="92"/>
  <c r="K13" i="92" s="1"/>
  <c r="I47" i="92"/>
  <c r="D25" i="93"/>
  <c r="F13" i="93"/>
  <c r="I19" i="93"/>
  <c r="F35" i="93"/>
  <c r="F43" i="93" s="1"/>
  <c r="D43" i="93"/>
  <c r="D45" i="93" s="1"/>
  <c r="F41" i="93"/>
  <c r="F58" i="93" s="1"/>
  <c r="F42" i="93"/>
  <c r="D58" i="93"/>
  <c r="D60" i="93" s="1"/>
  <c r="D211" i="93" s="1"/>
  <c r="D214" i="93" s="1"/>
  <c r="F108" i="93"/>
  <c r="F111" i="93"/>
  <c r="F79" i="93"/>
  <c r="F114" i="93" s="1"/>
  <c r="F100" i="93"/>
  <c r="K130" i="93"/>
  <c r="Q159" i="93"/>
  <c r="I159" i="93"/>
  <c r="I140" i="93"/>
  <c r="K140" i="93" s="1"/>
  <c r="Q140" i="93"/>
  <c r="I173" i="93"/>
  <c r="K154" i="93"/>
  <c r="H18" i="94"/>
  <c r="K18" i="94" s="1"/>
  <c r="K22" i="94"/>
  <c r="D85" i="93"/>
  <c r="F74" i="93"/>
  <c r="F109" i="93" s="1"/>
  <c r="D109" i="93"/>
  <c r="D120" i="93" s="1"/>
  <c r="I79" i="93"/>
  <c r="I93" i="93"/>
  <c r="Q136" i="93"/>
  <c r="H160" i="93"/>
  <c r="Q160" i="93" s="1"/>
  <c r="I137" i="93"/>
  <c r="K137" i="93" s="1"/>
  <c r="F31" i="94"/>
  <c r="D81" i="93"/>
  <c r="I98" i="93"/>
  <c r="K98" i="93" s="1"/>
  <c r="Q138" i="93"/>
  <c r="H161" i="93"/>
  <c r="H164" i="93"/>
  <c r="I141" i="93"/>
  <c r="K141" i="93" s="1"/>
  <c r="K146" i="93"/>
  <c r="D184" i="93"/>
  <c r="D185" i="93" s="1"/>
  <c r="D213" i="93" s="1"/>
  <c r="F164" i="93"/>
  <c r="F184" i="93" s="1"/>
  <c r="I136" i="93"/>
  <c r="K136" i="93" s="1"/>
  <c r="K19" i="93" l="1"/>
  <c r="F121" i="93"/>
  <c r="F103" i="93"/>
  <c r="F50" i="91"/>
  <c r="F51" i="91" s="1"/>
  <c r="F18" i="91"/>
  <c r="D145" i="93"/>
  <c r="D132" i="93"/>
  <c r="K13" i="93"/>
  <c r="K160" i="93"/>
  <c r="I180" i="93"/>
  <c r="K180" i="93" s="1"/>
  <c r="I99" i="93"/>
  <c r="I100" i="93" s="1"/>
  <c r="I103" i="93" s="1"/>
  <c r="K61" i="92"/>
  <c r="K102" i="92" s="1"/>
  <c r="K93" i="93"/>
  <c r="F52" i="93"/>
  <c r="H31" i="94"/>
  <c r="I88" i="92"/>
  <c r="K69" i="92"/>
  <c r="I101" i="92"/>
  <c r="I62" i="92"/>
  <c r="K60" i="92"/>
  <c r="K113" i="92"/>
  <c r="I45" i="93"/>
  <c r="D65" i="93"/>
  <c r="I25" i="93"/>
  <c r="D64" i="93"/>
  <c r="F25" i="93"/>
  <c r="F64" i="93" s="1"/>
  <c r="I90" i="92"/>
  <c r="K71" i="92"/>
  <c r="K90" i="92" s="1"/>
  <c r="I15" i="92"/>
  <c r="I35" i="92"/>
  <c r="K12" i="92"/>
  <c r="K15" i="92" s="1"/>
  <c r="K29" i="92"/>
  <c r="Q42" i="93"/>
  <c r="I42" i="93"/>
  <c r="K42" i="93" s="1"/>
  <c r="K163" i="93"/>
  <c r="I183" i="93"/>
  <c r="K183" i="93" s="1"/>
  <c r="I174" i="93"/>
  <c r="K174" i="93" s="1"/>
  <c r="K155" i="93"/>
  <c r="I165" i="93"/>
  <c r="D78" i="92"/>
  <c r="D81" i="92"/>
  <c r="F56" i="92"/>
  <c r="F57" i="92" s="1"/>
  <c r="I56" i="92"/>
  <c r="K56" i="92" s="1"/>
  <c r="I167" i="93"/>
  <c r="D190" i="93"/>
  <c r="F167" i="93"/>
  <c r="Q164" i="93"/>
  <c r="I164" i="93"/>
  <c r="D84" i="93"/>
  <c r="I75" i="93"/>
  <c r="D75" i="93"/>
  <c r="F85" i="93"/>
  <c r="F120" i="93" s="1"/>
  <c r="I85" i="93"/>
  <c r="K173" i="93"/>
  <c r="K47" i="92"/>
  <c r="I121" i="93"/>
  <c r="K102" i="93"/>
  <c r="K74" i="93"/>
  <c r="I108" i="93"/>
  <c r="D24" i="93"/>
  <c r="D14" i="93"/>
  <c r="I89" i="92"/>
  <c r="K70" i="92"/>
  <c r="K89" i="92" s="1"/>
  <c r="F35" i="92"/>
  <c r="F15" i="92"/>
  <c r="F62" i="92"/>
  <c r="K13" i="91"/>
  <c r="L13" i="91" s="1"/>
  <c r="F45" i="93"/>
  <c r="F174" i="93"/>
  <c r="F165" i="93"/>
  <c r="D96" i="92"/>
  <c r="I25" i="92"/>
  <c r="Q35" i="93"/>
  <c r="I35" i="93"/>
  <c r="K37" i="91"/>
  <c r="K12" i="91"/>
  <c r="I161" i="93"/>
  <c r="Q161" i="93"/>
  <c r="F36" i="92"/>
  <c r="K31" i="94"/>
  <c r="L30" i="94" s="1"/>
  <c r="Q41" i="93"/>
  <c r="I41" i="93"/>
  <c r="K41" i="93" s="1"/>
  <c r="I75" i="92"/>
  <c r="Q74" i="92"/>
  <c r="I59" i="93"/>
  <c r="K20" i="93"/>
  <c r="K30" i="91"/>
  <c r="L30" i="91" s="1"/>
  <c r="L26" i="91"/>
  <c r="I51" i="93"/>
  <c r="K12" i="93"/>
  <c r="I26" i="92"/>
  <c r="F26" i="92"/>
  <c r="F27" i="92" s="1"/>
  <c r="F30" i="92" s="1"/>
  <c r="F59" i="93"/>
  <c r="I114" i="93"/>
  <c r="K114" i="93" s="1"/>
  <c r="K79" i="93"/>
  <c r="K159" i="93"/>
  <c r="I179" i="93"/>
  <c r="K179" i="93" s="1"/>
  <c r="K111" i="93"/>
  <c r="K133" i="93"/>
  <c r="I176" i="93"/>
  <c r="K176" i="93" s="1"/>
  <c r="D123" i="92"/>
  <c r="D40" i="92"/>
  <c r="I182" i="93"/>
  <c r="K182" i="93" s="1"/>
  <c r="I40" i="92"/>
  <c r="I50" i="91"/>
  <c r="K50" i="91" s="1"/>
  <c r="L50" i="91" s="1"/>
  <c r="I16" i="91"/>
  <c r="D124" i="92" l="1"/>
  <c r="D217" i="93"/>
  <c r="D220" i="93" s="1"/>
  <c r="F65" i="93"/>
  <c r="F46" i="93"/>
  <c r="F24" i="93"/>
  <c r="D63" i="93"/>
  <c r="I24" i="93"/>
  <c r="F75" i="93"/>
  <c r="D110" i="93"/>
  <c r="I19" i="92"/>
  <c r="I65" i="93"/>
  <c r="K65" i="93" s="1"/>
  <c r="I46" i="93"/>
  <c r="K45" i="93"/>
  <c r="K88" i="92"/>
  <c r="K16" i="91"/>
  <c r="L16" i="91" s="1"/>
  <c r="I49" i="91"/>
  <c r="K35" i="93"/>
  <c r="K43" i="93" s="1"/>
  <c r="L43" i="93" s="1"/>
  <c r="I43" i="93"/>
  <c r="K108" i="93"/>
  <c r="K121" i="93"/>
  <c r="I110" i="93"/>
  <c r="K75" i="93"/>
  <c r="K81" i="93" s="1"/>
  <c r="I81" i="93"/>
  <c r="I206" i="93" s="1"/>
  <c r="F190" i="93"/>
  <c r="F168" i="93"/>
  <c r="I114" i="92"/>
  <c r="I52" i="93"/>
  <c r="K52" i="93" s="1"/>
  <c r="I58" i="93"/>
  <c r="K58" i="93" s="1"/>
  <c r="I18" i="91"/>
  <c r="K26" i="92"/>
  <c r="I181" i="93"/>
  <c r="K181" i="93" s="1"/>
  <c r="K161" i="93"/>
  <c r="K165" i="93" s="1"/>
  <c r="L165" i="93" s="1"/>
  <c r="F64" i="92"/>
  <c r="I57" i="92"/>
  <c r="I119" i="92" s="1"/>
  <c r="I120" i="93"/>
  <c r="K120" i="93" s="1"/>
  <c r="K85" i="93"/>
  <c r="I84" i="93"/>
  <c r="F84" i="93"/>
  <c r="K19" i="92"/>
  <c r="L15" i="92"/>
  <c r="O14" i="92"/>
  <c r="I64" i="93"/>
  <c r="K64" i="93" s="1"/>
  <c r="K25" i="93"/>
  <c r="F132" i="93"/>
  <c r="I132" i="93"/>
  <c r="K40" i="92"/>
  <c r="L40" i="92" s="1"/>
  <c r="I94" i="92"/>
  <c r="K75" i="92"/>
  <c r="K94" i="92" s="1"/>
  <c r="O39" i="91"/>
  <c r="L37" i="91"/>
  <c r="K43" i="91"/>
  <c r="L43" i="91" s="1"/>
  <c r="F37" i="92"/>
  <c r="F41" i="92" s="1"/>
  <c r="D97" i="92"/>
  <c r="I78" i="92"/>
  <c r="F78" i="92"/>
  <c r="K62" i="92"/>
  <c r="K101" i="92"/>
  <c r="K99" i="93"/>
  <c r="K100" i="93" s="1"/>
  <c r="K103" i="93" s="1"/>
  <c r="I115" i="93"/>
  <c r="K115" i="93" s="1"/>
  <c r="K51" i="93"/>
  <c r="K59" i="93"/>
  <c r="D125" i="92"/>
  <c r="K14" i="91"/>
  <c r="L12" i="91"/>
  <c r="K25" i="92"/>
  <c r="K27" i="92" s="1"/>
  <c r="K30" i="92" s="1"/>
  <c r="I36" i="92"/>
  <c r="K36" i="92" s="1"/>
  <c r="I27" i="92"/>
  <c r="I30" i="92" s="1"/>
  <c r="F118" i="92"/>
  <c r="F19" i="92"/>
  <c r="F14" i="93"/>
  <c r="D53" i="93"/>
  <c r="I14" i="93"/>
  <c r="K57" i="92"/>
  <c r="I184" i="93"/>
  <c r="K184" i="93" s="1"/>
  <c r="K164" i="93"/>
  <c r="I168" i="93"/>
  <c r="K167" i="93"/>
  <c r="I190" i="93"/>
  <c r="K190" i="93" s="1"/>
  <c r="I81" i="92"/>
  <c r="F81" i="92"/>
  <c r="F103" i="92" s="1"/>
  <c r="F104" i="92" s="1"/>
  <c r="K35" i="92"/>
  <c r="K37" i="92" s="1"/>
  <c r="I79" i="92"/>
  <c r="I82" i="92" s="1"/>
  <c r="F145" i="93"/>
  <c r="I145" i="93"/>
  <c r="I98" i="92" l="1"/>
  <c r="K41" i="92"/>
  <c r="L41" i="92" s="1"/>
  <c r="L37" i="92"/>
  <c r="K168" i="93"/>
  <c r="L168" i="93" s="1"/>
  <c r="F175" i="93"/>
  <c r="F185" i="93" s="1"/>
  <c r="F142" i="93"/>
  <c r="F63" i="93"/>
  <c r="F66" i="93" s="1"/>
  <c r="F26" i="93"/>
  <c r="F199" i="93" s="1"/>
  <c r="K78" i="92"/>
  <c r="I97" i="92"/>
  <c r="I119" i="93"/>
  <c r="K84" i="93"/>
  <c r="K86" i="93" s="1"/>
  <c r="I86" i="93"/>
  <c r="I124" i="92"/>
  <c r="K114" i="92"/>
  <c r="K115" i="92" s="1"/>
  <c r="I115" i="92"/>
  <c r="O74" i="93"/>
  <c r="I51" i="91"/>
  <c r="K49" i="91"/>
  <c r="K51" i="91" s="1"/>
  <c r="L51" i="91" s="1"/>
  <c r="F110" i="93"/>
  <c r="F116" i="93" s="1"/>
  <c r="F81" i="93"/>
  <c r="F206" i="93" s="1"/>
  <c r="K206" i="93" s="1"/>
  <c r="I103" i="92"/>
  <c r="I104" i="92" s="1"/>
  <c r="K81" i="92"/>
  <c r="K103" i="92" s="1"/>
  <c r="I53" i="93"/>
  <c r="K14" i="93"/>
  <c r="K21" i="93" s="1"/>
  <c r="I21" i="93"/>
  <c r="F123" i="92"/>
  <c r="K104" i="92"/>
  <c r="L104" i="92" s="1"/>
  <c r="L19" i="92"/>
  <c r="F114" i="92"/>
  <c r="K110" i="93"/>
  <c r="I116" i="93"/>
  <c r="I63" i="93"/>
  <c r="I26" i="93"/>
  <c r="I199" i="93" s="1"/>
  <c r="K24" i="93"/>
  <c r="K26" i="93" s="1"/>
  <c r="I147" i="93"/>
  <c r="K145" i="93"/>
  <c r="I188" i="93"/>
  <c r="I37" i="92"/>
  <c r="I41" i="92" s="1"/>
  <c r="L14" i="91"/>
  <c r="O14" i="91"/>
  <c r="K18" i="91"/>
  <c r="L18" i="91" s="1"/>
  <c r="I60" i="93"/>
  <c r="L62" i="92"/>
  <c r="K64" i="92"/>
  <c r="L64" i="92" s="1"/>
  <c r="I175" i="93"/>
  <c r="K132" i="93"/>
  <c r="I142" i="93"/>
  <c r="K46" i="93"/>
  <c r="L46" i="93" s="1"/>
  <c r="I118" i="92"/>
  <c r="F188" i="93"/>
  <c r="F191" i="93" s="1"/>
  <c r="F147" i="93"/>
  <c r="F201" i="93" s="1"/>
  <c r="L57" i="92"/>
  <c r="F53" i="93"/>
  <c r="F60" i="93" s="1"/>
  <c r="F68" i="93" s="1"/>
  <c r="F21" i="93"/>
  <c r="F97" i="92"/>
  <c r="F98" i="92" s="1"/>
  <c r="F106" i="92" s="1"/>
  <c r="F79" i="92"/>
  <c r="F119" i="93"/>
  <c r="F122" i="93" s="1"/>
  <c r="F86" i="93"/>
  <c r="I64" i="92"/>
  <c r="K116" i="93"/>
  <c r="K147" i="93" l="1"/>
  <c r="L147" i="93" s="1"/>
  <c r="I201" i="93"/>
  <c r="L86" i="93"/>
  <c r="K88" i="93"/>
  <c r="F82" i="92"/>
  <c r="F119" i="92"/>
  <c r="I68" i="93"/>
  <c r="I122" i="93"/>
  <c r="I124" i="93" s="1"/>
  <c r="K119" i="93"/>
  <c r="K122" i="93" s="1"/>
  <c r="L122" i="93" s="1"/>
  <c r="I191" i="93"/>
  <c r="K188" i="93"/>
  <c r="K191" i="93" s="1"/>
  <c r="L191" i="93" s="1"/>
  <c r="I211" i="93"/>
  <c r="I202" i="93"/>
  <c r="K199" i="93"/>
  <c r="F124" i="92"/>
  <c r="F115" i="92"/>
  <c r="K53" i="93"/>
  <c r="K60" i="93" s="1"/>
  <c r="F124" i="93"/>
  <c r="F217" i="93" s="1"/>
  <c r="F220" i="93" s="1"/>
  <c r="L81" i="93"/>
  <c r="K124" i="92"/>
  <c r="L124" i="92" s="1"/>
  <c r="F88" i="93"/>
  <c r="F200" i="93"/>
  <c r="F212" i="93" s="1"/>
  <c r="F205" i="93"/>
  <c r="F28" i="93"/>
  <c r="F213" i="93"/>
  <c r="I66" i="93"/>
  <c r="K63" i="93"/>
  <c r="K66" i="93" s="1"/>
  <c r="L66" i="93" s="1"/>
  <c r="I200" i="93"/>
  <c r="I88" i="93"/>
  <c r="K97" i="92"/>
  <c r="K98" i="92" s="1"/>
  <c r="K79" i="92"/>
  <c r="K142" i="93"/>
  <c r="I149" i="93"/>
  <c r="I207" i="93"/>
  <c r="I205" i="93"/>
  <c r="I28" i="93"/>
  <c r="F211" i="93"/>
  <c r="F214" i="93" s="1"/>
  <c r="F202" i="93"/>
  <c r="F207" i="93"/>
  <c r="F149" i="93"/>
  <c r="K124" i="93"/>
  <c r="L124" i="93" s="1"/>
  <c r="L116" i="93"/>
  <c r="K118" i="92"/>
  <c r="I120" i="92"/>
  <c r="I123" i="92"/>
  <c r="L26" i="93"/>
  <c r="K28" i="93"/>
  <c r="O13" i="93"/>
  <c r="L21" i="93"/>
  <c r="F193" i="93"/>
  <c r="K175" i="93"/>
  <c r="K185" i="93" s="1"/>
  <c r="I185" i="93"/>
  <c r="I193" i="93" s="1"/>
  <c r="F125" i="92"/>
  <c r="I106" i="92"/>
  <c r="I217" i="93" s="1"/>
  <c r="I220" i="93" l="1"/>
  <c r="K217" i="93"/>
  <c r="K68" i="93"/>
  <c r="L68" i="93" s="1"/>
  <c r="L60" i="93"/>
  <c r="K201" i="93"/>
  <c r="I213" i="93"/>
  <c r="K213" i="93" s="1"/>
  <c r="K123" i="92"/>
  <c r="I125" i="92"/>
  <c r="K149" i="93"/>
  <c r="L149" i="93" s="1"/>
  <c r="O131" i="93"/>
  <c r="L142" i="93"/>
  <c r="K200" i="93"/>
  <c r="I212" i="93"/>
  <c r="K212" i="93" s="1"/>
  <c r="K211" i="93"/>
  <c r="K214" i="93" s="1"/>
  <c r="I214" i="93"/>
  <c r="L88" i="93"/>
  <c r="L185" i="93"/>
  <c r="K193" i="93"/>
  <c r="L193" i="93" s="1"/>
  <c r="L28" i="93"/>
  <c r="L118" i="92"/>
  <c r="K120" i="92"/>
  <c r="K205" i="93"/>
  <c r="K208" i="93" s="1"/>
  <c r="I208" i="93"/>
  <c r="K82" i="92"/>
  <c r="L82" i="92" s="1"/>
  <c r="L79" i="92"/>
  <c r="O48" i="92"/>
  <c r="F208" i="93"/>
  <c r="K207" i="93"/>
  <c r="K106" i="92"/>
  <c r="L106" i="92" s="1"/>
  <c r="L98" i="92"/>
  <c r="K202" i="93"/>
  <c r="K119" i="92"/>
  <c r="L119" i="92" s="1"/>
  <c r="F120" i="92"/>
  <c r="K125" i="92" l="1"/>
  <c r="L125" i="92" s="1"/>
  <c r="L123" i="92"/>
  <c r="K220" i="93"/>
  <c r="L220" i="93" s="1"/>
  <c r="L217" i="93"/>
  <c r="L120" i="92"/>
  <c r="G6" i="52" l="1"/>
  <c r="H6" i="52" s="1"/>
  <c r="I6" i="52" s="1"/>
  <c r="J6" i="52" s="1"/>
  <c r="K6" i="52" s="1"/>
  <c r="L6" i="52" s="1"/>
  <c r="M6" i="52" s="1"/>
  <c r="N6" i="52" s="1"/>
  <c r="O6" i="52" s="1"/>
  <c r="P6" i="52" s="1"/>
  <c r="Q6" i="52" s="1"/>
  <c r="G6" i="77"/>
  <c r="H6" i="77" s="1"/>
  <c r="I6" i="77" s="1"/>
  <c r="J6" i="77" s="1"/>
  <c r="K6" i="77" s="1"/>
  <c r="L6" i="77" s="1"/>
  <c r="M6" i="77" s="1"/>
  <c r="N6" i="77" s="1"/>
  <c r="O6" i="77" s="1"/>
  <c r="P6" i="77" s="1"/>
  <c r="Q6" i="77" s="1"/>
  <c r="K129" i="89" l="1"/>
  <c r="K132" i="89" s="1"/>
  <c r="J129" i="89"/>
  <c r="J132" i="89" s="1"/>
  <c r="G129" i="89"/>
  <c r="G132" i="89" s="1"/>
  <c r="F129" i="89"/>
  <c r="F132" i="89" s="1"/>
  <c r="C129" i="89"/>
  <c r="C132" i="89" s="1"/>
  <c r="B129" i="89"/>
  <c r="B132" i="89" s="1"/>
  <c r="K118" i="89"/>
  <c r="J118" i="89"/>
  <c r="G118" i="89"/>
  <c r="F118" i="89"/>
  <c r="C118" i="89"/>
  <c r="B118" i="89"/>
  <c r="K108" i="89"/>
  <c r="J108" i="89"/>
  <c r="G108" i="89"/>
  <c r="F108" i="89"/>
  <c r="C108" i="89"/>
  <c r="B108" i="89"/>
  <c r="M99" i="89"/>
  <c r="L99" i="89"/>
  <c r="K99" i="89"/>
  <c r="J99" i="89"/>
  <c r="I99" i="89"/>
  <c r="H99" i="89"/>
  <c r="G99" i="89"/>
  <c r="F99" i="89"/>
  <c r="E99" i="89"/>
  <c r="D99" i="89"/>
  <c r="C99" i="89"/>
  <c r="B99" i="89"/>
  <c r="N98" i="89"/>
  <c r="N97" i="89"/>
  <c r="N96" i="89"/>
  <c r="N95" i="89"/>
  <c r="N94" i="89"/>
  <c r="N93" i="89"/>
  <c r="N88" i="89"/>
  <c r="N87" i="89"/>
  <c r="N86" i="89"/>
  <c r="N85" i="89"/>
  <c r="M89" i="89"/>
  <c r="I89" i="89"/>
  <c r="E89" i="89"/>
  <c r="C89" i="89"/>
  <c r="D79" i="89"/>
  <c r="M79" i="89"/>
  <c r="K79" i="89"/>
  <c r="J79" i="89"/>
  <c r="I79" i="89"/>
  <c r="G79" i="89"/>
  <c r="F79" i="89"/>
  <c r="E79" i="89"/>
  <c r="C79" i="89"/>
  <c r="B79" i="89"/>
  <c r="H73" i="89"/>
  <c r="L73" i="89"/>
  <c r="K73" i="89"/>
  <c r="I73" i="89"/>
  <c r="G73" i="89"/>
  <c r="E73" i="89"/>
  <c r="C73" i="89"/>
  <c r="M67" i="89"/>
  <c r="H67" i="89"/>
  <c r="N66" i="89"/>
  <c r="L67" i="89"/>
  <c r="K67" i="89"/>
  <c r="I67" i="89"/>
  <c r="G67" i="89"/>
  <c r="E67" i="89"/>
  <c r="C67" i="89"/>
  <c r="D61" i="89"/>
  <c r="L61" i="89"/>
  <c r="K61" i="89"/>
  <c r="J61" i="89"/>
  <c r="G61" i="89"/>
  <c r="F61" i="89"/>
  <c r="C61" i="89"/>
  <c r="B61" i="89"/>
  <c r="L54" i="89"/>
  <c r="K54" i="89"/>
  <c r="I54" i="89"/>
  <c r="H54" i="89"/>
  <c r="G54" i="89"/>
  <c r="E54" i="89"/>
  <c r="D54" i="89"/>
  <c r="C54" i="89"/>
  <c r="N46" i="89"/>
  <c r="M47" i="89"/>
  <c r="L47" i="89"/>
  <c r="J47" i="89"/>
  <c r="I47" i="89"/>
  <c r="H47" i="89"/>
  <c r="F47" i="89"/>
  <c r="E47" i="89"/>
  <c r="D47" i="89"/>
  <c r="B47" i="89"/>
  <c r="K40" i="89"/>
  <c r="J40" i="89"/>
  <c r="G40" i="89"/>
  <c r="F40" i="89"/>
  <c r="C40" i="89"/>
  <c r="B40" i="89"/>
  <c r="K33" i="89"/>
  <c r="J33" i="89"/>
  <c r="G33" i="89"/>
  <c r="F33" i="89"/>
  <c r="C33" i="89"/>
  <c r="B33" i="89"/>
  <c r="M26" i="89"/>
  <c r="N25" i="89"/>
  <c r="N24" i="89"/>
  <c r="L26" i="89"/>
  <c r="K26" i="89"/>
  <c r="H26" i="89"/>
  <c r="D26" i="89"/>
  <c r="L19" i="89"/>
  <c r="M19" i="89"/>
  <c r="K19" i="89"/>
  <c r="I19" i="89"/>
  <c r="H19" i="89"/>
  <c r="G19" i="89"/>
  <c r="E19" i="89"/>
  <c r="D19" i="89"/>
  <c r="C19" i="89"/>
  <c r="K12" i="89"/>
  <c r="N10" i="89"/>
  <c r="M12" i="89"/>
  <c r="L12" i="89"/>
  <c r="J12" i="89"/>
  <c r="I12" i="89"/>
  <c r="H12" i="89"/>
  <c r="E12" i="89"/>
  <c r="D12" i="89"/>
  <c r="N9" i="89"/>
  <c r="C7" i="89"/>
  <c r="D7" i="89" s="1"/>
  <c r="E7" i="89" s="1"/>
  <c r="F7" i="89" s="1"/>
  <c r="G7" i="89" s="1"/>
  <c r="H7" i="89" s="1"/>
  <c r="I7" i="89" s="1"/>
  <c r="J7" i="89" s="1"/>
  <c r="K7" i="89" s="1"/>
  <c r="L7" i="89" s="1"/>
  <c r="M7" i="89" s="1"/>
  <c r="F12" i="89" l="1"/>
  <c r="N103" i="89"/>
  <c r="N107" i="89"/>
  <c r="N113" i="89"/>
  <c r="N117" i="89"/>
  <c r="C12" i="89"/>
  <c r="G12" i="89"/>
  <c r="C26" i="89"/>
  <c r="G26" i="89"/>
  <c r="N31" i="89"/>
  <c r="N38" i="89"/>
  <c r="C47" i="89"/>
  <c r="G47" i="89"/>
  <c r="K47" i="89"/>
  <c r="H61" i="89"/>
  <c r="D73" i="89"/>
  <c r="H79" i="89"/>
  <c r="L79" i="89"/>
  <c r="N79" i="89" s="1"/>
  <c r="G89" i="89"/>
  <c r="K89" i="89"/>
  <c r="B12" i="89"/>
  <c r="M54" i="89"/>
  <c r="E61" i="89"/>
  <c r="I61" i="89"/>
  <c r="M61" i="89"/>
  <c r="D67" i="89"/>
  <c r="M73" i="89"/>
  <c r="D89" i="89"/>
  <c r="H89" i="89"/>
  <c r="L89" i="89"/>
  <c r="H108" i="89"/>
  <c r="L108" i="89"/>
  <c r="H118" i="89"/>
  <c r="L118" i="89"/>
  <c r="H129" i="89"/>
  <c r="H132" i="89" s="1"/>
  <c r="L129" i="89"/>
  <c r="L132" i="89" s="1"/>
  <c r="B19" i="89"/>
  <c r="F19" i="89"/>
  <c r="J19" i="89"/>
  <c r="N18" i="89"/>
  <c r="E26" i="89"/>
  <c r="I26" i="89"/>
  <c r="H33" i="89"/>
  <c r="D33" i="89"/>
  <c r="L33" i="89"/>
  <c r="H40" i="89"/>
  <c r="D40" i="89"/>
  <c r="L40" i="89"/>
  <c r="J54" i="89"/>
  <c r="N53" i="89"/>
  <c r="F54" i="89"/>
  <c r="N72" i="89"/>
  <c r="N78" i="89"/>
  <c r="E108" i="89"/>
  <c r="I108" i="89"/>
  <c r="M108" i="89"/>
  <c r="E118" i="89"/>
  <c r="I118" i="89"/>
  <c r="M118" i="89"/>
  <c r="E129" i="89"/>
  <c r="E132" i="89" s="1"/>
  <c r="I129" i="89"/>
  <c r="I132" i="89" s="1"/>
  <c r="M129" i="89"/>
  <c r="M132" i="89" s="1"/>
  <c r="N19" i="89"/>
  <c r="N11" i="89"/>
  <c r="N30" i="89"/>
  <c r="N102" i="89"/>
  <c r="N112" i="89"/>
  <c r="N16" i="89"/>
  <c r="N17" i="89"/>
  <c r="N37" i="89"/>
  <c r="N44" i="89"/>
  <c r="B26" i="89"/>
  <c r="F26" i="89"/>
  <c r="J26" i="89"/>
  <c r="N23" i="89"/>
  <c r="N32" i="89"/>
  <c r="N58" i="89"/>
  <c r="N84" i="89"/>
  <c r="D108" i="89"/>
  <c r="N104" i="89"/>
  <c r="N106" i="89"/>
  <c r="D118" i="89"/>
  <c r="N114" i="89"/>
  <c r="N116" i="89"/>
  <c r="D129" i="89"/>
  <c r="D132" i="89" s="1"/>
  <c r="E33" i="89"/>
  <c r="I33" i="89"/>
  <c r="M33" i="89"/>
  <c r="N51" i="89"/>
  <c r="B54" i="89"/>
  <c r="N52" i="89"/>
  <c r="N59" i="89"/>
  <c r="N60" i="89"/>
  <c r="B73" i="89"/>
  <c r="F73" i="89"/>
  <c r="J73" i="89"/>
  <c r="N71" i="89"/>
  <c r="N77" i="89"/>
  <c r="N39" i="89"/>
  <c r="B89" i="89"/>
  <c r="F89" i="89"/>
  <c r="J89" i="89"/>
  <c r="N83" i="89"/>
  <c r="N99" i="89"/>
  <c r="E40" i="89"/>
  <c r="I40" i="89"/>
  <c r="M40" i="89"/>
  <c r="N45" i="89"/>
  <c r="B67" i="89"/>
  <c r="F67" i="89"/>
  <c r="J67" i="89"/>
  <c r="N65" i="89"/>
  <c r="N105" i="89"/>
  <c r="N115" i="89"/>
  <c r="N61" i="89" l="1"/>
  <c r="N47" i="89"/>
  <c r="N12" i="89"/>
  <c r="N118" i="89"/>
  <c r="N40" i="89"/>
  <c r="N26" i="89"/>
  <c r="N33" i="89"/>
  <c r="N67" i="89"/>
  <c r="N73" i="89"/>
  <c r="N54" i="89"/>
  <c r="N129" i="89"/>
  <c r="N132" i="89" s="1"/>
  <c r="N108" i="89"/>
  <c r="N89" i="89"/>
  <c r="F54" i="73" l="1"/>
  <c r="G54" i="73"/>
  <c r="H54" i="73"/>
  <c r="I54" i="73"/>
  <c r="J54" i="73"/>
  <c r="K54" i="73"/>
  <c r="L54" i="73"/>
  <c r="M54" i="73"/>
  <c r="N54" i="73"/>
  <c r="O54" i="73"/>
  <c r="P54" i="73"/>
  <c r="E54" i="73"/>
  <c r="O17" i="33"/>
  <c r="Q54" i="73" l="1"/>
  <c r="F6" i="73"/>
  <c r="G6" i="73" s="1"/>
  <c r="H6" i="73" s="1"/>
  <c r="I6" i="73" s="1"/>
  <c r="J6" i="73" s="1"/>
  <c r="K6" i="73" s="1"/>
  <c r="L6" i="73" s="1"/>
  <c r="M6" i="73" s="1"/>
  <c r="N6" i="73" s="1"/>
  <c r="O6" i="73" s="1"/>
  <c r="P6" i="73" s="1"/>
  <c r="D6" i="33"/>
  <c r="E6" i="33" s="1"/>
  <c r="F6" i="33" s="1"/>
  <c r="G6" i="33" s="1"/>
  <c r="H6" i="33" s="1"/>
  <c r="I6" i="33" s="1"/>
  <c r="J6" i="33" s="1"/>
  <c r="K6" i="33" s="1"/>
  <c r="L6" i="33" s="1"/>
  <c r="M6" i="33" s="1"/>
  <c r="N6" i="33" s="1"/>
  <c r="O68" i="33" l="1"/>
  <c r="O67" i="33"/>
  <c r="O66" i="33"/>
  <c r="O65" i="33"/>
  <c r="O64" i="33"/>
  <c r="O63" i="33"/>
  <c r="O62" i="33"/>
  <c r="O61" i="33"/>
  <c r="O60" i="33"/>
  <c r="O59" i="33"/>
  <c r="O53" i="33"/>
  <c r="O52" i="33"/>
  <c r="O51" i="33"/>
  <c r="O50" i="33"/>
  <c r="O49" i="33"/>
  <c r="O48" i="33"/>
  <c r="O47" i="33"/>
  <c r="O46" i="33"/>
  <c r="O45" i="33"/>
  <c r="O44" i="33"/>
  <c r="O43" i="33"/>
  <c r="O42" i="33"/>
  <c r="O41" i="33"/>
  <c r="O40" i="33"/>
  <c r="O39" i="33"/>
  <c r="O33" i="33"/>
  <c r="O32" i="33"/>
  <c r="O31" i="33"/>
  <c r="O30" i="33"/>
  <c r="O29" i="33"/>
  <c r="O28" i="33"/>
  <c r="O27" i="33"/>
  <c r="O26" i="33"/>
  <c r="O25" i="33"/>
  <c r="O24" i="33"/>
  <c r="O23" i="33"/>
  <c r="O22" i="33"/>
  <c r="O21" i="33"/>
  <c r="O20" i="33"/>
  <c r="O19" i="33"/>
  <c r="O18" i="33"/>
  <c r="O16" i="33"/>
  <c r="O15" i="33"/>
  <c r="O14" i="33"/>
  <c r="O13" i="33"/>
  <c r="C35" i="33" l="1"/>
  <c r="D35" i="33"/>
  <c r="E35" i="33"/>
  <c r="F35" i="33"/>
  <c r="G35" i="33"/>
  <c r="H35" i="33"/>
  <c r="I35" i="33"/>
  <c r="J35" i="33"/>
  <c r="K35" i="33"/>
  <c r="L35" i="33"/>
  <c r="M35" i="33"/>
  <c r="N35" i="33"/>
  <c r="Q7" i="73"/>
  <c r="Q8" i="73"/>
  <c r="Q9" i="73"/>
  <c r="Q10" i="73"/>
  <c r="Q11" i="73"/>
  <c r="Q12" i="73"/>
  <c r="Q13" i="73"/>
  <c r="Q14" i="73"/>
  <c r="Q15" i="73"/>
  <c r="Q16" i="73"/>
  <c r="Q17" i="73"/>
  <c r="Q19" i="73"/>
  <c r="Q20" i="73"/>
  <c r="Q21" i="73"/>
  <c r="Q22" i="73"/>
  <c r="Q23" i="73"/>
  <c r="Q24" i="73"/>
  <c r="Q25" i="73"/>
  <c r="Q26" i="73"/>
  <c r="Q27" i="73"/>
  <c r="Q30" i="73"/>
  <c r="Q32" i="73"/>
  <c r="Q33" i="73"/>
  <c r="R1081" i="77" l="1"/>
  <c r="R1026" i="77"/>
  <c r="R718" i="77"/>
  <c r="R572" i="77"/>
  <c r="R410" i="77"/>
  <c r="R313" i="77"/>
  <c r="R233" i="77"/>
  <c r="R275" i="77"/>
  <c r="Q971" i="77"/>
  <c r="Q983" i="77" s="1"/>
  <c r="P971" i="77"/>
  <c r="P983" i="77" s="1"/>
  <c r="O971" i="77"/>
  <c r="O983" i="77" s="1"/>
  <c r="Q886" i="77"/>
  <c r="Q902" i="77" s="1"/>
  <c r="P886" i="77"/>
  <c r="P902" i="77" s="1"/>
  <c r="O886" i="77"/>
  <c r="O902" i="77" s="1"/>
  <c r="Q702" i="77"/>
  <c r="Q970" i="77" s="1"/>
  <c r="P702" i="77"/>
  <c r="P970" i="77" s="1"/>
  <c r="O702" i="77"/>
  <c r="O970" i="77" s="1"/>
  <c r="Q693" i="77"/>
  <c r="Q885" i="77" s="1"/>
  <c r="P693" i="77"/>
  <c r="P885" i="77" s="1"/>
  <c r="O693" i="77"/>
  <c r="O885" i="77" s="1"/>
  <c r="Q576" i="77"/>
  <c r="P576" i="77"/>
  <c r="O576" i="77"/>
  <c r="Q560" i="77"/>
  <c r="Q969" i="77" s="1"/>
  <c r="P560" i="77"/>
  <c r="P969" i="77" s="1"/>
  <c r="O560" i="77"/>
  <c r="O969" i="77" s="1"/>
  <c r="Q555" i="77"/>
  <c r="Q884" i="77" s="1"/>
  <c r="P555" i="77"/>
  <c r="P884" i="77" s="1"/>
  <c r="O555" i="77"/>
  <c r="O884" i="77" s="1"/>
  <c r="Q414" i="77"/>
  <c r="P414" i="77"/>
  <c r="O414" i="77"/>
  <c r="Q968" i="77"/>
  <c r="P968" i="77"/>
  <c r="O968" i="77"/>
  <c r="Q883" i="77"/>
  <c r="P883" i="77"/>
  <c r="O883" i="77"/>
  <c r="Q815" i="77"/>
  <c r="P815" i="77"/>
  <c r="O815" i="77"/>
  <c r="Q799" i="77"/>
  <c r="Q967" i="77" s="1"/>
  <c r="P799" i="77"/>
  <c r="P967" i="77" s="1"/>
  <c r="O799" i="77"/>
  <c r="O967" i="77" s="1"/>
  <c r="Q790" i="77"/>
  <c r="Q882" i="77" s="1"/>
  <c r="P790" i="77"/>
  <c r="P882" i="77" s="1"/>
  <c r="O790" i="77"/>
  <c r="O882" i="77" s="1"/>
  <c r="Q611" i="77"/>
  <c r="P611" i="77"/>
  <c r="O611" i="77"/>
  <c r="Q599" i="77"/>
  <c r="Q966" i="77" s="1"/>
  <c r="Q981" i="77" s="1"/>
  <c r="P599" i="77"/>
  <c r="P966" i="77" s="1"/>
  <c r="P981" i="77" s="1"/>
  <c r="O599" i="77"/>
  <c r="O966" i="77" s="1"/>
  <c r="O981" i="77" s="1"/>
  <c r="Q594" i="77"/>
  <c r="Q881" i="77" s="1"/>
  <c r="Q900" i="77" s="1"/>
  <c r="P594" i="77"/>
  <c r="P881" i="77" s="1"/>
  <c r="P900" i="77" s="1"/>
  <c r="O594" i="77"/>
  <c r="O881" i="77" s="1"/>
  <c r="O900" i="77" s="1"/>
  <c r="Q489" i="77"/>
  <c r="P489" i="77"/>
  <c r="O489" i="77"/>
  <c r="Q965" i="77"/>
  <c r="P965" i="77"/>
  <c r="O965" i="77"/>
  <c r="Q880" i="77"/>
  <c r="P880" i="77"/>
  <c r="O880" i="77"/>
  <c r="Q964" i="77"/>
  <c r="P964" i="77"/>
  <c r="O964" i="77"/>
  <c r="Q879" i="77"/>
  <c r="P879" i="77"/>
  <c r="O879" i="77"/>
  <c r="Q963" i="77"/>
  <c r="P963" i="77"/>
  <c r="O963" i="77"/>
  <c r="Q101" i="77"/>
  <c r="Q876" i="77" s="1"/>
  <c r="P101" i="77"/>
  <c r="P876" i="77" s="1"/>
  <c r="O101" i="77"/>
  <c r="O876" i="77" s="1"/>
  <c r="Q666" i="77"/>
  <c r="P666" i="77"/>
  <c r="O666" i="77"/>
  <c r="Q646" i="77"/>
  <c r="Q962" i="77" s="1"/>
  <c r="P646" i="77"/>
  <c r="P962" i="77" s="1"/>
  <c r="O646" i="77"/>
  <c r="O962" i="77" s="1"/>
  <c r="Q637" i="77"/>
  <c r="Q875" i="77" s="1"/>
  <c r="P637" i="77"/>
  <c r="P875" i="77" s="1"/>
  <c r="O637" i="77"/>
  <c r="O875" i="77" s="1"/>
  <c r="Q532" i="77"/>
  <c r="P532" i="77"/>
  <c r="O532" i="77"/>
  <c r="Q516" i="77"/>
  <c r="Q961" i="77" s="1"/>
  <c r="P516" i="77"/>
  <c r="P961" i="77" s="1"/>
  <c r="O516" i="77"/>
  <c r="O961" i="77" s="1"/>
  <c r="Q511" i="77"/>
  <c r="Q874" i="77" s="1"/>
  <c r="P511" i="77"/>
  <c r="P874" i="77" s="1"/>
  <c r="O511" i="77"/>
  <c r="O874" i="77" s="1"/>
  <c r="Q367" i="77"/>
  <c r="P367" i="77"/>
  <c r="O367" i="77"/>
  <c r="Q960" i="77"/>
  <c r="P960" i="77"/>
  <c r="O960" i="77"/>
  <c r="Q873" i="77"/>
  <c r="P873" i="77"/>
  <c r="O873" i="77"/>
  <c r="Q769" i="77"/>
  <c r="P769" i="77"/>
  <c r="O769" i="77"/>
  <c r="Q753" i="77"/>
  <c r="Q959" i="77" s="1"/>
  <c r="P753" i="77"/>
  <c r="P959" i="77" s="1"/>
  <c r="O753" i="77"/>
  <c r="O959" i="77" s="1"/>
  <c r="Q744" i="77"/>
  <c r="Q872" i="77" s="1"/>
  <c r="P744" i="77"/>
  <c r="P872" i="77" s="1"/>
  <c r="O744" i="77"/>
  <c r="O872" i="77" s="1"/>
  <c r="Q452" i="77"/>
  <c r="P452" i="77"/>
  <c r="O452" i="77"/>
  <c r="Q958" i="77"/>
  <c r="P958" i="77"/>
  <c r="O958" i="77"/>
  <c r="Q871" i="77"/>
  <c r="P871" i="77"/>
  <c r="O871" i="77"/>
  <c r="Q957" i="77"/>
  <c r="P957" i="77"/>
  <c r="O957" i="77"/>
  <c r="Q870" i="77"/>
  <c r="P870" i="77"/>
  <c r="O870" i="77"/>
  <c r="Q868" i="77"/>
  <c r="Q894" i="77" s="1"/>
  <c r="P868" i="77"/>
  <c r="P894" i="77" s="1"/>
  <c r="O868" i="77"/>
  <c r="O894" i="77" s="1"/>
  <c r="Q956" i="77"/>
  <c r="P956" i="77"/>
  <c r="O956" i="77"/>
  <c r="Q869" i="77"/>
  <c r="P869" i="77"/>
  <c r="O869" i="77"/>
  <c r="Q78" i="77"/>
  <c r="Q867" i="77" s="1"/>
  <c r="P78" i="77"/>
  <c r="P867" i="77" s="1"/>
  <c r="O78" i="77"/>
  <c r="O867" i="77" s="1"/>
  <c r="Q56" i="77"/>
  <c r="Q866" i="77" s="1"/>
  <c r="Q891" i="77" s="1"/>
  <c r="P56" i="77"/>
  <c r="P866" i="77" s="1"/>
  <c r="P891" i="77" s="1"/>
  <c r="O56" i="77"/>
  <c r="O866" i="77" s="1"/>
  <c r="O891" i="77" s="1"/>
  <c r="Q36" i="77"/>
  <c r="Q865" i="77" s="1"/>
  <c r="P36" i="77"/>
  <c r="P865" i="77" s="1"/>
  <c r="O36" i="77"/>
  <c r="O865" i="77" s="1"/>
  <c r="P978" i="77" l="1"/>
  <c r="P898" i="77"/>
  <c r="Q979" i="77"/>
  <c r="Q901" i="77"/>
  <c r="P895" i="77"/>
  <c r="Q976" i="77"/>
  <c r="O896" i="77"/>
  <c r="P977" i="77"/>
  <c r="O979" i="77"/>
  <c r="P899" i="77"/>
  <c r="Q980" i="77"/>
  <c r="O901" i="77"/>
  <c r="P982" i="77"/>
  <c r="Q896" i="77"/>
  <c r="P897" i="77"/>
  <c r="P892" i="77"/>
  <c r="O976" i="77"/>
  <c r="O980" i="77"/>
  <c r="O892" i="77"/>
  <c r="Q892" i="77"/>
  <c r="P901" i="77"/>
  <c r="O982" i="77"/>
  <c r="Q982" i="77"/>
  <c r="O895" i="77"/>
  <c r="Q895" i="77"/>
  <c r="P976" i="77"/>
  <c r="O897" i="77"/>
  <c r="Q897" i="77"/>
  <c r="O898" i="77"/>
  <c r="Q898" i="77"/>
  <c r="P979" i="77"/>
  <c r="O899" i="77"/>
  <c r="Q899" i="77"/>
  <c r="P980" i="77"/>
  <c r="P896" i="77"/>
  <c r="O977" i="77"/>
  <c r="Q977" i="77"/>
  <c r="O978" i="77"/>
  <c r="Q978" i="77"/>
  <c r="O890" i="77"/>
  <c r="Q890" i="77"/>
  <c r="O975" i="77"/>
  <c r="O972" i="77"/>
  <c r="Q975" i="77"/>
  <c r="Q972" i="77"/>
  <c r="P182" i="77"/>
  <c r="P270" i="77"/>
  <c r="P878" i="77"/>
  <c r="P893" i="77" s="1"/>
  <c r="P890" i="77"/>
  <c r="P972" i="77"/>
  <c r="P975" i="77"/>
  <c r="O182" i="77"/>
  <c r="Q182" i="77"/>
  <c r="O270" i="77"/>
  <c r="Q270" i="77"/>
  <c r="O878" i="77"/>
  <c r="O887" i="77" s="1"/>
  <c r="Q878" i="77"/>
  <c r="Q893" i="77" s="1"/>
  <c r="P308" i="77"/>
  <c r="O308" i="77"/>
  <c r="Q308" i="77"/>
  <c r="P984" i="77" l="1"/>
  <c r="P985" i="77" s="1"/>
  <c r="Q984" i="77"/>
  <c r="Q985" i="77" s="1"/>
  <c r="O984" i="77"/>
  <c r="O985" i="77" s="1"/>
  <c r="P887" i="77"/>
  <c r="O893" i="77"/>
  <c r="O903" i="77" s="1"/>
  <c r="O904" i="77" s="1"/>
  <c r="Q887" i="77"/>
  <c r="P903" i="77"/>
  <c r="Q903" i="77"/>
  <c r="P904" i="77" l="1"/>
  <c r="Q904" i="77"/>
  <c r="N69" i="33"/>
  <c r="M69" i="33"/>
  <c r="L69" i="33"/>
  <c r="N55" i="33"/>
  <c r="M55" i="33"/>
  <c r="L55" i="33"/>
  <c r="Q1089" i="77" l="1"/>
  <c r="Q1090" i="77" s="1"/>
  <c r="O1092" i="77"/>
  <c r="O1093" i="77" s="1"/>
  <c r="O1089" i="77"/>
  <c r="O1090" i="77" s="1"/>
  <c r="P1092" i="77"/>
  <c r="P1093" i="77" s="1"/>
  <c r="P1089" i="77"/>
  <c r="P1090" i="77" s="1"/>
  <c r="Q1092" i="77"/>
  <c r="Q1093" i="77" s="1"/>
  <c r="N10" i="33"/>
  <c r="M10" i="33"/>
  <c r="L10" i="33"/>
  <c r="R75" i="52"/>
  <c r="R74" i="52"/>
  <c r="R73" i="52"/>
  <c r="R72" i="52"/>
  <c r="R51" i="52"/>
  <c r="R50" i="52"/>
  <c r="R49" i="52"/>
  <c r="R48" i="52"/>
  <c r="R47" i="52"/>
  <c r="R46" i="52"/>
  <c r="R45" i="52"/>
  <c r="R22" i="52"/>
  <c r="R21" i="52"/>
  <c r="R20" i="52"/>
  <c r="R19" i="52"/>
  <c r="R18" i="52"/>
  <c r="R17" i="52"/>
  <c r="P15" i="77" l="1"/>
  <c r="P22" i="77" s="1"/>
  <c r="O15" i="77"/>
  <c r="O22" i="77" s="1"/>
  <c r="Q15" i="77"/>
  <c r="Q22" i="77" s="1"/>
  <c r="Q23" i="52"/>
  <c r="P23" i="52"/>
  <c r="O23" i="52"/>
  <c r="O992" i="77" l="1"/>
  <c r="O1031" i="77"/>
  <c r="P992" i="77"/>
  <c r="P1031" i="77"/>
  <c r="Q992" i="77"/>
  <c r="Q1031" i="77"/>
  <c r="O862" i="77"/>
  <c r="O17" i="77"/>
  <c r="O907" i="77" s="1"/>
  <c r="Q862" i="77"/>
  <c r="Q17" i="77"/>
  <c r="Q907" i="77" s="1"/>
  <c r="P862" i="77"/>
  <c r="P17" i="77"/>
  <c r="P907" i="77" s="1"/>
  <c r="Q938" i="77" l="1"/>
  <c r="O938" i="77"/>
  <c r="P938" i="77"/>
  <c r="Q87" i="52"/>
  <c r="P87" i="52"/>
  <c r="O87" i="52"/>
  <c r="Q76" i="52"/>
  <c r="Q89" i="52" s="1"/>
  <c r="P76" i="52"/>
  <c r="P89" i="52" s="1"/>
  <c r="O76" i="52"/>
  <c r="O89" i="52" s="1"/>
  <c r="Q52" i="52"/>
  <c r="Q88" i="52" s="1"/>
  <c r="P52" i="52"/>
  <c r="P88" i="52" s="1"/>
  <c r="O52" i="52"/>
  <c r="O88" i="52" s="1"/>
  <c r="Q90" i="52" l="1"/>
  <c r="P90" i="52"/>
  <c r="O90" i="52"/>
  <c r="Q40" i="73"/>
  <c r="P63" i="73"/>
  <c r="O63" i="73"/>
  <c r="N63" i="73"/>
  <c r="P62" i="73"/>
  <c r="O62" i="73"/>
  <c r="N62" i="73"/>
  <c r="P61" i="73"/>
  <c r="O61" i="73"/>
  <c r="N61" i="73"/>
  <c r="P60" i="73"/>
  <c r="O60" i="73"/>
  <c r="N60" i="73"/>
  <c r="P59" i="73"/>
  <c r="O59" i="73"/>
  <c r="N59" i="73"/>
  <c r="P58" i="73"/>
  <c r="O58" i="73"/>
  <c r="N58" i="73"/>
  <c r="P57" i="73"/>
  <c r="O57" i="73"/>
  <c r="N57" i="73"/>
  <c r="P56" i="73"/>
  <c r="O56" i="73"/>
  <c r="N56" i="73"/>
  <c r="P55" i="73"/>
  <c r="O55" i="73"/>
  <c r="N55" i="73"/>
  <c r="P53" i="73"/>
  <c r="O53" i="73"/>
  <c r="N53" i="73"/>
  <c r="P50" i="73"/>
  <c r="O50" i="73"/>
  <c r="N50" i="73"/>
  <c r="P49" i="73"/>
  <c r="O49" i="73"/>
  <c r="N49" i="73"/>
  <c r="P48" i="73"/>
  <c r="O48" i="73"/>
  <c r="N48" i="73"/>
  <c r="P47" i="73"/>
  <c r="O47" i="73"/>
  <c r="N47" i="73"/>
  <c r="P46" i="73"/>
  <c r="O46" i="73"/>
  <c r="N46" i="73"/>
  <c r="P43" i="73"/>
  <c r="O43" i="73"/>
  <c r="N43" i="73"/>
  <c r="P45" i="73"/>
  <c r="O45" i="73"/>
  <c r="N45" i="73"/>
  <c r="P44" i="73"/>
  <c r="O44" i="73"/>
  <c r="N44" i="73"/>
  <c r="P42" i="73"/>
  <c r="O42" i="73"/>
  <c r="N42" i="73"/>
  <c r="P39" i="73"/>
  <c r="O39" i="73"/>
  <c r="N39" i="73"/>
  <c r="P38" i="73"/>
  <c r="O38" i="73"/>
  <c r="N38" i="73"/>
  <c r="P37" i="73"/>
  <c r="O37" i="73"/>
  <c r="N37" i="73"/>
  <c r="N65" i="73" l="1"/>
  <c r="N66" i="73" s="1"/>
  <c r="O65" i="73"/>
  <c r="O66" i="73" s="1"/>
  <c r="P65" i="73"/>
  <c r="P66" i="73" s="1"/>
  <c r="Q931" i="77" l="1"/>
  <c r="O931" i="77"/>
  <c r="O797" i="77"/>
  <c r="P918" i="77"/>
  <c r="P558" i="77"/>
  <c r="P917" i="77"/>
  <c r="P395" i="77"/>
  <c r="Q919" i="77"/>
  <c r="Q700" i="77"/>
  <c r="O919" i="77"/>
  <c r="O700" i="77"/>
  <c r="Q917" i="77"/>
  <c r="O917" i="77"/>
  <c r="O395" i="77"/>
  <c r="P919" i="77"/>
  <c r="P700" i="77"/>
  <c r="Q929" i="77"/>
  <c r="O929" i="77"/>
  <c r="O474" i="77"/>
  <c r="Q928" i="77"/>
  <c r="O928" i="77"/>
  <c r="O305" i="77"/>
  <c r="O923" i="77"/>
  <c r="O943" i="77" s="1"/>
  <c r="P931" i="77"/>
  <c r="P797" i="77"/>
  <c r="Q918" i="77"/>
  <c r="O918" i="77"/>
  <c r="O558" i="77"/>
  <c r="P929" i="77"/>
  <c r="P474" i="77"/>
  <c r="P928" i="77"/>
  <c r="P305" i="77"/>
  <c r="P923" i="77"/>
  <c r="P943" i="77" s="1"/>
  <c r="N868" i="77"/>
  <c r="N894" i="77" s="1"/>
  <c r="M868" i="77"/>
  <c r="M894" i="77" s="1"/>
  <c r="L868" i="77"/>
  <c r="L894" i="77" s="1"/>
  <c r="K868" i="77"/>
  <c r="K894" i="77" s="1"/>
  <c r="J868" i="77"/>
  <c r="J894" i="77" s="1"/>
  <c r="I868" i="77"/>
  <c r="I894" i="77" s="1"/>
  <c r="H868" i="77"/>
  <c r="H894" i="77" s="1"/>
  <c r="G868" i="77"/>
  <c r="G894" i="77" s="1"/>
  <c r="F868" i="77" l="1"/>
  <c r="F894" i="77" s="1"/>
  <c r="R123" i="77"/>
  <c r="Q923" i="77"/>
  <c r="Q943" i="77" s="1"/>
  <c r="Q930" i="77"/>
  <c r="Q949" i="77" s="1"/>
  <c r="P930" i="77"/>
  <c r="P949" i="77" s="1"/>
  <c r="P597" i="77"/>
  <c r="P909" i="77"/>
  <c r="P940" i="77" s="1"/>
  <c r="O930" i="77"/>
  <c r="O949" i="77" s="1"/>
  <c r="O597" i="77"/>
  <c r="O909" i="77"/>
  <c r="O940" i="77" s="1"/>
  <c r="Q909" i="77"/>
  <c r="Q940" i="77" s="1"/>
  <c r="R868" i="77" l="1"/>
  <c r="Q914" i="77" l="1"/>
  <c r="Q946" i="77" s="1"/>
  <c r="Q913" i="77"/>
  <c r="Q945" i="77" s="1"/>
  <c r="O913" i="77"/>
  <c r="O945" i="77" s="1"/>
  <c r="O514" i="77"/>
  <c r="P926" i="77" l="1"/>
  <c r="P950" i="77" s="1"/>
  <c r="P751" i="77"/>
  <c r="P913" i="77"/>
  <c r="P945" i="77" s="1"/>
  <c r="P514" i="77"/>
  <c r="Q924" i="77"/>
  <c r="O924" i="77"/>
  <c r="O267" i="77"/>
  <c r="P924" i="77"/>
  <c r="P267" i="77"/>
  <c r="O925" i="77"/>
  <c r="O948" i="77" s="1"/>
  <c r="O437" i="77"/>
  <c r="O912" i="77"/>
  <c r="O944" i="77" s="1"/>
  <c r="O348" i="77"/>
  <c r="Q925" i="77"/>
  <c r="Q948" i="77" s="1"/>
  <c r="P916" i="77"/>
  <c r="P225" i="77"/>
  <c r="O910" i="77"/>
  <c r="Q912" i="77"/>
  <c r="Q944" i="77" s="1"/>
  <c r="P925" i="77"/>
  <c r="P948" i="77" s="1"/>
  <c r="P437" i="77"/>
  <c r="P914" i="77"/>
  <c r="P946" i="77" s="1"/>
  <c r="P644" i="77"/>
  <c r="O914" i="77"/>
  <c r="O946" i="77" s="1"/>
  <c r="O644" i="77"/>
  <c r="Q932" i="77"/>
  <c r="Q951" i="77" s="1"/>
  <c r="O932" i="77"/>
  <c r="O951" i="77" s="1"/>
  <c r="P932" i="77"/>
  <c r="P951" i="77" s="1"/>
  <c r="P911" i="77"/>
  <c r="P179" i="77"/>
  <c r="O926" i="77"/>
  <c r="O950" i="77" s="1"/>
  <c r="O751" i="77"/>
  <c r="P912" i="77"/>
  <c r="P944" i="77" s="1"/>
  <c r="P348" i="77"/>
  <c r="Q926" i="77"/>
  <c r="Q950" i="77" s="1"/>
  <c r="P910" i="77"/>
  <c r="O911" i="77"/>
  <c r="O179" i="77"/>
  <c r="K10" i="33"/>
  <c r="J10" i="33"/>
  <c r="I10" i="33"/>
  <c r="H10" i="33"/>
  <c r="G10" i="33"/>
  <c r="F10" i="33"/>
  <c r="E10" i="33"/>
  <c r="D10" i="33"/>
  <c r="C10" i="33"/>
  <c r="P942" i="77" l="1"/>
  <c r="O28" i="52"/>
  <c r="O30" i="52"/>
  <c r="O26" i="52"/>
  <c r="O57" i="52"/>
  <c r="O59" i="52"/>
  <c r="O61" i="52"/>
  <c r="O79" i="52"/>
  <c r="O81" i="52"/>
  <c r="O27" i="52"/>
  <c r="O29" i="52"/>
  <c r="O31" i="52"/>
  <c r="O56" i="52"/>
  <c r="O58" i="52"/>
  <c r="O60" i="52"/>
  <c r="O55" i="52"/>
  <c r="O80" i="52"/>
  <c r="O82" i="52"/>
  <c r="O916" i="77"/>
  <c r="O942" i="77" s="1"/>
  <c r="O225" i="77"/>
  <c r="Q910" i="77"/>
  <c r="O915" i="77"/>
  <c r="O941" i="77" s="1"/>
  <c r="P947" i="77"/>
  <c r="P933" i="77"/>
  <c r="O947" i="77"/>
  <c r="O933" i="77"/>
  <c r="P908" i="77"/>
  <c r="O908" i="77"/>
  <c r="Q911" i="77"/>
  <c r="P915" i="77"/>
  <c r="P941" i="77" s="1"/>
  <c r="Q947" i="77"/>
  <c r="Q933" i="77"/>
  <c r="O10" i="33"/>
  <c r="F127" i="77"/>
  <c r="O62" i="52" l="1"/>
  <c r="O94" i="52" s="1"/>
  <c r="O83" i="52"/>
  <c r="O95" i="52" s="1"/>
  <c r="O32" i="52"/>
  <c r="O93" i="52" s="1"/>
  <c r="Q60" i="52"/>
  <c r="P60" i="52"/>
  <c r="Q58" i="52"/>
  <c r="P58" i="52"/>
  <c r="Q56" i="52"/>
  <c r="P56" i="52"/>
  <c r="Q79" i="52"/>
  <c r="P79" i="52"/>
  <c r="Q26" i="52"/>
  <c r="P26" i="52"/>
  <c r="Q30" i="52"/>
  <c r="P30" i="52"/>
  <c r="Q28" i="52"/>
  <c r="P28" i="52"/>
  <c r="Q82" i="52"/>
  <c r="P82" i="52"/>
  <c r="Q80" i="52"/>
  <c r="P80" i="52"/>
  <c r="Q55" i="52"/>
  <c r="P55" i="52"/>
  <c r="Q31" i="52"/>
  <c r="P31" i="52"/>
  <c r="Q29" i="52"/>
  <c r="P29" i="52"/>
  <c r="Q27" i="52"/>
  <c r="P27" i="52"/>
  <c r="Q81" i="52"/>
  <c r="P81" i="52"/>
  <c r="Q61" i="52"/>
  <c r="P61" i="52"/>
  <c r="Q59" i="52"/>
  <c r="P59" i="52"/>
  <c r="Q57" i="52"/>
  <c r="P57" i="52"/>
  <c r="Q908" i="77"/>
  <c r="Q916" i="77"/>
  <c r="Q942" i="77" s="1"/>
  <c r="O939" i="77"/>
  <c r="O952" i="77" s="1"/>
  <c r="O920" i="77"/>
  <c r="O935" i="77" s="1"/>
  <c r="P939" i="77"/>
  <c r="P952" i="77" s="1"/>
  <c r="P920" i="77"/>
  <c r="P935" i="77" s="1"/>
  <c r="Q915" i="77"/>
  <c r="Q941" i="77" s="1"/>
  <c r="G127" i="77"/>
  <c r="P62" i="52" l="1"/>
  <c r="P94" i="52" s="1"/>
  <c r="P32" i="52"/>
  <c r="P93" i="52" s="1"/>
  <c r="P83" i="52"/>
  <c r="P95" i="52" s="1"/>
  <c r="O96" i="52"/>
  <c r="Q62" i="52"/>
  <c r="Q94" i="52" s="1"/>
  <c r="Q32" i="52"/>
  <c r="Q93" i="52" s="1"/>
  <c r="Q83" i="52"/>
  <c r="Q95" i="52" s="1"/>
  <c r="Q939" i="77"/>
  <c r="Q952" i="77" s="1"/>
  <c r="Q920" i="77"/>
  <c r="Q935" i="77" s="1"/>
  <c r="P953" i="77"/>
  <c r="P1087" i="77"/>
  <c r="O953" i="77"/>
  <c r="O1087" i="77"/>
  <c r="H127" i="77"/>
  <c r="Q96" i="52" l="1"/>
  <c r="P96" i="52"/>
  <c r="Q305" i="77"/>
  <c r="Q1087" i="77"/>
  <c r="Q953" i="77"/>
  <c r="I127" i="77"/>
  <c r="J69" i="33"/>
  <c r="K69" i="33"/>
  <c r="Q179" i="77" l="1"/>
  <c r="Q267" i="77"/>
  <c r="Q597" i="77"/>
  <c r="Q225" i="77"/>
  <c r="Q437" i="77"/>
  <c r="Q395" i="77"/>
  <c r="Q751" i="77"/>
  <c r="Q348" i="77"/>
  <c r="Q514" i="77"/>
  <c r="Q474" i="77"/>
  <c r="Q797" i="77"/>
  <c r="Q644" i="77"/>
  <c r="Q558" i="77"/>
  <c r="J127" i="77"/>
  <c r="K127" i="77" l="1"/>
  <c r="C55" i="33"/>
  <c r="D55" i="33"/>
  <c r="E55" i="33"/>
  <c r="F55" i="33"/>
  <c r="G55" i="33"/>
  <c r="H55" i="33"/>
  <c r="L127" i="77" l="1"/>
  <c r="M127" i="77" l="1"/>
  <c r="K1092" i="77" l="1"/>
  <c r="J1092" i="77"/>
  <c r="I1092" i="77"/>
  <c r="H1092" i="77"/>
  <c r="G1092" i="77"/>
  <c r="F1092" i="77"/>
  <c r="N799" i="77"/>
  <c r="M799" i="77"/>
  <c r="L799" i="77"/>
  <c r="K799" i="77"/>
  <c r="J799" i="77"/>
  <c r="I799" i="77"/>
  <c r="H799" i="77"/>
  <c r="G799" i="77"/>
  <c r="F799" i="77"/>
  <c r="N790" i="77"/>
  <c r="M790" i="77"/>
  <c r="L790" i="77"/>
  <c r="K790" i="77"/>
  <c r="J790" i="77"/>
  <c r="I790" i="77"/>
  <c r="H790" i="77"/>
  <c r="G790" i="77"/>
  <c r="F790" i="77"/>
  <c r="O603" i="77" l="1"/>
  <c r="O129" i="77"/>
  <c r="O1021" i="77" s="1"/>
  <c r="O127" i="77"/>
  <c r="O60" i="77"/>
  <c r="O21" i="77"/>
  <c r="R792" i="77"/>
  <c r="R794" i="77"/>
  <c r="R796" i="77"/>
  <c r="R790" i="77"/>
  <c r="R799" i="77"/>
  <c r="R793" i="77"/>
  <c r="R795" i="77"/>
  <c r="N127" i="77"/>
  <c r="O605" i="77" l="1"/>
  <c r="O610" i="77"/>
  <c r="O608" i="77"/>
  <c r="O606" i="77"/>
  <c r="P603" i="77"/>
  <c r="O682" i="77"/>
  <c r="O715" i="77" s="1"/>
  <c r="O659" i="77"/>
  <c r="O552" i="77"/>
  <c r="O551" i="77"/>
  <c r="O536" i="77"/>
  <c r="O375" i="77"/>
  <c r="O401" i="77" s="1"/>
  <c r="O354" i="77"/>
  <c r="O128" i="77"/>
  <c r="P127" i="77"/>
  <c r="O134" i="77"/>
  <c r="O1076" i="77" s="1"/>
  <c r="O130" i="77"/>
  <c r="P129" i="77"/>
  <c r="P1021" i="77" s="1"/>
  <c r="O218" i="77"/>
  <c r="O217" i="77"/>
  <c r="O202" i="77"/>
  <c r="P60" i="77"/>
  <c r="O25" i="77"/>
  <c r="O20" i="77"/>
  <c r="O23" i="77" s="1"/>
  <c r="P21" i="77"/>
  <c r="O1013" i="77"/>
  <c r="O1049" i="77" s="1"/>
  <c r="O132" i="77" l="1"/>
  <c r="O1003" i="77"/>
  <c r="O1057" i="77" s="1"/>
  <c r="O580" i="77"/>
  <c r="O1074" i="77" s="1"/>
  <c r="O607" i="77"/>
  <c r="O612" i="77" s="1"/>
  <c r="O1024" i="77"/>
  <c r="O614" i="77"/>
  <c r="O1079" i="77" s="1"/>
  <c r="P605" i="77"/>
  <c r="Q603" i="77"/>
  <c r="P606" i="77"/>
  <c r="P608" i="77"/>
  <c r="P610" i="77"/>
  <c r="P682" i="77"/>
  <c r="P715" i="77" s="1"/>
  <c r="P659" i="77"/>
  <c r="O680" i="77"/>
  <c r="O712" i="77" s="1"/>
  <c r="O656" i="77"/>
  <c r="O676" i="77"/>
  <c r="O708" i="77" s="1"/>
  <c r="O652" i="77"/>
  <c r="O683" i="77"/>
  <c r="O716" i="77" s="1"/>
  <c r="O660" i="77"/>
  <c r="O687" i="77"/>
  <c r="O720" i="77" s="1"/>
  <c r="O723" i="77" s="1"/>
  <c r="O664" i="77"/>
  <c r="O667" i="77" s="1"/>
  <c r="O678" i="77"/>
  <c r="O710" i="77" s="1"/>
  <c r="O654" i="77"/>
  <c r="O686" i="77"/>
  <c r="O719" i="77" s="1"/>
  <c r="O663" i="77"/>
  <c r="O681" i="77"/>
  <c r="O713" i="77" s="1"/>
  <c r="O657" i="77"/>
  <c r="O677" i="77"/>
  <c r="O653" i="77"/>
  <c r="O690" i="77"/>
  <c r="O674" i="77"/>
  <c r="O706" i="77" s="1"/>
  <c r="O650" i="77"/>
  <c r="O689" i="77"/>
  <c r="O670" i="77"/>
  <c r="O679" i="77"/>
  <c r="O711" i="77" s="1"/>
  <c r="O655" i="77"/>
  <c r="P551" i="77"/>
  <c r="O544" i="77"/>
  <c r="O569" i="77" s="1"/>
  <c r="O525" i="77"/>
  <c r="O548" i="77"/>
  <c r="O573" i="77" s="1"/>
  <c r="O529" i="77"/>
  <c r="O543" i="77"/>
  <c r="O523" i="77"/>
  <c r="O540" i="77"/>
  <c r="O564" i="77" s="1"/>
  <c r="O520" i="77"/>
  <c r="P552" i="77"/>
  <c r="O378" i="77"/>
  <c r="O357" i="77"/>
  <c r="O381" i="77"/>
  <c r="O408" i="77" s="1"/>
  <c r="O361" i="77"/>
  <c r="O384" i="77"/>
  <c r="O411" i="77" s="1"/>
  <c r="O364" i="77"/>
  <c r="P375" i="77"/>
  <c r="P401" i="77" s="1"/>
  <c r="P354" i="77"/>
  <c r="O380" i="77"/>
  <c r="O407" i="77" s="1"/>
  <c r="O360" i="77"/>
  <c r="O388" i="77"/>
  <c r="O387" i="77"/>
  <c r="O371" i="77"/>
  <c r="O778" i="77"/>
  <c r="O805" i="77" s="1"/>
  <c r="O759" i="77"/>
  <c r="O782" i="77"/>
  <c r="O809" i="77" s="1"/>
  <c r="O763" i="77"/>
  <c r="O784" i="77"/>
  <c r="O766" i="77"/>
  <c r="O780" i="77"/>
  <c r="O807" i="77" s="1"/>
  <c r="O761" i="77"/>
  <c r="O463" i="77"/>
  <c r="O484" i="77" s="1"/>
  <c r="O447" i="77"/>
  <c r="O461" i="77"/>
  <c r="O482" i="77" s="1"/>
  <c r="O445" i="77"/>
  <c r="O466" i="77"/>
  <c r="O488" i="77" s="1"/>
  <c r="O451" i="77"/>
  <c r="O290" i="77"/>
  <c r="O311" i="77" s="1"/>
  <c r="O273" i="77"/>
  <c r="O293" i="77"/>
  <c r="O315" i="77" s="1"/>
  <c r="O277" i="77"/>
  <c r="O298" i="77"/>
  <c r="O321" i="77" s="1"/>
  <c r="O283" i="77"/>
  <c r="O295" i="77"/>
  <c r="O318" i="77" s="1"/>
  <c r="O280" i="77"/>
  <c r="P134" i="77"/>
  <c r="P1076" i="77" s="1"/>
  <c r="Q129" i="77"/>
  <c r="Q1021" i="77" s="1"/>
  <c r="P130" i="77"/>
  <c r="Q127" i="77"/>
  <c r="P128" i="77"/>
  <c r="P217" i="77"/>
  <c r="O215" i="77"/>
  <c r="O242" i="77" s="1"/>
  <c r="O196" i="77"/>
  <c r="O248" i="77"/>
  <c r="O1072" i="77" s="1"/>
  <c r="P218" i="77"/>
  <c r="O206" i="77"/>
  <c r="O231" i="77" s="1"/>
  <c r="O185" i="77"/>
  <c r="O208" i="77"/>
  <c r="O234" i="77" s="1"/>
  <c r="O188" i="77"/>
  <c r="O211" i="77"/>
  <c r="O238" i="77" s="1"/>
  <c r="O192" i="77"/>
  <c r="O94" i="77"/>
  <c r="O106" i="77" s="1"/>
  <c r="O83" i="77"/>
  <c r="O96" i="77"/>
  <c r="O108" i="77" s="1"/>
  <c r="O85" i="77"/>
  <c r="O97" i="77"/>
  <c r="O112" i="77" s="1"/>
  <c r="O89" i="77"/>
  <c r="Q60" i="77"/>
  <c r="O66" i="77"/>
  <c r="O1070" i="77" s="1"/>
  <c r="O62" i="77"/>
  <c r="O61" i="77"/>
  <c r="O996" i="77"/>
  <c r="O44" i="77"/>
  <c r="O46" i="77"/>
  <c r="O1069" i="77" s="1"/>
  <c r="P1013" i="77"/>
  <c r="P1049" i="77" s="1"/>
  <c r="P20" i="77"/>
  <c r="P23" i="77" s="1"/>
  <c r="P25" i="77"/>
  <c r="Q21" i="77"/>
  <c r="O995" i="77"/>
  <c r="O1068" i="77"/>
  <c r="O567" i="77" l="1"/>
  <c r="O404" i="77"/>
  <c r="O812" i="77"/>
  <c r="O818" i="77" s="1"/>
  <c r="O709" i="77"/>
  <c r="O714" i="77" s="1"/>
  <c r="P132" i="77"/>
  <c r="O64" i="77"/>
  <c r="P1003" i="77"/>
  <c r="P1057" i="77" s="1"/>
  <c r="O418" i="77"/>
  <c r="O1073" i="77" s="1"/>
  <c r="O245" i="77"/>
  <c r="P607" i="77"/>
  <c r="O1020" i="77"/>
  <c r="O1008" i="77"/>
  <c r="O1062" i="77" s="1"/>
  <c r="P248" i="77"/>
  <c r="P1008" i="77"/>
  <c r="P1062" i="77" s="1"/>
  <c r="Q608" i="77"/>
  <c r="Q605" i="77"/>
  <c r="Q610" i="77"/>
  <c r="P614" i="77"/>
  <c r="P1079" i="77" s="1"/>
  <c r="P1024" i="77"/>
  <c r="Q606" i="77"/>
  <c r="O1006" i="77"/>
  <c r="P677" i="77"/>
  <c r="P653" i="77"/>
  <c r="O726" i="77"/>
  <c r="O1075" i="77" s="1"/>
  <c r="Q682" i="77"/>
  <c r="Q715" i="77" s="1"/>
  <c r="Q659" i="77"/>
  <c r="P690" i="77"/>
  <c r="O665" i="77"/>
  <c r="P678" i="77"/>
  <c r="P710" i="77" s="1"/>
  <c r="P654" i="77"/>
  <c r="O721" i="77"/>
  <c r="P676" i="77"/>
  <c r="P708" i="77" s="1"/>
  <c r="P652" i="77"/>
  <c r="P680" i="77"/>
  <c r="P712" i="77" s="1"/>
  <c r="P656" i="77"/>
  <c r="P679" i="77"/>
  <c r="P711" i="77" s="1"/>
  <c r="P655" i="77"/>
  <c r="P689" i="77"/>
  <c r="P726" i="77" s="1"/>
  <c r="P670" i="77"/>
  <c r="P674" i="77"/>
  <c r="P706" i="77" s="1"/>
  <c r="P650" i="77"/>
  <c r="P681" i="77"/>
  <c r="P713" i="77" s="1"/>
  <c r="P657" i="77"/>
  <c r="P687" i="77"/>
  <c r="P720" i="77" s="1"/>
  <c r="P723" i="77" s="1"/>
  <c r="P664" i="77"/>
  <c r="P667" i="77" s="1"/>
  <c r="P683" i="77"/>
  <c r="P716" i="77" s="1"/>
  <c r="P660" i="77"/>
  <c r="O658" i="77"/>
  <c r="O668" i="77" s="1"/>
  <c r="P686" i="77"/>
  <c r="P719" i="77" s="1"/>
  <c r="P663" i="77"/>
  <c r="P544" i="77"/>
  <c r="P569" i="77" s="1"/>
  <c r="P525" i="77"/>
  <c r="P580" i="77"/>
  <c r="P548" i="77"/>
  <c r="P573" i="77" s="1"/>
  <c r="P529" i="77"/>
  <c r="Q552" i="77"/>
  <c r="P540" i="77"/>
  <c r="P564" i="77" s="1"/>
  <c r="P520" i="77"/>
  <c r="Q551" i="77"/>
  <c r="Q536" i="77"/>
  <c r="O542" i="77"/>
  <c r="O566" i="77" s="1"/>
  <c r="O568" i="77" s="1"/>
  <c r="O522" i="77"/>
  <c r="O524" i="77" s="1"/>
  <c r="P543" i="77"/>
  <c r="P523" i="77"/>
  <c r="O549" i="77"/>
  <c r="O574" i="77" s="1"/>
  <c r="O575" i="77" s="1"/>
  <c r="O530" i="77"/>
  <c r="O531" i="77" s="1"/>
  <c r="O545" i="77"/>
  <c r="O570" i="77" s="1"/>
  <c r="O526" i="77"/>
  <c r="P536" i="77"/>
  <c r="O377" i="77"/>
  <c r="O403" i="77" s="1"/>
  <c r="O356" i="77"/>
  <c r="P387" i="77"/>
  <c r="P378" i="77"/>
  <c r="P357" i="77"/>
  <c r="P388" i="77"/>
  <c r="P384" i="77"/>
  <c r="P411" i="77" s="1"/>
  <c r="P364" i="77"/>
  <c r="P381" i="77"/>
  <c r="P408" i="77" s="1"/>
  <c r="P361" i="77"/>
  <c r="O379" i="77"/>
  <c r="O405" i="77" s="1"/>
  <c r="O358" i="77"/>
  <c r="O385" i="77"/>
  <c r="O412" i="77" s="1"/>
  <c r="O415" i="77" s="1"/>
  <c r="O365" i="77"/>
  <c r="P380" i="77"/>
  <c r="P407" i="77" s="1"/>
  <c r="P360" i="77"/>
  <c r="Q375" i="77"/>
  <c r="Q401" i="77" s="1"/>
  <c r="Q354" i="77"/>
  <c r="P784" i="77"/>
  <c r="P766" i="77"/>
  <c r="P780" i="77"/>
  <c r="P807" i="77" s="1"/>
  <c r="P761" i="77"/>
  <c r="P782" i="77"/>
  <c r="P809" i="77" s="1"/>
  <c r="P763" i="77"/>
  <c r="P778" i="77"/>
  <c r="P805" i="77" s="1"/>
  <c r="P759" i="77"/>
  <c r="O776" i="77"/>
  <c r="O803" i="77" s="1"/>
  <c r="O757" i="77"/>
  <c r="O783" i="77"/>
  <c r="O810" i="77" s="1"/>
  <c r="O764" i="77"/>
  <c r="O781" i="77"/>
  <c r="O808" i="77" s="1"/>
  <c r="O762" i="77"/>
  <c r="O786" i="77"/>
  <c r="O814" i="77" s="1"/>
  <c r="O768" i="77"/>
  <c r="O772" i="77"/>
  <c r="O1080" i="77" s="1"/>
  <c r="O1025" i="77"/>
  <c r="O779" i="77"/>
  <c r="O806" i="77" s="1"/>
  <c r="O760" i="77"/>
  <c r="O464" i="77"/>
  <c r="O486" i="77" s="1"/>
  <c r="O492" i="77" s="1"/>
  <c r="O449" i="77"/>
  <c r="P463" i="77"/>
  <c r="P484" i="77" s="1"/>
  <c r="P447" i="77"/>
  <c r="P466" i="77"/>
  <c r="P488" i="77" s="1"/>
  <c r="P451" i="77"/>
  <c r="P461" i="77"/>
  <c r="P482" i="77" s="1"/>
  <c r="P445" i="77"/>
  <c r="O462" i="77"/>
  <c r="O483" i="77" s="1"/>
  <c r="O485" i="77" s="1"/>
  <c r="O446" i="77"/>
  <c r="O448" i="77" s="1"/>
  <c r="O459" i="77"/>
  <c r="O480" i="77" s="1"/>
  <c r="O443" i="77"/>
  <c r="P290" i="77"/>
  <c r="P311" i="77" s="1"/>
  <c r="P273" i="77"/>
  <c r="O292" i="77"/>
  <c r="O314" i="77" s="1"/>
  <c r="O316" i="77" s="1"/>
  <c r="O276" i="77"/>
  <c r="O278" i="77" s="1"/>
  <c r="O294" i="77"/>
  <c r="O317" i="77" s="1"/>
  <c r="O324" i="77" s="1"/>
  <c r="O279" i="77"/>
  <c r="O297" i="77"/>
  <c r="O282" i="77"/>
  <c r="P295" i="77"/>
  <c r="P318" i="77" s="1"/>
  <c r="P280" i="77"/>
  <c r="P298" i="77"/>
  <c r="P321" i="77" s="1"/>
  <c r="P283" i="77"/>
  <c r="P293" i="77"/>
  <c r="P315" i="77" s="1"/>
  <c r="P277" i="77"/>
  <c r="Q130" i="77"/>
  <c r="Q134" i="77"/>
  <c r="Q1076" i="77" s="1"/>
  <c r="Q128" i="77"/>
  <c r="R127" i="77"/>
  <c r="P196" i="77"/>
  <c r="P215" i="77"/>
  <c r="P242" i="77" s="1"/>
  <c r="O209" i="77"/>
  <c r="O235" i="77" s="1"/>
  <c r="O236" i="77" s="1"/>
  <c r="O189" i="77"/>
  <c r="O190" i="77" s="1"/>
  <c r="Q217" i="77"/>
  <c r="P206" i="77"/>
  <c r="P231" i="77" s="1"/>
  <c r="P185" i="77"/>
  <c r="P202" i="77"/>
  <c r="O199" i="77"/>
  <c r="O1017" i="77"/>
  <c r="P211" i="77"/>
  <c r="P238" i="77" s="1"/>
  <c r="P192" i="77"/>
  <c r="O195" i="77"/>
  <c r="O197" i="77" s="1"/>
  <c r="O214" i="77"/>
  <c r="O216" i="77"/>
  <c r="O244" i="77" s="1"/>
  <c r="O198" i="77"/>
  <c r="Q218" i="77"/>
  <c r="P208" i="77"/>
  <c r="P234" i="77" s="1"/>
  <c r="P188" i="77"/>
  <c r="P97" i="77"/>
  <c r="P112" i="77" s="1"/>
  <c r="P89" i="77"/>
  <c r="P94" i="77"/>
  <c r="P106" i="77" s="1"/>
  <c r="P83" i="77"/>
  <c r="O1071" i="77"/>
  <c r="O1016" i="77"/>
  <c r="P96" i="77"/>
  <c r="P108" i="77" s="1"/>
  <c r="P85" i="77"/>
  <c r="O93" i="77"/>
  <c r="O105" i="77" s="1"/>
  <c r="O110" i="77" s="1"/>
  <c r="O82" i="77"/>
  <c r="O87" i="77" s="1"/>
  <c r="P61" i="77"/>
  <c r="O1015" i="77"/>
  <c r="O989" i="77"/>
  <c r="O997" i="77"/>
  <c r="P66" i="77"/>
  <c r="P1070" i="77" s="1"/>
  <c r="P62" i="77"/>
  <c r="P996" i="77"/>
  <c r="P46" i="77"/>
  <c r="P1069" i="77" s="1"/>
  <c r="P44" i="77"/>
  <c r="O1014" i="77"/>
  <c r="O1050" i="77" s="1"/>
  <c r="Q1013" i="77"/>
  <c r="Q1049" i="77" s="1"/>
  <c r="Q25" i="77"/>
  <c r="Q20" i="77"/>
  <c r="Q23" i="77" s="1"/>
  <c r="P1068" i="77"/>
  <c r="P995" i="77"/>
  <c r="O241" i="77" l="1"/>
  <c r="O243" i="77" s="1"/>
  <c r="P567" i="77"/>
  <c r="P812" i="77"/>
  <c r="P818" i="77" s="1"/>
  <c r="O320" i="77"/>
  <c r="P404" i="77"/>
  <c r="P709" i="77"/>
  <c r="O724" i="77"/>
  <c r="P1006" i="77"/>
  <c r="P612" i="77"/>
  <c r="O578" i="77"/>
  <c r="O534" i="77"/>
  <c r="O490" i="77"/>
  <c r="O453" i="77"/>
  <c r="O246" i="77"/>
  <c r="O284" i="77"/>
  <c r="O200" i="77"/>
  <c r="O322" i="77"/>
  <c r="Q132" i="77"/>
  <c r="P64" i="77"/>
  <c r="Q1003" i="77"/>
  <c r="Q1057" i="77" s="1"/>
  <c r="O998" i="77"/>
  <c r="O1052" i="77" s="1"/>
  <c r="O999" i="77"/>
  <c r="O1053" i="77" s="1"/>
  <c r="O359" i="77"/>
  <c r="P245" i="77"/>
  <c r="P1074" i="77"/>
  <c r="P721" i="77"/>
  <c r="O1002" i="77"/>
  <c r="O1056" i="77" s="1"/>
  <c r="P665" i="77"/>
  <c r="P714" i="77"/>
  <c r="P1072" i="77"/>
  <c r="O1004" i="77"/>
  <c r="O988" i="77"/>
  <c r="O406" i="77"/>
  <c r="P658" i="77"/>
  <c r="O533" i="77"/>
  <c r="O1018" i="77"/>
  <c r="O1019" i="77"/>
  <c r="P1075" i="77"/>
  <c r="Q202" i="77"/>
  <c r="O366" i="77"/>
  <c r="Q580" i="77"/>
  <c r="Q1074" i="77" s="1"/>
  <c r="Q1008" i="77"/>
  <c r="Q1062" i="77" s="1"/>
  <c r="Q607" i="77"/>
  <c r="Q612" i="77" s="1"/>
  <c r="Q1024" i="77"/>
  <c r="Q614" i="77"/>
  <c r="Q1079" i="77" s="1"/>
  <c r="Q679" i="77"/>
  <c r="Q711" i="77" s="1"/>
  <c r="Q655" i="77"/>
  <c r="Q676" i="77"/>
  <c r="Q708" i="77" s="1"/>
  <c r="Q652" i="77"/>
  <c r="Q677" i="77"/>
  <c r="Q653" i="77"/>
  <c r="P1020" i="77"/>
  <c r="Q689" i="77"/>
  <c r="Q690" i="77"/>
  <c r="Q687" i="77"/>
  <c r="Q720" i="77" s="1"/>
  <c r="Q723" i="77" s="1"/>
  <c r="Q664" i="77"/>
  <c r="Q667" i="77" s="1"/>
  <c r="Q681" i="77"/>
  <c r="Q713" i="77" s="1"/>
  <c r="Q657" i="77"/>
  <c r="Q674" i="77"/>
  <c r="Q706" i="77" s="1"/>
  <c r="Q650" i="77"/>
  <c r="Q680" i="77"/>
  <c r="Q712" i="77" s="1"/>
  <c r="Q656" i="77"/>
  <c r="Q678" i="77"/>
  <c r="Q710" i="77" s="1"/>
  <c r="Q654" i="77"/>
  <c r="Q686" i="77"/>
  <c r="Q719" i="77" s="1"/>
  <c r="Q663" i="77"/>
  <c r="Q683" i="77"/>
  <c r="Q716" i="77" s="1"/>
  <c r="Q660" i="77"/>
  <c r="O1001" i="77"/>
  <c r="O1055" i="77" s="1"/>
  <c r="Q544" i="77"/>
  <c r="Q569" i="77" s="1"/>
  <c r="Q525" i="77"/>
  <c r="O577" i="77"/>
  <c r="P545" i="77"/>
  <c r="P570" i="77" s="1"/>
  <c r="P526" i="77"/>
  <c r="P542" i="77"/>
  <c r="P566" i="77" s="1"/>
  <c r="P568" i="77" s="1"/>
  <c r="P522" i="77"/>
  <c r="P524" i="77" s="1"/>
  <c r="Q540" i="77"/>
  <c r="Q564" i="77" s="1"/>
  <c r="Q520" i="77"/>
  <c r="Q548" i="77"/>
  <c r="Q573" i="77" s="1"/>
  <c r="Q529" i="77"/>
  <c r="P549" i="77"/>
  <c r="P574" i="77" s="1"/>
  <c r="P575" i="77" s="1"/>
  <c r="P530" i="77"/>
  <c r="P531" i="77" s="1"/>
  <c r="Q543" i="77"/>
  <c r="Q523" i="77"/>
  <c r="O413" i="77"/>
  <c r="P377" i="77"/>
  <c r="P403" i="77" s="1"/>
  <c r="P356" i="77"/>
  <c r="Q388" i="77"/>
  <c r="P379" i="77"/>
  <c r="P405" i="77" s="1"/>
  <c r="P358" i="77"/>
  <c r="P371" i="77"/>
  <c r="Q381" i="77"/>
  <c r="Q408" i="77" s="1"/>
  <c r="Q361" i="77"/>
  <c r="Q384" i="77"/>
  <c r="Q411" i="77" s="1"/>
  <c r="Q364" i="77"/>
  <c r="O368" i="77"/>
  <c r="Q378" i="77"/>
  <c r="Q357" i="77"/>
  <c r="Q380" i="77"/>
  <c r="Q407" i="77" s="1"/>
  <c r="Q360" i="77"/>
  <c r="P385" i="77"/>
  <c r="P412" i="77" s="1"/>
  <c r="P413" i="77" s="1"/>
  <c r="P365" i="77"/>
  <c r="P368" i="77" s="1"/>
  <c r="Q387" i="77"/>
  <c r="P418" i="77"/>
  <c r="Q782" i="77"/>
  <c r="Q809" i="77" s="1"/>
  <c r="Q763" i="77"/>
  <c r="Q784" i="77"/>
  <c r="Q766" i="77"/>
  <c r="O811" i="77"/>
  <c r="O816" i="77" s="1"/>
  <c r="P786" i="77"/>
  <c r="P814" i="77" s="1"/>
  <c r="P768" i="77"/>
  <c r="Q778" i="77"/>
  <c r="Q805" i="77" s="1"/>
  <c r="Q759" i="77"/>
  <c r="O765" i="77"/>
  <c r="O770" i="77" s="1"/>
  <c r="P779" i="77"/>
  <c r="P806" i="77" s="1"/>
  <c r="P760" i="77"/>
  <c r="Q780" i="77"/>
  <c r="Q807" i="77" s="1"/>
  <c r="Q761" i="77"/>
  <c r="P772" i="77"/>
  <c r="P1080" i="77" s="1"/>
  <c r="P1025" i="77"/>
  <c r="P781" i="77"/>
  <c r="P808" i="77" s="1"/>
  <c r="P762" i="77"/>
  <c r="P783" i="77"/>
  <c r="P810" i="77" s="1"/>
  <c r="P764" i="77"/>
  <c r="P776" i="77"/>
  <c r="P803" i="77" s="1"/>
  <c r="P757" i="77"/>
  <c r="P464" i="77"/>
  <c r="P486" i="77" s="1"/>
  <c r="P492" i="77" s="1"/>
  <c r="P449" i="77"/>
  <c r="Q463" i="77"/>
  <c r="Q484" i="77" s="1"/>
  <c r="Q447" i="77"/>
  <c r="Q466" i="77"/>
  <c r="Q488" i="77" s="1"/>
  <c r="Q451" i="77"/>
  <c r="O1005" i="77"/>
  <c r="P459" i="77"/>
  <c r="P480" i="77" s="1"/>
  <c r="P443" i="77"/>
  <c r="P462" i="77"/>
  <c r="P483" i="77" s="1"/>
  <c r="P485" i="77" s="1"/>
  <c r="P446" i="77"/>
  <c r="P448" i="77" s="1"/>
  <c r="Q461" i="77"/>
  <c r="Q482" i="77" s="1"/>
  <c r="Q445" i="77"/>
  <c r="O455" i="77"/>
  <c r="O1078" i="77" s="1"/>
  <c r="O1023" i="77"/>
  <c r="Q295" i="77"/>
  <c r="Q318" i="77" s="1"/>
  <c r="Q280" i="77"/>
  <c r="P297" i="77"/>
  <c r="P282" i="77"/>
  <c r="P294" i="77"/>
  <c r="P317" i="77" s="1"/>
  <c r="P324" i="77" s="1"/>
  <c r="P279" i="77"/>
  <c r="Q298" i="77"/>
  <c r="Q321" i="77" s="1"/>
  <c r="Q283" i="77"/>
  <c r="P292" i="77"/>
  <c r="P314" i="77" s="1"/>
  <c r="P316" i="77" s="1"/>
  <c r="P276" i="77"/>
  <c r="P278" i="77" s="1"/>
  <c r="O286" i="77"/>
  <c r="O1022" i="77"/>
  <c r="Q290" i="77"/>
  <c r="Q311" i="77" s="1"/>
  <c r="Q273" i="77"/>
  <c r="Q293" i="77"/>
  <c r="Q315" i="77" s="1"/>
  <c r="Q277" i="77"/>
  <c r="P216" i="77"/>
  <c r="P244" i="77" s="1"/>
  <c r="P198" i="77"/>
  <c r="Q206" i="77"/>
  <c r="Q231" i="77" s="1"/>
  <c r="Q185" i="77"/>
  <c r="P199" i="77"/>
  <c r="P1017" i="77"/>
  <c r="P209" i="77"/>
  <c r="P235" i="77" s="1"/>
  <c r="P236" i="77" s="1"/>
  <c r="P189" i="77"/>
  <c r="P190" i="77" s="1"/>
  <c r="Q215" i="77"/>
  <c r="Q242" i="77" s="1"/>
  <c r="Q196" i="77"/>
  <c r="Q208" i="77"/>
  <c r="Q234" i="77" s="1"/>
  <c r="Q188" i="77"/>
  <c r="P214" i="77"/>
  <c r="P195" i="77"/>
  <c r="P197" i="77" s="1"/>
  <c r="Q211" i="77"/>
  <c r="Q238" i="77" s="1"/>
  <c r="Q192" i="77"/>
  <c r="Q248" i="77"/>
  <c r="Q94" i="77"/>
  <c r="Q106" i="77" s="1"/>
  <c r="Q83" i="77"/>
  <c r="P1016" i="77"/>
  <c r="Q97" i="77"/>
  <c r="Q112" i="77" s="1"/>
  <c r="Q89" i="77"/>
  <c r="P1071" i="77"/>
  <c r="Q96" i="77"/>
  <c r="Q108" i="77" s="1"/>
  <c r="Q85" i="77"/>
  <c r="P93" i="77"/>
  <c r="P105" i="77" s="1"/>
  <c r="P110" i="77" s="1"/>
  <c r="P82" i="77"/>
  <c r="P87" i="77" s="1"/>
  <c r="P989" i="77"/>
  <c r="P1015" i="77"/>
  <c r="Q62" i="77"/>
  <c r="Q66" i="77"/>
  <c r="Q1070" i="77" s="1"/>
  <c r="Q61" i="77"/>
  <c r="P997" i="77"/>
  <c r="Q44" i="77"/>
  <c r="Q46" i="77"/>
  <c r="Q1069" i="77" s="1"/>
  <c r="Q996" i="77"/>
  <c r="P1014" i="77"/>
  <c r="P1050" i="77" s="1"/>
  <c r="Q995" i="77"/>
  <c r="Q1068" i="77"/>
  <c r="O1058" i="77" l="1"/>
  <c r="O1059" i="77"/>
  <c r="P241" i="77"/>
  <c r="P243" i="77" s="1"/>
  <c r="Q709" i="77"/>
  <c r="Q812" i="77"/>
  <c r="Q818" i="77" s="1"/>
  <c r="Q404" i="77"/>
  <c r="O1045" i="77"/>
  <c r="O1046" i="77" s="1"/>
  <c r="Q567" i="77"/>
  <c r="P320" i="77"/>
  <c r="P322" i="77" s="1"/>
  <c r="P724" i="77"/>
  <c r="P668" i="77"/>
  <c r="P578" i="77"/>
  <c r="P534" i="77"/>
  <c r="P490" i="77"/>
  <c r="P453" i="77"/>
  <c r="O416" i="77"/>
  <c r="O369" i="77"/>
  <c r="P200" i="77"/>
  <c r="P246" i="77"/>
  <c r="P284" i="77"/>
  <c r="O1000" i="77"/>
  <c r="O1054" i="77" s="1"/>
  <c r="Q64" i="77"/>
  <c r="P998" i="77"/>
  <c r="P1052" i="77" s="1"/>
  <c r="P999" i="77"/>
  <c r="P1053" i="77" s="1"/>
  <c r="Q245" i="77"/>
  <c r="P1002" i="77"/>
  <c r="P1056" i="77" s="1"/>
  <c r="O990" i="77"/>
  <c r="P406" i="77"/>
  <c r="P416" i="77" s="1"/>
  <c r="P359" i="77"/>
  <c r="Q1072" i="77"/>
  <c r="Q665" i="77"/>
  <c r="Q1016" i="77"/>
  <c r="P366" i="77"/>
  <c r="P533" i="77"/>
  <c r="P988" i="77"/>
  <c r="O1027" i="77"/>
  <c r="O1028" i="77" s="1"/>
  <c r="P811" i="77"/>
  <c r="P816" i="77" s="1"/>
  <c r="Q418" i="77"/>
  <c r="P1019" i="77"/>
  <c r="Q1020" i="77"/>
  <c r="Q1006" i="77"/>
  <c r="Q726" i="77"/>
  <c r="Q658" i="77"/>
  <c r="Q714" i="77"/>
  <c r="Q721" i="77"/>
  <c r="Q670" i="77"/>
  <c r="P1001" i="77"/>
  <c r="P1055" i="77" s="1"/>
  <c r="Q549" i="77"/>
  <c r="Q574" i="77" s="1"/>
  <c r="Q575" i="77" s="1"/>
  <c r="Q530" i="77"/>
  <c r="P577" i="77"/>
  <c r="Q545" i="77"/>
  <c r="Q570" i="77" s="1"/>
  <c r="Q526" i="77"/>
  <c r="Q542" i="77"/>
  <c r="Q566" i="77" s="1"/>
  <c r="Q568" i="77" s="1"/>
  <c r="Q522" i="77"/>
  <c r="Q524" i="77" s="1"/>
  <c r="Q379" i="77"/>
  <c r="Q405" i="77" s="1"/>
  <c r="Q358" i="77"/>
  <c r="Q377" i="77"/>
  <c r="Q403" i="77" s="1"/>
  <c r="Q356" i="77"/>
  <c r="Q371" i="77"/>
  <c r="P1073" i="77"/>
  <c r="Q385" i="77"/>
  <c r="Q412" i="77" s="1"/>
  <c r="Q415" i="77" s="1"/>
  <c r="Q365" i="77"/>
  <c r="Q368" i="77" s="1"/>
  <c r="P415" i="77"/>
  <c r="P1018" i="77"/>
  <c r="P765" i="77"/>
  <c r="P770" i="77" s="1"/>
  <c r="Q786" i="77"/>
  <c r="Q814" i="77" s="1"/>
  <c r="Q768" i="77"/>
  <c r="O1007" i="77"/>
  <c r="O1061" i="77" s="1"/>
  <c r="Q783" i="77"/>
  <c r="Q810" i="77" s="1"/>
  <c r="Q764" i="77"/>
  <c r="Q772" i="77"/>
  <c r="Q1080" i="77" s="1"/>
  <c r="Q1025" i="77"/>
  <c r="Q776" i="77"/>
  <c r="Q803" i="77" s="1"/>
  <c r="Q757" i="77"/>
  <c r="Q781" i="77"/>
  <c r="Q808" i="77" s="1"/>
  <c r="Q762" i="77"/>
  <c r="Q779" i="77"/>
  <c r="Q806" i="77" s="1"/>
  <c r="Q760" i="77"/>
  <c r="Q464" i="77"/>
  <c r="Q486" i="77" s="1"/>
  <c r="Q492" i="77" s="1"/>
  <c r="Q449" i="77"/>
  <c r="Q462" i="77"/>
  <c r="Q483" i="77" s="1"/>
  <c r="Q485" i="77" s="1"/>
  <c r="Q446" i="77"/>
  <c r="Q448" i="77" s="1"/>
  <c r="Q459" i="77"/>
  <c r="Q480" i="77" s="1"/>
  <c r="Q443" i="77"/>
  <c r="P455" i="77"/>
  <c r="P1078" i="77" s="1"/>
  <c r="P1023" i="77"/>
  <c r="P1005" i="77"/>
  <c r="P1059" i="77" s="1"/>
  <c r="Q297" i="77"/>
  <c r="Q282" i="77"/>
  <c r="P286" i="77"/>
  <c r="P1022" i="77"/>
  <c r="Q292" i="77"/>
  <c r="Q314" i="77" s="1"/>
  <c r="Q316" i="77" s="1"/>
  <c r="Q276" i="77"/>
  <c r="Q278" i="77" s="1"/>
  <c r="O1077" i="77"/>
  <c r="O1082" i="77" s="1"/>
  <c r="O991" i="77"/>
  <c r="Q294" i="77"/>
  <c r="Q317" i="77" s="1"/>
  <c r="Q324" i="77" s="1"/>
  <c r="Q279" i="77"/>
  <c r="Q199" i="77"/>
  <c r="Q1017" i="77"/>
  <c r="Q216" i="77"/>
  <c r="Q244" i="77" s="1"/>
  <c r="Q198" i="77"/>
  <c r="Q209" i="77"/>
  <c r="Q235" i="77" s="1"/>
  <c r="Q236" i="77" s="1"/>
  <c r="Q189" i="77"/>
  <c r="Q190" i="77" s="1"/>
  <c r="Q195" i="77"/>
  <c r="Q197" i="77" s="1"/>
  <c r="Q214" i="77"/>
  <c r="Q93" i="77"/>
  <c r="Q105" i="77" s="1"/>
  <c r="Q110" i="77" s="1"/>
  <c r="Q82" i="77"/>
  <c r="Q87" i="77" s="1"/>
  <c r="Q1071" i="77"/>
  <c r="Q997" i="77"/>
  <c r="Q989" i="77"/>
  <c r="Q1015" i="77"/>
  <c r="Q1014" i="77"/>
  <c r="Q1050" i="77" s="1"/>
  <c r="Q320" i="77" l="1"/>
  <c r="P1045" i="77"/>
  <c r="P1046" i="77" s="1"/>
  <c r="Q241" i="77"/>
  <c r="Q243" i="77" s="1"/>
  <c r="Q246" i="77" s="1"/>
  <c r="Q1045" i="77"/>
  <c r="Q1046" i="77" s="1"/>
  <c r="P1004" i="77"/>
  <c r="P1058" i="77" s="1"/>
  <c r="Q668" i="77"/>
  <c r="Q724" i="77"/>
  <c r="Q578" i="77"/>
  <c r="Q490" i="77"/>
  <c r="Q453" i="77"/>
  <c r="P369" i="77"/>
  <c r="Q200" i="77"/>
  <c r="Q284" i="77"/>
  <c r="Q322" i="77"/>
  <c r="Q998" i="77"/>
  <c r="Q1052" i="77" s="1"/>
  <c r="P1000" i="77"/>
  <c r="P1054" i="77" s="1"/>
  <c r="Q577" i="77"/>
  <c r="O1009" i="77"/>
  <c r="O1010" i="77" s="1"/>
  <c r="P1027" i="77"/>
  <c r="P1028" i="77" s="1"/>
  <c r="Q811" i="77"/>
  <c r="Q816" i="77" s="1"/>
  <c r="Q1073" i="77"/>
  <c r="Q1019" i="77"/>
  <c r="O1063" i="77"/>
  <c r="P990" i="77"/>
  <c r="Q988" i="77"/>
  <c r="Q765" i="77"/>
  <c r="Q770" i="77" s="1"/>
  <c r="P1007" i="77"/>
  <c r="P1061" i="77" s="1"/>
  <c r="Q406" i="77"/>
  <c r="Q1001" i="77"/>
  <c r="Q531" i="77"/>
  <c r="Q534" i="77" s="1"/>
  <c r="Q533" i="77"/>
  <c r="Q366" i="77"/>
  <c r="Q1018" i="77"/>
  <c r="Q1002" i="77"/>
  <c r="Q1056" i="77" s="1"/>
  <c r="Q1075" i="77"/>
  <c r="Q413" i="77"/>
  <c r="Q359" i="77"/>
  <c r="Q1005" i="77"/>
  <c r="Q455" i="77"/>
  <c r="Q1078" i="77" s="1"/>
  <c r="Q1023" i="77"/>
  <c r="Q1004" i="77"/>
  <c r="O1083" i="77"/>
  <c r="Q286" i="77"/>
  <c r="Q1022" i="77"/>
  <c r="P1077" i="77"/>
  <c r="P1082" i="77" s="1"/>
  <c r="P991" i="77"/>
  <c r="Q1055" i="77" l="1"/>
  <c r="Q1059" i="77"/>
  <c r="Q1058" i="77"/>
  <c r="O1065" i="77"/>
  <c r="O1064" i="77"/>
  <c r="Q999" i="77"/>
  <c r="Q1053" i="77" s="1"/>
  <c r="Q416" i="77"/>
  <c r="Q369" i="77"/>
  <c r="P1009" i="77"/>
  <c r="P1010" i="77" s="1"/>
  <c r="Q1007" i="77"/>
  <c r="Q1061" i="77" s="1"/>
  <c r="P1063" i="77"/>
  <c r="Q990" i="77"/>
  <c r="Q1027" i="77"/>
  <c r="Q1028" i="77" s="1"/>
  <c r="Q1000" i="77"/>
  <c r="Q1054" i="77" s="1"/>
  <c r="P1083" i="77"/>
  <c r="Q1077" i="77"/>
  <c r="Q1082" i="77" s="1"/>
  <c r="Q991" i="77"/>
  <c r="P1064" i="77" l="1"/>
  <c r="P1065" i="77"/>
  <c r="Q1009" i="77"/>
  <c r="Q1010" i="77" s="1"/>
  <c r="Q1063" i="77"/>
  <c r="Q1083" i="77"/>
  <c r="Q1065" i="77" l="1"/>
  <c r="Q1064" i="77"/>
  <c r="R698" i="77"/>
  <c r="R473" i="77"/>
  <c r="R304" i="77"/>
  <c r="R347" i="77"/>
  <c r="R639" i="77" l="1"/>
  <c r="R643" i="77"/>
  <c r="R746" i="77"/>
  <c r="R641" i="77"/>
  <c r="R696" i="77"/>
  <c r="R748" i="77"/>
  <c r="R750" i="77"/>
  <c r="R178" i="77"/>
  <c r="R266" i="77"/>
  <c r="R436" i="77"/>
  <c r="R596" i="77"/>
  <c r="R394" i="77"/>
  <c r="R695" i="77"/>
  <c r="R697" i="77"/>
  <c r="R699" i="77"/>
  <c r="R557" i="77"/>
  <c r="R513" i="77"/>
  <c r="R224" i="77"/>
  <c r="R177" i="77"/>
  <c r="R265" i="77"/>
  <c r="R435" i="77"/>
  <c r="R747" i="77"/>
  <c r="R749" i="77"/>
  <c r="R346" i="77"/>
  <c r="R640" i="77"/>
  <c r="R642" i="77"/>
  <c r="R223" i="77"/>
  <c r="R303" i="77"/>
  <c r="R472" i="77"/>
  <c r="R393" i="77"/>
  <c r="N971" i="77"/>
  <c r="N983" i="77" s="1"/>
  <c r="M971" i="77"/>
  <c r="M983" i="77" s="1"/>
  <c r="L971" i="77"/>
  <c r="L983" i="77" s="1"/>
  <c r="K971" i="77"/>
  <c r="K983" i="77" s="1"/>
  <c r="J971" i="77"/>
  <c r="J983" i="77" s="1"/>
  <c r="I971" i="77"/>
  <c r="I983" i="77" s="1"/>
  <c r="H971" i="77"/>
  <c r="H983" i="77" s="1"/>
  <c r="G971" i="77"/>
  <c r="G983" i="77" s="1"/>
  <c r="N886" i="77"/>
  <c r="N902" i="77" s="1"/>
  <c r="M886" i="77"/>
  <c r="M902" i="77" s="1"/>
  <c r="L886" i="77"/>
  <c r="L902" i="77" s="1"/>
  <c r="K886" i="77"/>
  <c r="K902" i="77" s="1"/>
  <c r="J886" i="77"/>
  <c r="J902" i="77" s="1"/>
  <c r="I886" i="77"/>
  <c r="I902" i="77" s="1"/>
  <c r="H886" i="77"/>
  <c r="H902" i="77" s="1"/>
  <c r="G886" i="77"/>
  <c r="G902" i="77" s="1"/>
  <c r="N702" i="77"/>
  <c r="N970" i="77" s="1"/>
  <c r="M702" i="77"/>
  <c r="M970" i="77" s="1"/>
  <c r="L702" i="77"/>
  <c r="L970" i="77" s="1"/>
  <c r="K702" i="77"/>
  <c r="K970" i="77" s="1"/>
  <c r="J702" i="77"/>
  <c r="J970" i="77" s="1"/>
  <c r="I702" i="77"/>
  <c r="I970" i="77" s="1"/>
  <c r="H702" i="77"/>
  <c r="H970" i="77" s="1"/>
  <c r="G702" i="77"/>
  <c r="G970" i="77" s="1"/>
  <c r="F702" i="77"/>
  <c r="N693" i="77"/>
  <c r="N885" i="77" s="1"/>
  <c r="M693" i="77"/>
  <c r="M885" i="77" s="1"/>
  <c r="L693" i="77"/>
  <c r="L885" i="77" s="1"/>
  <c r="K693" i="77"/>
  <c r="K885" i="77" s="1"/>
  <c r="J693" i="77"/>
  <c r="J885" i="77" s="1"/>
  <c r="I693" i="77"/>
  <c r="I885" i="77" s="1"/>
  <c r="H693" i="77"/>
  <c r="H885" i="77" s="1"/>
  <c r="G693" i="77"/>
  <c r="G885" i="77" s="1"/>
  <c r="F693" i="77"/>
  <c r="N690" i="77"/>
  <c r="M690" i="77"/>
  <c r="L690" i="77"/>
  <c r="K690" i="77"/>
  <c r="J690" i="77"/>
  <c r="I690" i="77"/>
  <c r="H690" i="77"/>
  <c r="G690" i="77"/>
  <c r="F690" i="77"/>
  <c r="N689" i="77"/>
  <c r="M689" i="77"/>
  <c r="L689" i="77"/>
  <c r="K689" i="77"/>
  <c r="J689" i="77"/>
  <c r="I689" i="77"/>
  <c r="H689" i="77"/>
  <c r="G689" i="77"/>
  <c r="F689" i="77"/>
  <c r="N687" i="77"/>
  <c r="M687" i="77"/>
  <c r="L687" i="77"/>
  <c r="K687" i="77"/>
  <c r="J687" i="77"/>
  <c r="I687" i="77"/>
  <c r="H687" i="77"/>
  <c r="G687" i="77"/>
  <c r="F687" i="77"/>
  <c r="N686" i="77"/>
  <c r="M686" i="77"/>
  <c r="L686" i="77"/>
  <c r="K686" i="77"/>
  <c r="J686" i="77"/>
  <c r="I686" i="77"/>
  <c r="H686" i="77"/>
  <c r="G686" i="77"/>
  <c r="F686" i="77"/>
  <c r="N683" i="77"/>
  <c r="M683" i="77"/>
  <c r="L683" i="77"/>
  <c r="K683" i="77"/>
  <c r="J683" i="77"/>
  <c r="I683" i="77"/>
  <c r="H683" i="77"/>
  <c r="G683" i="77"/>
  <c r="F683" i="77"/>
  <c r="N682" i="77"/>
  <c r="M682" i="77"/>
  <c r="L682" i="77"/>
  <c r="K682" i="77"/>
  <c r="J682" i="77"/>
  <c r="I682" i="77"/>
  <c r="H682" i="77"/>
  <c r="G682" i="77"/>
  <c r="F682" i="77"/>
  <c r="N681" i="77"/>
  <c r="M681" i="77"/>
  <c r="L681" i="77"/>
  <c r="K681" i="77"/>
  <c r="J681" i="77"/>
  <c r="I681" i="77"/>
  <c r="H681" i="77"/>
  <c r="G681" i="77"/>
  <c r="F681" i="77"/>
  <c r="N680" i="77"/>
  <c r="N712" i="77" s="1"/>
  <c r="M680" i="77"/>
  <c r="M712" i="77" s="1"/>
  <c r="L680" i="77"/>
  <c r="L712" i="77" s="1"/>
  <c r="K680" i="77"/>
  <c r="K712" i="77" s="1"/>
  <c r="J680" i="77"/>
  <c r="J712" i="77" s="1"/>
  <c r="I680" i="77"/>
  <c r="I712" i="77" s="1"/>
  <c r="H680" i="77"/>
  <c r="H712" i="77" s="1"/>
  <c r="G680" i="77"/>
  <c r="G712" i="77" s="1"/>
  <c r="F680" i="77"/>
  <c r="F712" i="77" s="1"/>
  <c r="N679" i="77"/>
  <c r="N711" i="77" s="1"/>
  <c r="M679" i="77"/>
  <c r="M711" i="77" s="1"/>
  <c r="L679" i="77"/>
  <c r="L711" i="77" s="1"/>
  <c r="K679" i="77"/>
  <c r="K711" i="77" s="1"/>
  <c r="J679" i="77"/>
  <c r="J711" i="77" s="1"/>
  <c r="I679" i="77"/>
  <c r="I711" i="77" s="1"/>
  <c r="H679" i="77"/>
  <c r="H711" i="77" s="1"/>
  <c r="G679" i="77"/>
  <c r="G711" i="77" s="1"/>
  <c r="F679" i="77"/>
  <c r="F711" i="77" s="1"/>
  <c r="N678" i="77"/>
  <c r="N710" i="77" s="1"/>
  <c r="M678" i="77"/>
  <c r="M710" i="77" s="1"/>
  <c r="L678" i="77"/>
  <c r="L710" i="77" s="1"/>
  <c r="K678" i="77"/>
  <c r="K710" i="77" s="1"/>
  <c r="J678" i="77"/>
  <c r="J710" i="77" s="1"/>
  <c r="I678" i="77"/>
  <c r="I710" i="77" s="1"/>
  <c r="H678" i="77"/>
  <c r="H710" i="77" s="1"/>
  <c r="G678" i="77"/>
  <c r="G710" i="77" s="1"/>
  <c r="F678" i="77"/>
  <c r="F710" i="77" s="1"/>
  <c r="N677" i="77"/>
  <c r="M677" i="77"/>
  <c r="L677" i="77"/>
  <c r="K677" i="77"/>
  <c r="J677" i="77"/>
  <c r="I677" i="77"/>
  <c r="H677" i="77"/>
  <c r="G677" i="77"/>
  <c r="F677" i="77"/>
  <c r="N676" i="77"/>
  <c r="N708" i="77" s="1"/>
  <c r="M676" i="77"/>
  <c r="M708" i="77" s="1"/>
  <c r="L676" i="77"/>
  <c r="L708" i="77" s="1"/>
  <c r="K676" i="77"/>
  <c r="K708" i="77" s="1"/>
  <c r="J676" i="77"/>
  <c r="J708" i="77" s="1"/>
  <c r="I676" i="77"/>
  <c r="I708" i="77" s="1"/>
  <c r="H676" i="77"/>
  <c r="H708" i="77" s="1"/>
  <c r="G676" i="77"/>
  <c r="G708" i="77" s="1"/>
  <c r="F676" i="77"/>
  <c r="F708" i="77" s="1"/>
  <c r="N674" i="77"/>
  <c r="M674" i="77"/>
  <c r="L674" i="77"/>
  <c r="K674" i="77"/>
  <c r="J674" i="77"/>
  <c r="I674" i="77"/>
  <c r="H674" i="77"/>
  <c r="G674" i="77"/>
  <c r="F674" i="77"/>
  <c r="N576" i="77"/>
  <c r="M576" i="77"/>
  <c r="L576" i="77"/>
  <c r="K576" i="77"/>
  <c r="J576" i="77"/>
  <c r="I576" i="77"/>
  <c r="H576" i="77"/>
  <c r="G576" i="77"/>
  <c r="F576" i="77"/>
  <c r="N560" i="77"/>
  <c r="N969" i="77" s="1"/>
  <c r="M560" i="77"/>
  <c r="M969" i="77" s="1"/>
  <c r="L560" i="77"/>
  <c r="L969" i="77" s="1"/>
  <c r="K560" i="77"/>
  <c r="K969" i="77" s="1"/>
  <c r="J560" i="77"/>
  <c r="J969" i="77" s="1"/>
  <c r="I560" i="77"/>
  <c r="I969" i="77" s="1"/>
  <c r="H560" i="77"/>
  <c r="H969" i="77" s="1"/>
  <c r="G560" i="77"/>
  <c r="G969" i="77" s="1"/>
  <c r="F560" i="77"/>
  <c r="N555" i="77"/>
  <c r="N884" i="77" s="1"/>
  <c r="M555" i="77"/>
  <c r="M884" i="77" s="1"/>
  <c r="L555" i="77"/>
  <c r="L884" i="77" s="1"/>
  <c r="K555" i="77"/>
  <c r="K884" i="77" s="1"/>
  <c r="J555" i="77"/>
  <c r="J884" i="77" s="1"/>
  <c r="I555" i="77"/>
  <c r="I884" i="77" s="1"/>
  <c r="H555" i="77"/>
  <c r="H884" i="77" s="1"/>
  <c r="G555" i="77"/>
  <c r="G884" i="77" s="1"/>
  <c r="F555" i="77"/>
  <c r="N552" i="77"/>
  <c r="M552" i="77"/>
  <c r="L552" i="77"/>
  <c r="K552" i="77"/>
  <c r="J552" i="77"/>
  <c r="I552" i="77"/>
  <c r="H552" i="77"/>
  <c r="G552" i="77"/>
  <c r="F552" i="77"/>
  <c r="N551" i="77"/>
  <c r="M551" i="77"/>
  <c r="L551" i="77"/>
  <c r="K551" i="77"/>
  <c r="J551" i="77"/>
  <c r="I551" i="77"/>
  <c r="H551" i="77"/>
  <c r="G551" i="77"/>
  <c r="F551" i="77"/>
  <c r="N549" i="77"/>
  <c r="M549" i="77"/>
  <c r="L549" i="77"/>
  <c r="K549" i="77"/>
  <c r="J549" i="77"/>
  <c r="I549" i="77"/>
  <c r="H549" i="77"/>
  <c r="G549" i="77"/>
  <c r="F549" i="77"/>
  <c r="N548" i="77"/>
  <c r="M548" i="77"/>
  <c r="L548" i="77"/>
  <c r="K548" i="77"/>
  <c r="J548" i="77"/>
  <c r="I548" i="77"/>
  <c r="H548" i="77"/>
  <c r="G548" i="77"/>
  <c r="F548" i="77"/>
  <c r="N545" i="77"/>
  <c r="M545" i="77"/>
  <c r="L545" i="77"/>
  <c r="K545" i="77"/>
  <c r="J545" i="77"/>
  <c r="I545" i="77"/>
  <c r="H545" i="77"/>
  <c r="G545" i="77"/>
  <c r="F545" i="77"/>
  <c r="N544" i="77"/>
  <c r="M544" i="77"/>
  <c r="L544" i="77"/>
  <c r="K544" i="77"/>
  <c r="J544" i="77"/>
  <c r="I544" i="77"/>
  <c r="H544" i="77"/>
  <c r="G544" i="77"/>
  <c r="F544" i="77"/>
  <c r="N543" i="77"/>
  <c r="M543" i="77"/>
  <c r="L543" i="77"/>
  <c r="K543" i="77"/>
  <c r="J543" i="77"/>
  <c r="I543" i="77"/>
  <c r="H543" i="77"/>
  <c r="G543" i="77"/>
  <c r="F543" i="77"/>
  <c r="N542" i="77"/>
  <c r="N566" i="77" s="1"/>
  <c r="M542" i="77"/>
  <c r="M566" i="77" s="1"/>
  <c r="L542" i="77"/>
  <c r="L566" i="77" s="1"/>
  <c r="K542" i="77"/>
  <c r="K566" i="77" s="1"/>
  <c r="J542" i="77"/>
  <c r="J566" i="77" s="1"/>
  <c r="I542" i="77"/>
  <c r="I566" i="77" s="1"/>
  <c r="H542" i="77"/>
  <c r="H566" i="77" s="1"/>
  <c r="G542" i="77"/>
  <c r="G566" i="77" s="1"/>
  <c r="F542" i="77"/>
  <c r="F566" i="77" s="1"/>
  <c r="N540" i="77"/>
  <c r="M540" i="77"/>
  <c r="L540" i="77"/>
  <c r="K540" i="77"/>
  <c r="J540" i="77"/>
  <c r="I540" i="77"/>
  <c r="H540" i="77"/>
  <c r="G540" i="77"/>
  <c r="F540" i="77"/>
  <c r="N414" i="77"/>
  <c r="M414" i="77"/>
  <c r="L414" i="77"/>
  <c r="K414" i="77"/>
  <c r="J414" i="77"/>
  <c r="I414" i="77"/>
  <c r="H414" i="77"/>
  <c r="G414" i="77"/>
  <c r="F414" i="77"/>
  <c r="N968" i="77"/>
  <c r="M968" i="77"/>
  <c r="L968" i="77"/>
  <c r="K968" i="77"/>
  <c r="J968" i="77"/>
  <c r="I968" i="77"/>
  <c r="H968" i="77"/>
  <c r="G968" i="77"/>
  <c r="N883" i="77"/>
  <c r="M883" i="77"/>
  <c r="L883" i="77"/>
  <c r="K883" i="77"/>
  <c r="J883" i="77"/>
  <c r="I883" i="77"/>
  <c r="H883" i="77"/>
  <c r="G883" i="77"/>
  <c r="N388" i="77"/>
  <c r="M388" i="77"/>
  <c r="L388" i="77"/>
  <c r="K388" i="77"/>
  <c r="J388" i="77"/>
  <c r="I388" i="77"/>
  <c r="H388" i="77"/>
  <c r="G388" i="77"/>
  <c r="F388" i="77"/>
  <c r="N387" i="77"/>
  <c r="M387" i="77"/>
  <c r="L387" i="77"/>
  <c r="K387" i="77"/>
  <c r="J387" i="77"/>
  <c r="I387" i="77"/>
  <c r="H387" i="77"/>
  <c r="G387" i="77"/>
  <c r="F387" i="77"/>
  <c r="N385" i="77"/>
  <c r="N412" i="77" s="1"/>
  <c r="M385" i="77"/>
  <c r="M412" i="77" s="1"/>
  <c r="L385" i="77"/>
  <c r="L412" i="77" s="1"/>
  <c r="K385" i="77"/>
  <c r="K412" i="77" s="1"/>
  <c r="J385" i="77"/>
  <c r="J412" i="77" s="1"/>
  <c r="I385" i="77"/>
  <c r="I412" i="77" s="1"/>
  <c r="H385" i="77"/>
  <c r="H412" i="77" s="1"/>
  <c r="G385" i="77"/>
  <c r="G412" i="77" s="1"/>
  <c r="F385" i="77"/>
  <c r="F412" i="77" s="1"/>
  <c r="N384" i="77"/>
  <c r="M384" i="77"/>
  <c r="L384" i="77"/>
  <c r="K384" i="77"/>
  <c r="J384" i="77"/>
  <c r="I384" i="77"/>
  <c r="H384" i="77"/>
  <c r="G384" i="77"/>
  <c r="F384" i="77"/>
  <c r="N381" i="77"/>
  <c r="M381" i="77"/>
  <c r="L381" i="77"/>
  <c r="K381" i="77"/>
  <c r="J381" i="77"/>
  <c r="I381" i="77"/>
  <c r="H381" i="77"/>
  <c r="G381" i="77"/>
  <c r="F381" i="77"/>
  <c r="N380" i="77"/>
  <c r="M380" i="77"/>
  <c r="L380" i="77"/>
  <c r="K380" i="77"/>
  <c r="J380" i="77"/>
  <c r="I380" i="77"/>
  <c r="H380" i="77"/>
  <c r="G380" i="77"/>
  <c r="F380" i="77"/>
  <c r="N379" i="77"/>
  <c r="M379" i="77"/>
  <c r="L379" i="77"/>
  <c r="K379" i="77"/>
  <c r="J379" i="77"/>
  <c r="I379" i="77"/>
  <c r="H379" i="77"/>
  <c r="G379" i="77"/>
  <c r="F379" i="77"/>
  <c r="N378" i="77"/>
  <c r="M378" i="77"/>
  <c r="L378" i="77"/>
  <c r="K378" i="77"/>
  <c r="J378" i="77"/>
  <c r="I378" i="77"/>
  <c r="H378" i="77"/>
  <c r="G378" i="77"/>
  <c r="F378" i="77"/>
  <c r="N377" i="77"/>
  <c r="N403" i="77" s="1"/>
  <c r="M377" i="77"/>
  <c r="M403" i="77" s="1"/>
  <c r="L377" i="77"/>
  <c r="L403" i="77" s="1"/>
  <c r="K377" i="77"/>
  <c r="K403" i="77" s="1"/>
  <c r="J377" i="77"/>
  <c r="J403" i="77" s="1"/>
  <c r="I377" i="77"/>
  <c r="I403" i="77" s="1"/>
  <c r="H377" i="77"/>
  <c r="H403" i="77" s="1"/>
  <c r="G377" i="77"/>
  <c r="G403" i="77" s="1"/>
  <c r="F377" i="77"/>
  <c r="F403" i="77" s="1"/>
  <c r="N375" i="77"/>
  <c r="N401" i="77" s="1"/>
  <c r="M375" i="77"/>
  <c r="M401" i="77" s="1"/>
  <c r="L375" i="77"/>
  <c r="L401" i="77" s="1"/>
  <c r="K375" i="77"/>
  <c r="K401" i="77" s="1"/>
  <c r="J375" i="77"/>
  <c r="J401" i="77" s="1"/>
  <c r="I375" i="77"/>
  <c r="I401" i="77" s="1"/>
  <c r="H375" i="77"/>
  <c r="H401" i="77" s="1"/>
  <c r="G375" i="77"/>
  <c r="G401" i="77" s="1"/>
  <c r="F375" i="77"/>
  <c r="F401" i="77" s="1"/>
  <c r="N815" i="77"/>
  <c r="M815" i="77"/>
  <c r="L815" i="77"/>
  <c r="K815" i="77"/>
  <c r="J815" i="77"/>
  <c r="I815" i="77"/>
  <c r="H815" i="77"/>
  <c r="G815" i="77"/>
  <c r="F815" i="77"/>
  <c r="N967" i="77"/>
  <c r="M967" i="77"/>
  <c r="L967" i="77"/>
  <c r="K967" i="77"/>
  <c r="J967" i="77"/>
  <c r="I967" i="77"/>
  <c r="H967" i="77"/>
  <c r="G967" i="77"/>
  <c r="F967" i="77"/>
  <c r="N882" i="77"/>
  <c r="M882" i="77"/>
  <c r="L882" i="77"/>
  <c r="K882" i="77"/>
  <c r="J882" i="77"/>
  <c r="I882" i="77"/>
  <c r="H882" i="77"/>
  <c r="G882" i="77"/>
  <c r="F882" i="77"/>
  <c r="N786" i="77"/>
  <c r="M786" i="77"/>
  <c r="M814" i="77" s="1"/>
  <c r="L786" i="77"/>
  <c r="K786" i="77"/>
  <c r="K814" i="77" s="1"/>
  <c r="J786" i="77"/>
  <c r="I786" i="77"/>
  <c r="I814" i="77" s="1"/>
  <c r="H786" i="77"/>
  <c r="G786" i="77"/>
  <c r="G814" i="77" s="1"/>
  <c r="F786" i="77"/>
  <c r="N784" i="77"/>
  <c r="M784" i="77"/>
  <c r="L784" i="77"/>
  <c r="K784" i="77"/>
  <c r="J784" i="77"/>
  <c r="I784" i="77"/>
  <c r="H784" i="77"/>
  <c r="G784" i="77"/>
  <c r="F784" i="77"/>
  <c r="N783" i="77"/>
  <c r="M783" i="77"/>
  <c r="L783" i="77"/>
  <c r="K783" i="77"/>
  <c r="J783" i="77"/>
  <c r="I783" i="77"/>
  <c r="H783" i="77"/>
  <c r="G783" i="77"/>
  <c r="F783" i="77"/>
  <c r="N782" i="77"/>
  <c r="N809" i="77" s="1"/>
  <c r="M782" i="77"/>
  <c r="M809" i="77" s="1"/>
  <c r="L782" i="77"/>
  <c r="L809" i="77" s="1"/>
  <c r="K782" i="77"/>
  <c r="K809" i="77" s="1"/>
  <c r="J782" i="77"/>
  <c r="J809" i="77" s="1"/>
  <c r="I782" i="77"/>
  <c r="I809" i="77" s="1"/>
  <c r="H782" i="77"/>
  <c r="H809" i="77" s="1"/>
  <c r="G782" i="77"/>
  <c r="G809" i="77" s="1"/>
  <c r="F782" i="77"/>
  <c r="F809" i="77" s="1"/>
  <c r="N781" i="77"/>
  <c r="N808" i="77" s="1"/>
  <c r="M781" i="77"/>
  <c r="M808" i="77" s="1"/>
  <c r="L781" i="77"/>
  <c r="L808" i="77" s="1"/>
  <c r="K781" i="77"/>
  <c r="K808" i="77" s="1"/>
  <c r="J781" i="77"/>
  <c r="J808" i="77" s="1"/>
  <c r="I781" i="77"/>
  <c r="I808" i="77" s="1"/>
  <c r="H781" i="77"/>
  <c r="H808" i="77" s="1"/>
  <c r="G781" i="77"/>
  <c r="G808" i="77" s="1"/>
  <c r="F781" i="77"/>
  <c r="F808" i="77" s="1"/>
  <c r="N780" i="77"/>
  <c r="N807" i="77" s="1"/>
  <c r="M780" i="77"/>
  <c r="M807" i="77" s="1"/>
  <c r="L780" i="77"/>
  <c r="L807" i="77" s="1"/>
  <c r="K780" i="77"/>
  <c r="K807" i="77" s="1"/>
  <c r="J780" i="77"/>
  <c r="J807" i="77" s="1"/>
  <c r="I780" i="77"/>
  <c r="I807" i="77" s="1"/>
  <c r="H780" i="77"/>
  <c r="H807" i="77" s="1"/>
  <c r="G780" i="77"/>
  <c r="G807" i="77" s="1"/>
  <c r="F780" i="77"/>
  <c r="F807" i="77" s="1"/>
  <c r="N779" i="77"/>
  <c r="N806" i="77" s="1"/>
  <c r="M779" i="77"/>
  <c r="M806" i="77" s="1"/>
  <c r="L779" i="77"/>
  <c r="L806" i="77" s="1"/>
  <c r="K779" i="77"/>
  <c r="K806" i="77" s="1"/>
  <c r="J779" i="77"/>
  <c r="J806" i="77" s="1"/>
  <c r="I779" i="77"/>
  <c r="I806" i="77" s="1"/>
  <c r="H779" i="77"/>
  <c r="H806" i="77" s="1"/>
  <c r="G779" i="77"/>
  <c r="G806" i="77" s="1"/>
  <c r="F779" i="77"/>
  <c r="F806" i="77" s="1"/>
  <c r="N778" i="77"/>
  <c r="N805" i="77" s="1"/>
  <c r="M778" i="77"/>
  <c r="M805" i="77" s="1"/>
  <c r="L778" i="77"/>
  <c r="L805" i="77" s="1"/>
  <c r="K778" i="77"/>
  <c r="K805" i="77" s="1"/>
  <c r="J778" i="77"/>
  <c r="J805" i="77" s="1"/>
  <c r="I778" i="77"/>
  <c r="I805" i="77" s="1"/>
  <c r="H778" i="77"/>
  <c r="H805" i="77" s="1"/>
  <c r="G778" i="77"/>
  <c r="G805" i="77" s="1"/>
  <c r="F778" i="77"/>
  <c r="F805" i="77" s="1"/>
  <c r="N776" i="77"/>
  <c r="N803" i="77" s="1"/>
  <c r="M776" i="77"/>
  <c r="M803" i="77" s="1"/>
  <c r="L776" i="77"/>
  <c r="L803" i="77" s="1"/>
  <c r="K776" i="77"/>
  <c r="K803" i="77" s="1"/>
  <c r="J776" i="77"/>
  <c r="J803" i="77" s="1"/>
  <c r="I776" i="77"/>
  <c r="I803" i="77" s="1"/>
  <c r="H776" i="77"/>
  <c r="H803" i="77" s="1"/>
  <c r="G776" i="77"/>
  <c r="G803" i="77" s="1"/>
  <c r="F776" i="77"/>
  <c r="F803" i="77" s="1"/>
  <c r="N611" i="77"/>
  <c r="M611" i="77"/>
  <c r="L611" i="77"/>
  <c r="K611" i="77"/>
  <c r="J611" i="77"/>
  <c r="I611" i="77"/>
  <c r="H611" i="77"/>
  <c r="G611" i="77"/>
  <c r="F611" i="77"/>
  <c r="N605" i="77"/>
  <c r="M605" i="77"/>
  <c r="L605" i="77"/>
  <c r="K605" i="77"/>
  <c r="J605" i="77"/>
  <c r="I605" i="77"/>
  <c r="H605" i="77"/>
  <c r="G605" i="77"/>
  <c r="F605" i="77"/>
  <c r="N599" i="77"/>
  <c r="N966" i="77" s="1"/>
  <c r="N981" i="77" s="1"/>
  <c r="M599" i="77"/>
  <c r="M966" i="77" s="1"/>
  <c r="M981" i="77" s="1"/>
  <c r="L599" i="77"/>
  <c r="L966" i="77" s="1"/>
  <c r="L981" i="77" s="1"/>
  <c r="K599" i="77"/>
  <c r="K966" i="77" s="1"/>
  <c r="K981" i="77" s="1"/>
  <c r="J599" i="77"/>
  <c r="J966" i="77" s="1"/>
  <c r="J981" i="77" s="1"/>
  <c r="I599" i="77"/>
  <c r="I966" i="77" s="1"/>
  <c r="I981" i="77" s="1"/>
  <c r="H599" i="77"/>
  <c r="H966" i="77" s="1"/>
  <c r="H981" i="77" s="1"/>
  <c r="G599" i="77"/>
  <c r="G966" i="77" s="1"/>
  <c r="G981" i="77" s="1"/>
  <c r="F599" i="77"/>
  <c r="N594" i="77"/>
  <c r="N881" i="77" s="1"/>
  <c r="N900" i="77" s="1"/>
  <c r="M594" i="77"/>
  <c r="M881" i="77" s="1"/>
  <c r="M900" i="77" s="1"/>
  <c r="L594" i="77"/>
  <c r="L881" i="77" s="1"/>
  <c r="L900" i="77" s="1"/>
  <c r="K594" i="77"/>
  <c r="K881" i="77" s="1"/>
  <c r="K900" i="77" s="1"/>
  <c r="J594" i="77"/>
  <c r="J881" i="77" s="1"/>
  <c r="J900" i="77" s="1"/>
  <c r="I594" i="77"/>
  <c r="I881" i="77" s="1"/>
  <c r="I900" i="77" s="1"/>
  <c r="H594" i="77"/>
  <c r="H881" i="77" s="1"/>
  <c r="H900" i="77" s="1"/>
  <c r="G594" i="77"/>
  <c r="G881" i="77" s="1"/>
  <c r="G900" i="77" s="1"/>
  <c r="F594" i="77"/>
  <c r="N489" i="77"/>
  <c r="M489" i="77"/>
  <c r="L489" i="77"/>
  <c r="K489" i="77"/>
  <c r="J489" i="77"/>
  <c r="I489" i="77"/>
  <c r="H489" i="77"/>
  <c r="G489" i="77"/>
  <c r="F489" i="77"/>
  <c r="N965" i="77"/>
  <c r="M965" i="77"/>
  <c r="L965" i="77"/>
  <c r="K965" i="77"/>
  <c r="J965" i="77"/>
  <c r="I965" i="77"/>
  <c r="H965" i="77"/>
  <c r="G965" i="77"/>
  <c r="N880" i="77"/>
  <c r="M880" i="77"/>
  <c r="L880" i="77"/>
  <c r="K880" i="77"/>
  <c r="J880" i="77"/>
  <c r="I880" i="77"/>
  <c r="H880" i="77"/>
  <c r="G880" i="77"/>
  <c r="N466" i="77"/>
  <c r="N488" i="77" s="1"/>
  <c r="M466" i="77"/>
  <c r="M488" i="77" s="1"/>
  <c r="L466" i="77"/>
  <c r="L488" i="77" s="1"/>
  <c r="K466" i="77"/>
  <c r="K488" i="77" s="1"/>
  <c r="J466" i="77"/>
  <c r="J488" i="77" s="1"/>
  <c r="I466" i="77"/>
  <c r="I488" i="77" s="1"/>
  <c r="H466" i="77"/>
  <c r="H488" i="77" s="1"/>
  <c r="G466" i="77"/>
  <c r="G488" i="77" s="1"/>
  <c r="F466" i="77"/>
  <c r="F488" i="77" s="1"/>
  <c r="N464" i="77"/>
  <c r="M464" i="77"/>
  <c r="L464" i="77"/>
  <c r="K464" i="77"/>
  <c r="J464" i="77"/>
  <c r="I464" i="77"/>
  <c r="H464" i="77"/>
  <c r="G464" i="77"/>
  <c r="F464" i="77"/>
  <c r="N463" i="77"/>
  <c r="M463" i="77"/>
  <c r="L463" i="77"/>
  <c r="K463" i="77"/>
  <c r="J463" i="77"/>
  <c r="I463" i="77"/>
  <c r="H463" i="77"/>
  <c r="G463" i="77"/>
  <c r="F463" i="77"/>
  <c r="N462" i="77"/>
  <c r="N483" i="77" s="1"/>
  <c r="M462" i="77"/>
  <c r="M483" i="77" s="1"/>
  <c r="L462" i="77"/>
  <c r="L483" i="77" s="1"/>
  <c r="K462" i="77"/>
  <c r="K483" i="77" s="1"/>
  <c r="J462" i="77"/>
  <c r="J483" i="77" s="1"/>
  <c r="I462" i="77"/>
  <c r="I483" i="77" s="1"/>
  <c r="H462" i="77"/>
  <c r="H483" i="77" s="1"/>
  <c r="G462" i="77"/>
  <c r="G483" i="77" s="1"/>
  <c r="F462" i="77"/>
  <c r="F483" i="77" s="1"/>
  <c r="N461" i="77"/>
  <c r="N482" i="77" s="1"/>
  <c r="M461" i="77"/>
  <c r="M482" i="77" s="1"/>
  <c r="L461" i="77"/>
  <c r="L482" i="77" s="1"/>
  <c r="K461" i="77"/>
  <c r="K482" i="77" s="1"/>
  <c r="J461" i="77"/>
  <c r="J482" i="77" s="1"/>
  <c r="I461" i="77"/>
  <c r="I482" i="77" s="1"/>
  <c r="H461" i="77"/>
  <c r="H482" i="77" s="1"/>
  <c r="G461" i="77"/>
  <c r="G482" i="77" s="1"/>
  <c r="F461" i="77"/>
  <c r="F482" i="77" s="1"/>
  <c r="N459" i="77"/>
  <c r="N480" i="77" s="1"/>
  <c r="M459" i="77"/>
  <c r="M480" i="77" s="1"/>
  <c r="L459" i="77"/>
  <c r="L480" i="77" s="1"/>
  <c r="K459" i="77"/>
  <c r="K480" i="77" s="1"/>
  <c r="J459" i="77"/>
  <c r="J480" i="77" s="1"/>
  <c r="I459" i="77"/>
  <c r="I480" i="77" s="1"/>
  <c r="H459" i="77"/>
  <c r="H480" i="77" s="1"/>
  <c r="G459" i="77"/>
  <c r="G480" i="77" s="1"/>
  <c r="F459" i="77"/>
  <c r="F480" i="77" s="1"/>
  <c r="N964" i="77"/>
  <c r="M964" i="77"/>
  <c r="L964" i="77"/>
  <c r="K964" i="77"/>
  <c r="J964" i="77"/>
  <c r="I964" i="77"/>
  <c r="H964" i="77"/>
  <c r="G964" i="77"/>
  <c r="N879" i="77"/>
  <c r="M879" i="77"/>
  <c r="L879" i="77"/>
  <c r="K879" i="77"/>
  <c r="J879" i="77"/>
  <c r="I879" i="77"/>
  <c r="H879" i="77"/>
  <c r="G879" i="77"/>
  <c r="N298" i="77"/>
  <c r="M298" i="77"/>
  <c r="L298" i="77"/>
  <c r="K298" i="77"/>
  <c r="J298" i="77"/>
  <c r="I298" i="77"/>
  <c r="H298" i="77"/>
  <c r="G298" i="77"/>
  <c r="F298" i="77"/>
  <c r="N297" i="77"/>
  <c r="M297" i="77"/>
  <c r="L297" i="77"/>
  <c r="K297" i="77"/>
  <c r="J297" i="77"/>
  <c r="I297" i="77"/>
  <c r="H297" i="77"/>
  <c r="G297" i="77"/>
  <c r="F297" i="77"/>
  <c r="N295" i="77"/>
  <c r="M295" i="77"/>
  <c r="L295" i="77"/>
  <c r="K295" i="77"/>
  <c r="J295" i="77"/>
  <c r="I295" i="77"/>
  <c r="H295" i="77"/>
  <c r="G295" i="77"/>
  <c r="F295" i="77"/>
  <c r="N294" i="77"/>
  <c r="M294" i="77"/>
  <c r="L294" i="77"/>
  <c r="K294" i="77"/>
  <c r="J294" i="77"/>
  <c r="I294" i="77"/>
  <c r="H294" i="77"/>
  <c r="G294" i="77"/>
  <c r="F294" i="77"/>
  <c r="N293" i="77"/>
  <c r="M293" i="77"/>
  <c r="L293" i="77"/>
  <c r="K293" i="77"/>
  <c r="J293" i="77"/>
  <c r="I293" i="77"/>
  <c r="H293" i="77"/>
  <c r="G293" i="77"/>
  <c r="F293" i="77"/>
  <c r="N292" i="77"/>
  <c r="N314" i="77" s="1"/>
  <c r="M292" i="77"/>
  <c r="M314" i="77" s="1"/>
  <c r="L292" i="77"/>
  <c r="L314" i="77" s="1"/>
  <c r="K292" i="77"/>
  <c r="K314" i="77" s="1"/>
  <c r="J292" i="77"/>
  <c r="J314" i="77" s="1"/>
  <c r="I292" i="77"/>
  <c r="I314" i="77" s="1"/>
  <c r="H292" i="77"/>
  <c r="H314" i="77" s="1"/>
  <c r="G292" i="77"/>
  <c r="G314" i="77" s="1"/>
  <c r="F292" i="77"/>
  <c r="F314" i="77" s="1"/>
  <c r="N290" i="77"/>
  <c r="M290" i="77"/>
  <c r="L290" i="77"/>
  <c r="K290" i="77"/>
  <c r="J290" i="77"/>
  <c r="I290" i="77"/>
  <c r="H290" i="77"/>
  <c r="G290" i="77"/>
  <c r="F290" i="77"/>
  <c r="N963" i="77"/>
  <c r="M963" i="77"/>
  <c r="L963" i="77"/>
  <c r="K963" i="77"/>
  <c r="J963" i="77"/>
  <c r="I963" i="77"/>
  <c r="H963" i="77"/>
  <c r="G963" i="77"/>
  <c r="N878" i="77"/>
  <c r="M878" i="77"/>
  <c r="L878" i="77"/>
  <c r="K878" i="77"/>
  <c r="J878" i="77"/>
  <c r="I878" i="77"/>
  <c r="H878" i="77"/>
  <c r="G878" i="77"/>
  <c r="N218" i="77"/>
  <c r="M218" i="77"/>
  <c r="L218" i="77"/>
  <c r="K218" i="77"/>
  <c r="J218" i="77"/>
  <c r="I218" i="77"/>
  <c r="H218" i="77"/>
  <c r="G218" i="77"/>
  <c r="F218" i="77"/>
  <c r="N217" i="77"/>
  <c r="M217" i="77"/>
  <c r="L217" i="77"/>
  <c r="K217" i="77"/>
  <c r="J217" i="77"/>
  <c r="I217" i="77"/>
  <c r="H217" i="77"/>
  <c r="G217" i="77"/>
  <c r="F217" i="77"/>
  <c r="N216" i="77"/>
  <c r="M216" i="77"/>
  <c r="L216" i="77"/>
  <c r="K216" i="77"/>
  <c r="J216" i="77"/>
  <c r="I216" i="77"/>
  <c r="H216" i="77"/>
  <c r="G216" i="77"/>
  <c r="F216" i="77"/>
  <c r="N215" i="77"/>
  <c r="M215" i="77"/>
  <c r="L215" i="77"/>
  <c r="K215" i="77"/>
  <c r="J215" i="77"/>
  <c r="I215" i="77"/>
  <c r="H215" i="77"/>
  <c r="G215" i="77"/>
  <c r="F215" i="77"/>
  <c r="N214" i="77"/>
  <c r="M214" i="77"/>
  <c r="L214" i="77"/>
  <c r="K214" i="77"/>
  <c r="J214" i="77"/>
  <c r="I214" i="77"/>
  <c r="H214" i="77"/>
  <c r="G214" i="77"/>
  <c r="F214" i="77"/>
  <c r="N211" i="77"/>
  <c r="M211" i="77"/>
  <c r="L211" i="77"/>
  <c r="K211" i="77"/>
  <c r="J211" i="77"/>
  <c r="I211" i="77"/>
  <c r="H211" i="77"/>
  <c r="G211" i="77"/>
  <c r="F211" i="77"/>
  <c r="N209" i="77"/>
  <c r="M209" i="77"/>
  <c r="L209" i="77"/>
  <c r="K209" i="77"/>
  <c r="J209" i="77"/>
  <c r="I209" i="77"/>
  <c r="H209" i="77"/>
  <c r="G209" i="77"/>
  <c r="F209" i="77"/>
  <c r="N208" i="77"/>
  <c r="N234" i="77" s="1"/>
  <c r="M208" i="77"/>
  <c r="M234" i="77" s="1"/>
  <c r="L208" i="77"/>
  <c r="L234" i="77" s="1"/>
  <c r="K208" i="77"/>
  <c r="K234" i="77" s="1"/>
  <c r="J208" i="77"/>
  <c r="J234" i="77" s="1"/>
  <c r="I208" i="77"/>
  <c r="I234" i="77" s="1"/>
  <c r="H208" i="77"/>
  <c r="H234" i="77" s="1"/>
  <c r="G208" i="77"/>
  <c r="G234" i="77" s="1"/>
  <c r="F208" i="77"/>
  <c r="F234" i="77" s="1"/>
  <c r="N206" i="77"/>
  <c r="M206" i="77"/>
  <c r="L206" i="77"/>
  <c r="K206" i="77"/>
  <c r="J206" i="77"/>
  <c r="I206" i="77"/>
  <c r="H206" i="77"/>
  <c r="G206" i="77"/>
  <c r="F206" i="77"/>
  <c r="N101" i="77"/>
  <c r="N876" i="77" s="1"/>
  <c r="M101" i="77"/>
  <c r="M876" i="77" s="1"/>
  <c r="L101" i="77"/>
  <c r="L876" i="77" s="1"/>
  <c r="K101" i="77"/>
  <c r="K876" i="77" s="1"/>
  <c r="J101" i="77"/>
  <c r="J876" i="77" s="1"/>
  <c r="I101" i="77"/>
  <c r="I876" i="77" s="1"/>
  <c r="H101" i="77"/>
  <c r="H876" i="77" s="1"/>
  <c r="G101" i="77"/>
  <c r="G876" i="77" s="1"/>
  <c r="F101" i="77"/>
  <c r="N97" i="77"/>
  <c r="M97" i="77"/>
  <c r="L97" i="77"/>
  <c r="K97" i="77"/>
  <c r="J97" i="77"/>
  <c r="I97" i="77"/>
  <c r="H97" i="77"/>
  <c r="G97" i="77"/>
  <c r="F97" i="77"/>
  <c r="N96" i="77"/>
  <c r="M96" i="77"/>
  <c r="L96" i="77"/>
  <c r="K96" i="77"/>
  <c r="J96" i="77"/>
  <c r="I96" i="77"/>
  <c r="H96" i="77"/>
  <c r="G96" i="77"/>
  <c r="F96" i="77"/>
  <c r="N94" i="77"/>
  <c r="M94" i="77"/>
  <c r="L94" i="77"/>
  <c r="K94" i="77"/>
  <c r="J94" i="77"/>
  <c r="I94" i="77"/>
  <c r="H94" i="77"/>
  <c r="G94" i="77"/>
  <c r="F94" i="77"/>
  <c r="N93" i="77"/>
  <c r="N105" i="77" s="1"/>
  <c r="M93" i="77"/>
  <c r="L93" i="77"/>
  <c r="L105" i="77" s="1"/>
  <c r="K93" i="77"/>
  <c r="K105" i="77" s="1"/>
  <c r="J93" i="77"/>
  <c r="I93" i="77"/>
  <c r="H93" i="77"/>
  <c r="H105" i="77" s="1"/>
  <c r="G93" i="77"/>
  <c r="F93" i="77"/>
  <c r="F105" i="77" s="1"/>
  <c r="N666" i="77"/>
  <c r="M666" i="77"/>
  <c r="L666" i="77"/>
  <c r="K666" i="77"/>
  <c r="J666" i="77"/>
  <c r="I666" i="77"/>
  <c r="H666" i="77"/>
  <c r="G666" i="77"/>
  <c r="F666" i="77"/>
  <c r="N656" i="77"/>
  <c r="M656" i="77"/>
  <c r="L656" i="77"/>
  <c r="K656" i="77"/>
  <c r="J656" i="77"/>
  <c r="I656" i="77"/>
  <c r="H656" i="77"/>
  <c r="G656" i="77"/>
  <c r="F656" i="77"/>
  <c r="N655" i="77"/>
  <c r="M655" i="77"/>
  <c r="L655" i="77"/>
  <c r="K655" i="77"/>
  <c r="J655" i="77"/>
  <c r="I655" i="77"/>
  <c r="H655" i="77"/>
  <c r="G655" i="77"/>
  <c r="F655" i="77"/>
  <c r="N654" i="77"/>
  <c r="M654" i="77"/>
  <c r="L654" i="77"/>
  <c r="K654" i="77"/>
  <c r="J654" i="77"/>
  <c r="I654" i="77"/>
  <c r="H654" i="77"/>
  <c r="G654" i="77"/>
  <c r="F654" i="77"/>
  <c r="N653" i="77"/>
  <c r="M653" i="77"/>
  <c r="L653" i="77"/>
  <c r="K653" i="77"/>
  <c r="J653" i="77"/>
  <c r="I653" i="77"/>
  <c r="H653" i="77"/>
  <c r="G653" i="77"/>
  <c r="F653" i="77"/>
  <c r="N652" i="77"/>
  <c r="M652" i="77"/>
  <c r="L652" i="77"/>
  <c r="K652" i="77"/>
  <c r="J652" i="77"/>
  <c r="I652" i="77"/>
  <c r="H652" i="77"/>
  <c r="G652" i="77"/>
  <c r="F652" i="77"/>
  <c r="N646" i="77"/>
  <c r="N962" i="77" s="1"/>
  <c r="N978" i="77" s="1"/>
  <c r="M646" i="77"/>
  <c r="M962" i="77" s="1"/>
  <c r="L646" i="77"/>
  <c r="L962" i="77" s="1"/>
  <c r="L978" i="77" s="1"/>
  <c r="K646" i="77"/>
  <c r="K962" i="77" s="1"/>
  <c r="J646" i="77"/>
  <c r="J962" i="77" s="1"/>
  <c r="J978" i="77" s="1"/>
  <c r="I646" i="77"/>
  <c r="I962" i="77" s="1"/>
  <c r="H646" i="77"/>
  <c r="H962" i="77" s="1"/>
  <c r="H978" i="77" s="1"/>
  <c r="G646" i="77"/>
  <c r="G962" i="77" s="1"/>
  <c r="F646" i="77"/>
  <c r="N637" i="77"/>
  <c r="N875" i="77" s="1"/>
  <c r="M637" i="77"/>
  <c r="M875" i="77" s="1"/>
  <c r="L637" i="77"/>
  <c r="L875" i="77" s="1"/>
  <c r="K637" i="77"/>
  <c r="K875" i="77" s="1"/>
  <c r="K897" i="77" s="1"/>
  <c r="J637" i="77"/>
  <c r="J875" i="77" s="1"/>
  <c r="I637" i="77"/>
  <c r="I875" i="77" s="1"/>
  <c r="I897" i="77" s="1"/>
  <c r="H637" i="77"/>
  <c r="H875" i="77" s="1"/>
  <c r="G637" i="77"/>
  <c r="G875" i="77" s="1"/>
  <c r="G897" i="77" s="1"/>
  <c r="F637" i="77"/>
  <c r="N532" i="77"/>
  <c r="M532" i="77"/>
  <c r="L532" i="77"/>
  <c r="K532" i="77"/>
  <c r="J532" i="77"/>
  <c r="I532" i="77"/>
  <c r="H532" i="77"/>
  <c r="G532" i="77"/>
  <c r="F532" i="77"/>
  <c r="N522" i="77"/>
  <c r="M522" i="77"/>
  <c r="L522" i="77"/>
  <c r="K522" i="77"/>
  <c r="J522" i="77"/>
  <c r="I522" i="77"/>
  <c r="H522" i="77"/>
  <c r="G522" i="77"/>
  <c r="F522" i="77"/>
  <c r="N516" i="77"/>
  <c r="N961" i="77" s="1"/>
  <c r="N977" i="77" s="1"/>
  <c r="M516" i="77"/>
  <c r="M961" i="77" s="1"/>
  <c r="M977" i="77" s="1"/>
  <c r="L516" i="77"/>
  <c r="L961" i="77" s="1"/>
  <c r="L977" i="77" s="1"/>
  <c r="K516" i="77"/>
  <c r="K961" i="77" s="1"/>
  <c r="K977" i="77" s="1"/>
  <c r="J516" i="77"/>
  <c r="J961" i="77" s="1"/>
  <c r="J977" i="77" s="1"/>
  <c r="I516" i="77"/>
  <c r="I961" i="77" s="1"/>
  <c r="I977" i="77" s="1"/>
  <c r="H516" i="77"/>
  <c r="H961" i="77" s="1"/>
  <c r="H977" i="77" s="1"/>
  <c r="G516" i="77"/>
  <c r="G961" i="77" s="1"/>
  <c r="G977" i="77" s="1"/>
  <c r="F516" i="77"/>
  <c r="N511" i="77"/>
  <c r="N874" i="77" s="1"/>
  <c r="N896" i="77" s="1"/>
  <c r="M511" i="77"/>
  <c r="M874" i="77" s="1"/>
  <c r="M896" i="77" s="1"/>
  <c r="L511" i="77"/>
  <c r="L874" i="77" s="1"/>
  <c r="K511" i="77"/>
  <c r="K874" i="77" s="1"/>
  <c r="K896" i="77" s="1"/>
  <c r="J511" i="77"/>
  <c r="J874" i="77" s="1"/>
  <c r="J896" i="77" s="1"/>
  <c r="I511" i="77"/>
  <c r="I874" i="77" s="1"/>
  <c r="I896" i="77" s="1"/>
  <c r="H511" i="77"/>
  <c r="H874" i="77" s="1"/>
  <c r="H896" i="77" s="1"/>
  <c r="G511" i="77"/>
  <c r="G874" i="77" s="1"/>
  <c r="G896" i="77" s="1"/>
  <c r="F511" i="77"/>
  <c r="N367" i="77"/>
  <c r="M367" i="77"/>
  <c r="L367" i="77"/>
  <c r="K367" i="77"/>
  <c r="J367" i="77"/>
  <c r="I367" i="77"/>
  <c r="H367" i="77"/>
  <c r="G367" i="77"/>
  <c r="F367" i="77"/>
  <c r="N357" i="77"/>
  <c r="M357" i="77"/>
  <c r="L357" i="77"/>
  <c r="K357" i="77"/>
  <c r="J357" i="77"/>
  <c r="I357" i="77"/>
  <c r="H357" i="77"/>
  <c r="G357" i="77"/>
  <c r="F357" i="77"/>
  <c r="N356" i="77"/>
  <c r="M356" i="77"/>
  <c r="L356" i="77"/>
  <c r="K356" i="77"/>
  <c r="J356" i="77"/>
  <c r="I356" i="77"/>
  <c r="H356" i="77"/>
  <c r="G356" i="77"/>
  <c r="F356" i="77"/>
  <c r="N960" i="77"/>
  <c r="M960" i="77"/>
  <c r="L960" i="77"/>
  <c r="K960" i="77"/>
  <c r="J960" i="77"/>
  <c r="I960" i="77"/>
  <c r="H960" i="77"/>
  <c r="G960" i="77"/>
  <c r="N873" i="77"/>
  <c r="M873" i="77"/>
  <c r="L873" i="77"/>
  <c r="K873" i="77"/>
  <c r="J873" i="77"/>
  <c r="I873" i="77"/>
  <c r="H873" i="77"/>
  <c r="G873" i="77"/>
  <c r="N769" i="77"/>
  <c r="M769" i="77"/>
  <c r="L769" i="77"/>
  <c r="K769" i="77"/>
  <c r="J769" i="77"/>
  <c r="I769" i="77"/>
  <c r="H769" i="77"/>
  <c r="G769" i="77"/>
  <c r="F769" i="77"/>
  <c r="N763" i="77"/>
  <c r="M763" i="77"/>
  <c r="L763" i="77"/>
  <c r="K763" i="77"/>
  <c r="J763" i="77"/>
  <c r="I763" i="77"/>
  <c r="H763" i="77"/>
  <c r="G763" i="77"/>
  <c r="F763" i="77"/>
  <c r="N762" i="77"/>
  <c r="M762" i="77"/>
  <c r="L762" i="77"/>
  <c r="K762" i="77"/>
  <c r="J762" i="77"/>
  <c r="I762" i="77"/>
  <c r="H762" i="77"/>
  <c r="G762" i="77"/>
  <c r="F762" i="77"/>
  <c r="N761" i="77"/>
  <c r="M761" i="77"/>
  <c r="L761" i="77"/>
  <c r="K761" i="77"/>
  <c r="J761" i="77"/>
  <c r="I761" i="77"/>
  <c r="H761" i="77"/>
  <c r="G761" i="77"/>
  <c r="F761" i="77"/>
  <c r="N760" i="77"/>
  <c r="M760" i="77"/>
  <c r="L760" i="77"/>
  <c r="K760" i="77"/>
  <c r="J760" i="77"/>
  <c r="I760" i="77"/>
  <c r="H760" i="77"/>
  <c r="G760" i="77"/>
  <c r="F760" i="77"/>
  <c r="N759" i="77"/>
  <c r="M759" i="77"/>
  <c r="L759" i="77"/>
  <c r="K759" i="77"/>
  <c r="J759" i="77"/>
  <c r="I759" i="77"/>
  <c r="H759" i="77"/>
  <c r="G759" i="77"/>
  <c r="F759" i="77"/>
  <c r="N753" i="77"/>
  <c r="N959" i="77" s="1"/>
  <c r="M753" i="77"/>
  <c r="M959" i="77" s="1"/>
  <c r="M982" i="77" s="1"/>
  <c r="L753" i="77"/>
  <c r="L959" i="77" s="1"/>
  <c r="K753" i="77"/>
  <c r="K959" i="77" s="1"/>
  <c r="K982" i="77" s="1"/>
  <c r="J753" i="77"/>
  <c r="J959" i="77" s="1"/>
  <c r="I753" i="77"/>
  <c r="I959" i="77" s="1"/>
  <c r="I982" i="77" s="1"/>
  <c r="H753" i="77"/>
  <c r="H959" i="77" s="1"/>
  <c r="G753" i="77"/>
  <c r="G959" i="77" s="1"/>
  <c r="G982" i="77" s="1"/>
  <c r="F753" i="77"/>
  <c r="N744" i="77"/>
  <c r="N872" i="77" s="1"/>
  <c r="M744" i="77"/>
  <c r="M872" i="77" s="1"/>
  <c r="L744" i="77"/>
  <c r="L872" i="77" s="1"/>
  <c r="K744" i="77"/>
  <c r="K872" i="77" s="1"/>
  <c r="J744" i="77"/>
  <c r="J872" i="77" s="1"/>
  <c r="J901" i="77" s="1"/>
  <c r="I744" i="77"/>
  <c r="I872" i="77" s="1"/>
  <c r="H744" i="77"/>
  <c r="H872" i="77" s="1"/>
  <c r="H901" i="77" s="1"/>
  <c r="G744" i="77"/>
  <c r="G872" i="77" s="1"/>
  <c r="F744" i="77"/>
  <c r="N452" i="77"/>
  <c r="M452" i="77"/>
  <c r="L452" i="77"/>
  <c r="K452" i="77"/>
  <c r="J452" i="77"/>
  <c r="I452" i="77"/>
  <c r="H452" i="77"/>
  <c r="G452" i="77"/>
  <c r="F452" i="77"/>
  <c r="N446" i="77"/>
  <c r="M446" i="77"/>
  <c r="L446" i="77"/>
  <c r="K446" i="77"/>
  <c r="J446" i="77"/>
  <c r="I446" i="77"/>
  <c r="H446" i="77"/>
  <c r="G446" i="77"/>
  <c r="F446" i="77"/>
  <c r="N445" i="77"/>
  <c r="M445" i="77"/>
  <c r="L445" i="77"/>
  <c r="K445" i="77"/>
  <c r="J445" i="77"/>
  <c r="I445" i="77"/>
  <c r="H445" i="77"/>
  <c r="G445" i="77"/>
  <c r="F445" i="77"/>
  <c r="N958" i="77"/>
  <c r="M958" i="77"/>
  <c r="L958" i="77"/>
  <c r="K958" i="77"/>
  <c r="J958" i="77"/>
  <c r="I958" i="77"/>
  <c r="H958" i="77"/>
  <c r="G958" i="77"/>
  <c r="N871" i="77"/>
  <c r="M871" i="77"/>
  <c r="L871" i="77"/>
  <c r="K871" i="77"/>
  <c r="J871" i="77"/>
  <c r="I871" i="77"/>
  <c r="H871" i="77"/>
  <c r="G871" i="77"/>
  <c r="N276" i="77"/>
  <c r="M276" i="77"/>
  <c r="L276" i="77"/>
  <c r="K276" i="77"/>
  <c r="J276" i="77"/>
  <c r="I276" i="77"/>
  <c r="H276" i="77"/>
  <c r="G276" i="77"/>
  <c r="F276" i="77"/>
  <c r="N957" i="77"/>
  <c r="N979" i="77" s="1"/>
  <c r="M957" i="77"/>
  <c r="L957" i="77"/>
  <c r="L979" i="77" s="1"/>
  <c r="K957" i="77"/>
  <c r="J957" i="77"/>
  <c r="J979" i="77" s="1"/>
  <c r="I957" i="77"/>
  <c r="H957" i="77"/>
  <c r="H979" i="77" s="1"/>
  <c r="G957" i="77"/>
  <c r="N870" i="77"/>
  <c r="N898" i="77" s="1"/>
  <c r="M870" i="77"/>
  <c r="L870" i="77"/>
  <c r="L898" i="77" s="1"/>
  <c r="K870" i="77"/>
  <c r="J870" i="77"/>
  <c r="J898" i="77" s="1"/>
  <c r="I870" i="77"/>
  <c r="H870" i="77"/>
  <c r="H898" i="77" s="1"/>
  <c r="G870" i="77"/>
  <c r="N188" i="77"/>
  <c r="M188" i="77"/>
  <c r="L188" i="77"/>
  <c r="K188" i="77"/>
  <c r="J188" i="77"/>
  <c r="I188" i="77"/>
  <c r="H188" i="77"/>
  <c r="G188" i="77"/>
  <c r="F188" i="77"/>
  <c r="N956" i="77"/>
  <c r="M956" i="77"/>
  <c r="L956" i="77"/>
  <c r="K956" i="77"/>
  <c r="J956" i="77"/>
  <c r="I956" i="77"/>
  <c r="H956" i="77"/>
  <c r="G956" i="77"/>
  <c r="N869" i="77"/>
  <c r="M869" i="77"/>
  <c r="L869" i="77"/>
  <c r="K869" i="77"/>
  <c r="J869" i="77"/>
  <c r="I869" i="77"/>
  <c r="H869" i="77"/>
  <c r="G869" i="77"/>
  <c r="N78" i="77"/>
  <c r="N867" i="77" s="1"/>
  <c r="M78" i="77"/>
  <c r="M867" i="77" s="1"/>
  <c r="L78" i="77"/>
  <c r="L867" i="77" s="1"/>
  <c r="K78" i="77"/>
  <c r="K867" i="77" s="1"/>
  <c r="J78" i="77"/>
  <c r="J867" i="77" s="1"/>
  <c r="I78" i="77"/>
  <c r="I867" i="77" s="1"/>
  <c r="H78" i="77"/>
  <c r="H867" i="77" s="1"/>
  <c r="G78" i="77"/>
  <c r="G867" i="77" s="1"/>
  <c r="F78" i="77"/>
  <c r="N56" i="77"/>
  <c r="N866" i="77" s="1"/>
  <c r="N891" i="77" s="1"/>
  <c r="M56" i="77"/>
  <c r="M866" i="77" s="1"/>
  <c r="M891" i="77" s="1"/>
  <c r="L56" i="77"/>
  <c r="L866" i="77" s="1"/>
  <c r="L891" i="77" s="1"/>
  <c r="K56" i="77"/>
  <c r="K866" i="77" s="1"/>
  <c r="K891" i="77" s="1"/>
  <c r="J56" i="77"/>
  <c r="J866" i="77" s="1"/>
  <c r="J891" i="77" s="1"/>
  <c r="I56" i="77"/>
  <c r="I866" i="77" s="1"/>
  <c r="I891" i="77" s="1"/>
  <c r="H56" i="77"/>
  <c r="H866" i="77" s="1"/>
  <c r="H891" i="77" s="1"/>
  <c r="G56" i="77"/>
  <c r="G866" i="77" s="1"/>
  <c r="G891" i="77" s="1"/>
  <c r="F56" i="77"/>
  <c r="N36" i="77"/>
  <c r="N865" i="77" s="1"/>
  <c r="M36" i="77"/>
  <c r="M865" i="77" s="1"/>
  <c r="L36" i="77"/>
  <c r="L865" i="77" s="1"/>
  <c r="K36" i="77"/>
  <c r="K865" i="77" s="1"/>
  <c r="J36" i="77"/>
  <c r="J865" i="77" s="1"/>
  <c r="I36" i="77"/>
  <c r="I865" i="77" s="1"/>
  <c r="H36" i="77"/>
  <c r="H865" i="77" s="1"/>
  <c r="G36" i="77"/>
  <c r="G865" i="77" s="1"/>
  <c r="F36" i="77"/>
  <c r="N15" i="77"/>
  <c r="N22" i="77" s="1"/>
  <c r="M15" i="77"/>
  <c r="M22" i="77" s="1"/>
  <c r="L15" i="77"/>
  <c r="L22" i="77" s="1"/>
  <c r="K15" i="77"/>
  <c r="K22" i="77" s="1"/>
  <c r="J15" i="77"/>
  <c r="J22" i="77" s="1"/>
  <c r="I15" i="77"/>
  <c r="I22" i="77" s="1"/>
  <c r="H15" i="77"/>
  <c r="H22" i="77" s="1"/>
  <c r="G15" i="77"/>
  <c r="G22" i="77" s="1"/>
  <c r="F15" i="77"/>
  <c r="H992" i="77" l="1"/>
  <c r="H1031" i="77"/>
  <c r="J992" i="77"/>
  <c r="J1031" i="77"/>
  <c r="N992" i="77"/>
  <c r="N1031" i="77"/>
  <c r="G992" i="77"/>
  <c r="G1031" i="77"/>
  <c r="K992" i="77"/>
  <c r="K1031" i="77"/>
  <c r="K1049" i="77" s="1"/>
  <c r="L992" i="77"/>
  <c r="L1031" i="77"/>
  <c r="I992" i="77"/>
  <c r="I1031" i="77"/>
  <c r="M992" i="77"/>
  <c r="M1031" i="77"/>
  <c r="M1049" i="77" s="1"/>
  <c r="M241" i="77"/>
  <c r="H404" i="77"/>
  <c r="L404" i="77"/>
  <c r="I709" i="77"/>
  <c r="M709" i="77"/>
  <c r="F241" i="77"/>
  <c r="J241" i="77"/>
  <c r="N241" i="77"/>
  <c r="I404" i="77"/>
  <c r="M404" i="77"/>
  <c r="F709" i="77"/>
  <c r="R709" i="77" s="1"/>
  <c r="J709" i="77"/>
  <c r="N709" i="77"/>
  <c r="G241" i="77"/>
  <c r="K241" i="77"/>
  <c r="F404" i="77"/>
  <c r="J404" i="77"/>
  <c r="N404" i="77"/>
  <c r="G709" i="77"/>
  <c r="K709" i="77"/>
  <c r="I241" i="77"/>
  <c r="R241" i="77" s="1"/>
  <c r="H241" i="77"/>
  <c r="L241" i="77"/>
  <c r="R1040" i="77"/>
  <c r="F16" i="96" s="1"/>
  <c r="R1043" i="77"/>
  <c r="F22" i="96" s="1"/>
  <c r="G404" i="77"/>
  <c r="R404" i="77" s="1"/>
  <c r="K404" i="77"/>
  <c r="H709" i="77"/>
  <c r="L709" i="77"/>
  <c r="M105" i="77"/>
  <c r="F21" i="77"/>
  <c r="F22" i="77"/>
  <c r="F1031" i="77" s="1"/>
  <c r="I105" i="77"/>
  <c r="L896" i="77"/>
  <c r="G105" i="77"/>
  <c r="R708" i="77"/>
  <c r="R712" i="77"/>
  <c r="J105" i="77"/>
  <c r="I892" i="77"/>
  <c r="G980" i="77"/>
  <c r="K980" i="77"/>
  <c r="H976" i="77"/>
  <c r="L976" i="77"/>
  <c r="R654" i="77"/>
  <c r="G893" i="77"/>
  <c r="K893" i="77"/>
  <c r="G892" i="77"/>
  <c r="K892" i="77"/>
  <c r="I980" i="77"/>
  <c r="M980" i="77"/>
  <c r="J976" i="77"/>
  <c r="N976" i="77"/>
  <c r="I975" i="77"/>
  <c r="I893" i="77"/>
  <c r="M975" i="77"/>
  <c r="R652" i="77"/>
  <c r="R656" i="77"/>
  <c r="R710" i="77"/>
  <c r="G975" i="77"/>
  <c r="K975" i="77"/>
  <c r="R234" i="77"/>
  <c r="R276" i="77"/>
  <c r="R446" i="77"/>
  <c r="R759" i="77"/>
  <c r="R761" i="77"/>
  <c r="R763" i="77"/>
  <c r="R356" i="77"/>
  <c r="G899" i="77"/>
  <c r="I899" i="77"/>
  <c r="K899" i="77"/>
  <c r="M899" i="77"/>
  <c r="H895" i="77"/>
  <c r="J895" i="77"/>
  <c r="F231" i="77"/>
  <c r="H231" i="77"/>
  <c r="J231" i="77"/>
  <c r="L231" i="77"/>
  <c r="N231" i="77"/>
  <c r="G411" i="77"/>
  <c r="G413" i="77" s="1"/>
  <c r="I411" i="77"/>
  <c r="I413" i="77" s="1"/>
  <c r="K411" i="77"/>
  <c r="K413" i="77" s="1"/>
  <c r="M411" i="77"/>
  <c r="M413" i="77" s="1"/>
  <c r="F564" i="77"/>
  <c r="H564" i="77"/>
  <c r="J564" i="77"/>
  <c r="L564" i="77"/>
  <c r="N564" i="77"/>
  <c r="F706" i="77"/>
  <c r="H706" i="77"/>
  <c r="J706" i="77"/>
  <c r="L706" i="77"/>
  <c r="N706" i="77"/>
  <c r="G231" i="77"/>
  <c r="I231" i="77"/>
  <c r="K231" i="77"/>
  <c r="M231" i="77"/>
  <c r="F242" i="77"/>
  <c r="F243" i="77" s="1"/>
  <c r="H242" i="77"/>
  <c r="H243" i="77" s="1"/>
  <c r="J242" i="77"/>
  <c r="J243" i="77" s="1"/>
  <c r="L242" i="77"/>
  <c r="L243" i="77" s="1"/>
  <c r="N242" i="77"/>
  <c r="N243" i="77" s="1"/>
  <c r="F311" i="77"/>
  <c r="H311" i="77"/>
  <c r="J311" i="77"/>
  <c r="L311" i="77"/>
  <c r="N311" i="77"/>
  <c r="G320" i="77"/>
  <c r="I320" i="77"/>
  <c r="K320" i="77"/>
  <c r="M320" i="77"/>
  <c r="F411" i="77"/>
  <c r="F413" i="77" s="1"/>
  <c r="H411" i="77"/>
  <c r="H413" i="77" s="1"/>
  <c r="J411" i="77"/>
  <c r="J413" i="77" s="1"/>
  <c r="L411" i="77"/>
  <c r="L413" i="77" s="1"/>
  <c r="N411" i="77"/>
  <c r="N413" i="77" s="1"/>
  <c r="G564" i="77"/>
  <c r="I564" i="77"/>
  <c r="K564" i="77"/>
  <c r="M564" i="77"/>
  <c r="G706" i="77"/>
  <c r="I706" i="77"/>
  <c r="K706" i="77"/>
  <c r="M706" i="77"/>
  <c r="R483" i="77"/>
  <c r="R653" i="77"/>
  <c r="R655" i="77"/>
  <c r="G242" i="77"/>
  <c r="G243" i="77" s="1"/>
  <c r="I242" i="77"/>
  <c r="I243" i="77" s="1"/>
  <c r="K242" i="77"/>
  <c r="M242" i="77"/>
  <c r="M243" i="77" s="1"/>
  <c r="G311" i="77"/>
  <c r="I311" i="77"/>
  <c r="K311" i="77"/>
  <c r="M311" i="77"/>
  <c r="R314" i="77"/>
  <c r="F320" i="77"/>
  <c r="H320" i="77"/>
  <c r="J320" i="77"/>
  <c r="L320" i="77"/>
  <c r="N320" i="77"/>
  <c r="R711" i="77"/>
  <c r="R188" i="77"/>
  <c r="R445" i="77"/>
  <c r="R760" i="77"/>
  <c r="R762" i="77"/>
  <c r="R357" i="77"/>
  <c r="R482" i="77"/>
  <c r="R522" i="77"/>
  <c r="R452" i="77"/>
  <c r="R769" i="77"/>
  <c r="R367" i="77"/>
  <c r="R532" i="77"/>
  <c r="R666" i="77"/>
  <c r="R480" i="77"/>
  <c r="R488" i="77"/>
  <c r="R489" i="77"/>
  <c r="R611" i="77"/>
  <c r="R803" i="77"/>
  <c r="R882" i="77"/>
  <c r="R967" i="77"/>
  <c r="R815" i="77"/>
  <c r="R401" i="77"/>
  <c r="R412" i="77"/>
  <c r="R15" i="77"/>
  <c r="F865" i="77"/>
  <c r="R865" i="77" s="1"/>
  <c r="R36" i="77"/>
  <c r="F873" i="77"/>
  <c r="R344" i="77"/>
  <c r="F960" i="77"/>
  <c r="R350" i="77"/>
  <c r="F874" i="77"/>
  <c r="R511" i="77"/>
  <c r="F961" i="77"/>
  <c r="R516" i="77"/>
  <c r="F875" i="77"/>
  <c r="R875" i="77" s="1"/>
  <c r="R637" i="77"/>
  <c r="F962" i="77"/>
  <c r="R646" i="77"/>
  <c r="F876" i="77"/>
  <c r="R876" i="77" s="1"/>
  <c r="R101" i="77"/>
  <c r="F878" i="77"/>
  <c r="R878" i="77" s="1"/>
  <c r="R221" i="77"/>
  <c r="F963" i="77"/>
  <c r="R963" i="77" s="1"/>
  <c r="R227" i="77"/>
  <c r="F879" i="77"/>
  <c r="R879" i="77" s="1"/>
  <c r="R301" i="77"/>
  <c r="F964" i="77"/>
  <c r="R307" i="77"/>
  <c r="F880" i="77"/>
  <c r="R880" i="77" s="1"/>
  <c r="R470" i="77"/>
  <c r="F965" i="77"/>
  <c r="R965" i="77" s="1"/>
  <c r="R476" i="77"/>
  <c r="F881" i="77"/>
  <c r="R594" i="77"/>
  <c r="F966" i="77"/>
  <c r="R599" i="77"/>
  <c r="F883" i="77"/>
  <c r="R883" i="77" s="1"/>
  <c r="R391" i="77"/>
  <c r="F968" i="77"/>
  <c r="R968" i="77" s="1"/>
  <c r="R397" i="77"/>
  <c r="R414" i="77"/>
  <c r="F884" i="77"/>
  <c r="R884" i="77" s="1"/>
  <c r="R555" i="77"/>
  <c r="F969" i="77"/>
  <c r="R969" i="77" s="1"/>
  <c r="R560" i="77"/>
  <c r="R576" i="77"/>
  <c r="F885" i="77"/>
  <c r="R885" i="77" s="1"/>
  <c r="R693" i="77"/>
  <c r="F970" i="77"/>
  <c r="R970" i="77" s="1"/>
  <c r="R702" i="77"/>
  <c r="R722" i="77"/>
  <c r="F886" i="77"/>
  <c r="F971" i="77"/>
  <c r="F866" i="77"/>
  <c r="R56" i="77"/>
  <c r="F867" i="77"/>
  <c r="R78" i="77"/>
  <c r="F869" i="77"/>
  <c r="R869" i="77" s="1"/>
  <c r="R175" i="77"/>
  <c r="F956" i="77"/>
  <c r="R956" i="77" s="1"/>
  <c r="R181" i="77"/>
  <c r="F870" i="77"/>
  <c r="R263" i="77"/>
  <c r="F957" i="77"/>
  <c r="R269" i="77"/>
  <c r="F871" i="77"/>
  <c r="R871" i="77" s="1"/>
  <c r="R433" i="77"/>
  <c r="F958" i="77"/>
  <c r="R958" i="77" s="1"/>
  <c r="R439" i="77"/>
  <c r="F872" i="77"/>
  <c r="R744" i="77"/>
  <c r="F959" i="77"/>
  <c r="R959" i="77" s="1"/>
  <c r="R753" i="77"/>
  <c r="R605" i="77"/>
  <c r="R805" i="77"/>
  <c r="R806" i="77"/>
  <c r="R807" i="77"/>
  <c r="R808" i="77"/>
  <c r="R809" i="77"/>
  <c r="R403" i="77"/>
  <c r="R566" i="77"/>
  <c r="F573" i="77"/>
  <c r="H573" i="77"/>
  <c r="J573" i="77"/>
  <c r="L573" i="77"/>
  <c r="N573" i="77"/>
  <c r="F574" i="77"/>
  <c r="H574" i="77"/>
  <c r="J574" i="77"/>
  <c r="L574" i="77"/>
  <c r="N574" i="77"/>
  <c r="F719" i="77"/>
  <c r="H719" i="77"/>
  <c r="J719" i="77"/>
  <c r="L719" i="77"/>
  <c r="N719" i="77"/>
  <c r="G862" i="77"/>
  <c r="I862" i="77"/>
  <c r="K862" i="77"/>
  <c r="M862" i="77"/>
  <c r="F862" i="77"/>
  <c r="H862" i="77"/>
  <c r="J862" i="77"/>
  <c r="L862" i="77"/>
  <c r="N862" i="77"/>
  <c r="H892" i="77"/>
  <c r="J892" i="77"/>
  <c r="L892" i="77"/>
  <c r="N892" i="77"/>
  <c r="H893" i="77"/>
  <c r="J893" i="77"/>
  <c r="L893" i="77"/>
  <c r="N893" i="77"/>
  <c r="H975" i="77"/>
  <c r="J975" i="77"/>
  <c r="L975" i="77"/>
  <c r="N975" i="77"/>
  <c r="G901" i="77"/>
  <c r="I901" i="77"/>
  <c r="K901" i="77"/>
  <c r="M901" i="77"/>
  <c r="F720" i="77"/>
  <c r="H720" i="77"/>
  <c r="J720" i="77"/>
  <c r="L720" i="77"/>
  <c r="N720" i="77"/>
  <c r="M892" i="77"/>
  <c r="M893" i="77"/>
  <c r="L901" i="77"/>
  <c r="N901" i="77"/>
  <c r="L895" i="77"/>
  <c r="N895" i="77"/>
  <c r="M897" i="77"/>
  <c r="G898" i="77"/>
  <c r="I898" i="77"/>
  <c r="K898" i="77"/>
  <c r="M898" i="77"/>
  <c r="G979" i="77"/>
  <c r="I979" i="77"/>
  <c r="K979" i="77"/>
  <c r="M979" i="77"/>
  <c r="H899" i="77"/>
  <c r="J899" i="77"/>
  <c r="L899" i="77"/>
  <c r="N899" i="77"/>
  <c r="H980" i="77"/>
  <c r="J980" i="77"/>
  <c r="L980" i="77"/>
  <c r="N980" i="77"/>
  <c r="H982" i="77"/>
  <c r="J982" i="77"/>
  <c r="L982" i="77"/>
  <c r="N982" i="77"/>
  <c r="G895" i="77"/>
  <c r="I895" i="77"/>
  <c r="K895" i="77"/>
  <c r="M895" i="77"/>
  <c r="G976" i="77"/>
  <c r="I976" i="77"/>
  <c r="K976" i="77"/>
  <c r="M976" i="77"/>
  <c r="H897" i="77"/>
  <c r="J897" i="77"/>
  <c r="L897" i="77"/>
  <c r="N897" i="77"/>
  <c r="G978" i="77"/>
  <c r="I978" i="77"/>
  <c r="K978" i="77"/>
  <c r="M978" i="77"/>
  <c r="F814" i="77"/>
  <c r="H814" i="77"/>
  <c r="J814" i="77"/>
  <c r="L814" i="77"/>
  <c r="N814" i="77"/>
  <c r="G573" i="77"/>
  <c r="I573" i="77"/>
  <c r="K573" i="77"/>
  <c r="M573" i="77"/>
  <c r="G574" i="77"/>
  <c r="I574" i="77"/>
  <c r="K574" i="77"/>
  <c r="M574" i="77"/>
  <c r="G719" i="77"/>
  <c r="I719" i="77"/>
  <c r="K719" i="77"/>
  <c r="M719" i="77"/>
  <c r="I17" i="77"/>
  <c r="I907" i="77" s="1"/>
  <c r="I938" i="77" s="1"/>
  <c r="M17" i="77"/>
  <c r="M907" i="77" s="1"/>
  <c r="M938" i="77" s="1"/>
  <c r="I21" i="77"/>
  <c r="I1013" i="77" s="1"/>
  <c r="M21" i="77"/>
  <c r="M1013" i="77" s="1"/>
  <c r="I25" i="77"/>
  <c r="I1068" i="77" s="1"/>
  <c r="M25" i="77"/>
  <c r="M1068" i="77" s="1"/>
  <c r="H185" i="77"/>
  <c r="L185" i="77"/>
  <c r="G195" i="77"/>
  <c r="K195" i="77"/>
  <c r="G273" i="77"/>
  <c r="K273" i="77"/>
  <c r="F282" i="77"/>
  <c r="J282" i="77"/>
  <c r="N282" i="77"/>
  <c r="F451" i="77"/>
  <c r="J451" i="77"/>
  <c r="N451" i="77"/>
  <c r="H768" i="77"/>
  <c r="L768" i="77"/>
  <c r="G720" i="77"/>
  <c r="I720" i="77"/>
  <c r="K720" i="77"/>
  <c r="M720" i="77"/>
  <c r="G17" i="77"/>
  <c r="G907" i="77" s="1"/>
  <c r="G938" i="77" s="1"/>
  <c r="K17" i="77"/>
  <c r="K907" i="77" s="1"/>
  <c r="K938" i="77" s="1"/>
  <c r="G21" i="77"/>
  <c r="G1013" i="77" s="1"/>
  <c r="K21" i="77"/>
  <c r="K1013" i="77" s="1"/>
  <c r="G25" i="77"/>
  <c r="G1068" i="77" s="1"/>
  <c r="K25" i="77"/>
  <c r="K1068" i="77" s="1"/>
  <c r="F185" i="77"/>
  <c r="J185" i="77"/>
  <c r="N185" i="77"/>
  <c r="I195" i="77"/>
  <c r="M195" i="77"/>
  <c r="I273" i="77"/>
  <c r="M273" i="77"/>
  <c r="H282" i="77"/>
  <c r="L282" i="77"/>
  <c r="H451" i="77"/>
  <c r="L451" i="77"/>
  <c r="F768" i="77"/>
  <c r="J768" i="77"/>
  <c r="N768" i="77"/>
  <c r="G890" i="77"/>
  <c r="I890" i="77"/>
  <c r="K890" i="77"/>
  <c r="M890" i="77"/>
  <c r="F17" i="77"/>
  <c r="H17" i="77"/>
  <c r="H907" i="77" s="1"/>
  <c r="J17" i="77"/>
  <c r="J907" i="77" s="1"/>
  <c r="L17" i="77"/>
  <c r="L907" i="77" s="1"/>
  <c r="N17" i="77"/>
  <c r="N907" i="77" s="1"/>
  <c r="N938" i="77" s="1"/>
  <c r="G20" i="77"/>
  <c r="I20" i="77"/>
  <c r="K20" i="77"/>
  <c r="M20" i="77"/>
  <c r="H21" i="77"/>
  <c r="J21" i="77"/>
  <c r="L21" i="77"/>
  <c r="N21" i="77"/>
  <c r="F25" i="77"/>
  <c r="H25" i="77"/>
  <c r="H1068" i="77" s="1"/>
  <c r="J25" i="77"/>
  <c r="J1068" i="77" s="1"/>
  <c r="L25" i="77"/>
  <c r="L1068" i="77" s="1"/>
  <c r="N25" i="77"/>
  <c r="N1068" i="77" s="1"/>
  <c r="F60" i="77"/>
  <c r="H60" i="77"/>
  <c r="J60" i="77"/>
  <c r="J1045" i="77" s="1"/>
  <c r="L60" i="77"/>
  <c r="N60" i="77"/>
  <c r="G82" i="77"/>
  <c r="I82" i="77"/>
  <c r="K82" i="77"/>
  <c r="M82" i="77"/>
  <c r="H182" i="77"/>
  <c r="H198" i="77" s="1"/>
  <c r="J182" i="77"/>
  <c r="J198" i="77" s="1"/>
  <c r="L182" i="77"/>
  <c r="L198" i="77" s="1"/>
  <c r="N182" i="77"/>
  <c r="N198" i="77" s="1"/>
  <c r="G185" i="77"/>
  <c r="I185" i="77"/>
  <c r="K185" i="77"/>
  <c r="M185" i="77"/>
  <c r="F195" i="77"/>
  <c r="H195" i="77"/>
  <c r="J195" i="77"/>
  <c r="L195" i="77"/>
  <c r="N195" i="77"/>
  <c r="G196" i="77"/>
  <c r="I196" i="77"/>
  <c r="K196" i="77"/>
  <c r="M196" i="77"/>
  <c r="G270" i="77"/>
  <c r="G283" i="77" s="1"/>
  <c r="I270" i="77"/>
  <c r="I283" i="77" s="1"/>
  <c r="K270" i="77"/>
  <c r="K283" i="77" s="1"/>
  <c r="M270" i="77"/>
  <c r="M283" i="77" s="1"/>
  <c r="F273" i="77"/>
  <c r="H273" i="77"/>
  <c r="J273" i="77"/>
  <c r="L273" i="77"/>
  <c r="N273" i="77"/>
  <c r="G282" i="77"/>
  <c r="I282" i="77"/>
  <c r="K282" i="77"/>
  <c r="M282" i="77"/>
  <c r="G443" i="77"/>
  <c r="I443" i="77"/>
  <c r="K443" i="77"/>
  <c r="M443" i="77"/>
  <c r="G451" i="77"/>
  <c r="I451" i="77"/>
  <c r="K451" i="77"/>
  <c r="M451" i="77"/>
  <c r="G757" i="77"/>
  <c r="I757" i="77"/>
  <c r="K757" i="77"/>
  <c r="M757" i="77"/>
  <c r="G768" i="77"/>
  <c r="I768" i="77"/>
  <c r="K768" i="77"/>
  <c r="M768" i="77"/>
  <c r="H890" i="77"/>
  <c r="J890" i="77"/>
  <c r="L890" i="77"/>
  <c r="N890" i="77"/>
  <c r="H972" i="77"/>
  <c r="H1093" i="77" s="1"/>
  <c r="L972" i="77"/>
  <c r="F20" i="77"/>
  <c r="H20" i="77"/>
  <c r="J20" i="77"/>
  <c r="L20" i="77"/>
  <c r="N20" i="77"/>
  <c r="G60" i="77"/>
  <c r="G1045" i="77" s="1"/>
  <c r="I60" i="77"/>
  <c r="K60" i="77"/>
  <c r="M60" i="77"/>
  <c r="F82" i="77"/>
  <c r="H82" i="77"/>
  <c r="J82" i="77"/>
  <c r="L82" i="77"/>
  <c r="N82" i="77"/>
  <c r="G182" i="77"/>
  <c r="G198" i="77" s="1"/>
  <c r="I182" i="77"/>
  <c r="I198" i="77" s="1"/>
  <c r="K182" i="77"/>
  <c r="K198" i="77" s="1"/>
  <c r="M182" i="77"/>
  <c r="M198" i="77" s="1"/>
  <c r="F196" i="77"/>
  <c r="H196" i="77"/>
  <c r="J196" i="77"/>
  <c r="L196" i="77"/>
  <c r="N196" i="77"/>
  <c r="F270" i="77"/>
  <c r="H270" i="77"/>
  <c r="H283" i="77" s="1"/>
  <c r="J270" i="77"/>
  <c r="J283" i="77" s="1"/>
  <c r="L270" i="77"/>
  <c r="L283" i="77" s="1"/>
  <c r="N270" i="77"/>
  <c r="N283" i="77" s="1"/>
  <c r="F443" i="77"/>
  <c r="H443" i="77"/>
  <c r="J443" i="77"/>
  <c r="L443" i="77"/>
  <c r="N443" i="77"/>
  <c r="F757" i="77"/>
  <c r="H757" i="77"/>
  <c r="J757" i="77"/>
  <c r="L757" i="77"/>
  <c r="N757" i="77"/>
  <c r="G354" i="77"/>
  <c r="I354" i="77"/>
  <c r="K354" i="77"/>
  <c r="M354" i="77"/>
  <c r="F364" i="77"/>
  <c r="H364" i="77"/>
  <c r="J364" i="77"/>
  <c r="L364" i="77"/>
  <c r="N364" i="77"/>
  <c r="G365" i="77"/>
  <c r="I365" i="77"/>
  <c r="K365" i="77"/>
  <c r="M365" i="77"/>
  <c r="F520" i="77"/>
  <c r="H520" i="77"/>
  <c r="J520" i="77"/>
  <c r="L520" i="77"/>
  <c r="N520" i="77"/>
  <c r="F529" i="77"/>
  <c r="H529" i="77"/>
  <c r="J529" i="77"/>
  <c r="L529" i="77"/>
  <c r="N529" i="77"/>
  <c r="G530" i="77"/>
  <c r="I530" i="77"/>
  <c r="K530" i="77"/>
  <c r="M530" i="77"/>
  <c r="F650" i="77"/>
  <c r="H650" i="77"/>
  <c r="J650" i="77"/>
  <c r="L650" i="77"/>
  <c r="N650" i="77"/>
  <c r="F663" i="77"/>
  <c r="H663" i="77"/>
  <c r="J663" i="77"/>
  <c r="L663" i="77"/>
  <c r="N663" i="77"/>
  <c r="G664" i="77"/>
  <c r="I664" i="77"/>
  <c r="K664" i="77"/>
  <c r="M664" i="77"/>
  <c r="G244" i="77"/>
  <c r="I244" i="77"/>
  <c r="K244" i="77"/>
  <c r="M244" i="77"/>
  <c r="G308" i="77"/>
  <c r="G321" i="77" s="1"/>
  <c r="I308" i="77"/>
  <c r="I321" i="77" s="1"/>
  <c r="K308" i="77"/>
  <c r="K321" i="77" s="1"/>
  <c r="M308" i="77"/>
  <c r="M321" i="77" s="1"/>
  <c r="F603" i="77"/>
  <c r="H603" i="77"/>
  <c r="J603" i="77"/>
  <c r="L603" i="77"/>
  <c r="N603" i="77"/>
  <c r="G610" i="77"/>
  <c r="I610" i="77"/>
  <c r="K610" i="77"/>
  <c r="M610" i="77"/>
  <c r="F354" i="77"/>
  <c r="H354" i="77"/>
  <c r="J354" i="77"/>
  <c r="L354" i="77"/>
  <c r="N354" i="77"/>
  <c r="G364" i="77"/>
  <c r="I364" i="77"/>
  <c r="K364" i="77"/>
  <c r="M364" i="77"/>
  <c r="F365" i="77"/>
  <c r="H365" i="77"/>
  <c r="J365" i="77"/>
  <c r="L365" i="77"/>
  <c r="N365" i="77"/>
  <c r="G520" i="77"/>
  <c r="I520" i="77"/>
  <c r="K520" i="77"/>
  <c r="M520" i="77"/>
  <c r="G529" i="77"/>
  <c r="I529" i="77"/>
  <c r="K529" i="77"/>
  <c r="M529" i="77"/>
  <c r="F530" i="77"/>
  <c r="H530" i="77"/>
  <c r="J530" i="77"/>
  <c r="L530" i="77"/>
  <c r="N530" i="77"/>
  <c r="G650" i="77"/>
  <c r="I650" i="77"/>
  <c r="K650" i="77"/>
  <c r="M650" i="77"/>
  <c r="G663" i="77"/>
  <c r="I663" i="77"/>
  <c r="K663" i="77"/>
  <c r="M663" i="77"/>
  <c r="F664" i="77"/>
  <c r="H664" i="77"/>
  <c r="J664" i="77"/>
  <c r="L664" i="77"/>
  <c r="N664" i="77"/>
  <c r="F244" i="77"/>
  <c r="H244" i="77"/>
  <c r="J244" i="77"/>
  <c r="L244" i="77"/>
  <c r="N244" i="77"/>
  <c r="F308" i="77"/>
  <c r="H308" i="77"/>
  <c r="H321" i="77" s="1"/>
  <c r="J308" i="77"/>
  <c r="J321" i="77" s="1"/>
  <c r="L308" i="77"/>
  <c r="L321" i="77" s="1"/>
  <c r="N308" i="77"/>
  <c r="N321" i="77" s="1"/>
  <c r="G603" i="77"/>
  <c r="I603" i="77"/>
  <c r="K603" i="77"/>
  <c r="M603" i="77"/>
  <c r="F610" i="77"/>
  <c r="H610" i="77"/>
  <c r="J610" i="77"/>
  <c r="L610" i="77"/>
  <c r="N610" i="77"/>
  <c r="G1046" i="77" l="1"/>
  <c r="J1046" i="77"/>
  <c r="G1049" i="77"/>
  <c r="I1049" i="77"/>
  <c r="H1049" i="77"/>
  <c r="K1045" i="77"/>
  <c r="K1046" i="77" s="1"/>
  <c r="L1045" i="77"/>
  <c r="L1046" i="77" s="1"/>
  <c r="H1045" i="77"/>
  <c r="H1046" i="77" s="1"/>
  <c r="F1049" i="77"/>
  <c r="R1031" i="77"/>
  <c r="R1035" i="77"/>
  <c r="F15" i="96" s="1"/>
  <c r="I1045" i="77"/>
  <c r="I1046" i="77" s="1"/>
  <c r="N1045" i="77"/>
  <c r="N1046" i="77" s="1"/>
  <c r="R1032" i="77"/>
  <c r="F12" i="96" s="1"/>
  <c r="F1045" i="77"/>
  <c r="R1036" i="77"/>
  <c r="F17" i="96" s="1"/>
  <c r="M1045" i="77"/>
  <c r="M1046" i="77" s="1"/>
  <c r="K243" i="77"/>
  <c r="R1038" i="77"/>
  <c r="F21" i="96" s="1"/>
  <c r="R1037" i="77"/>
  <c r="F19" i="96" s="1"/>
  <c r="R22" i="77"/>
  <c r="F992" i="77"/>
  <c r="R992" i="77" s="1"/>
  <c r="F23" i="77"/>
  <c r="F197" i="77"/>
  <c r="L23" i="77"/>
  <c r="J23" i="77"/>
  <c r="G23" i="77"/>
  <c r="N23" i="77"/>
  <c r="K23" i="77"/>
  <c r="H23" i="77"/>
  <c r="M23" i="77"/>
  <c r="I23" i="77"/>
  <c r="R105" i="77"/>
  <c r="G197" i="77"/>
  <c r="R867" i="77"/>
  <c r="F892" i="77"/>
  <c r="R892" i="77" s="1"/>
  <c r="F982" i="77"/>
  <c r="R982" i="77" s="1"/>
  <c r="R231" i="77"/>
  <c r="R964" i="77"/>
  <c r="I984" i="77"/>
  <c r="J984" i="77"/>
  <c r="N984" i="77"/>
  <c r="R411" i="77"/>
  <c r="R706" i="77"/>
  <c r="R564" i="77"/>
  <c r="F890" i="77"/>
  <c r="R890" i="77" s="1"/>
  <c r="R320" i="77"/>
  <c r="R242" i="77"/>
  <c r="R243" i="77" s="1"/>
  <c r="R311" i="77"/>
  <c r="F897" i="77"/>
  <c r="R897" i="77" s="1"/>
  <c r="F980" i="77"/>
  <c r="R980" i="77" s="1"/>
  <c r="F899" i="77"/>
  <c r="R899" i="77" s="1"/>
  <c r="F975" i="77"/>
  <c r="R975" i="77" s="1"/>
  <c r="F893" i="77"/>
  <c r="R893" i="77" s="1"/>
  <c r="R610" i="77"/>
  <c r="F321" i="77"/>
  <c r="R321" i="77" s="1"/>
  <c r="R308" i="77"/>
  <c r="R244" i="77"/>
  <c r="R603" i="77"/>
  <c r="R663" i="77"/>
  <c r="R650" i="77"/>
  <c r="R529" i="77"/>
  <c r="R520" i="77"/>
  <c r="R364" i="77"/>
  <c r="R757" i="77"/>
  <c r="R443" i="77"/>
  <c r="F283" i="77"/>
  <c r="R283" i="77" s="1"/>
  <c r="R270" i="77"/>
  <c r="R196" i="77"/>
  <c r="R82" i="77"/>
  <c r="R40" i="77"/>
  <c r="R273" i="77"/>
  <c r="R195" i="77"/>
  <c r="F198" i="77"/>
  <c r="R198" i="77" s="1"/>
  <c r="R182" i="77"/>
  <c r="R60" i="77"/>
  <c r="R768" i="77"/>
  <c r="R451" i="77"/>
  <c r="R814" i="77"/>
  <c r="R719" i="77"/>
  <c r="R574" i="77"/>
  <c r="R573" i="77"/>
  <c r="F901" i="77"/>
  <c r="R901" i="77" s="1"/>
  <c r="R872" i="77"/>
  <c r="F979" i="77"/>
  <c r="R979" i="77" s="1"/>
  <c r="R957" i="77"/>
  <c r="F898" i="77"/>
  <c r="R898" i="77" s="1"/>
  <c r="R870" i="77"/>
  <c r="F891" i="77"/>
  <c r="R891" i="77" s="1"/>
  <c r="R866" i="77"/>
  <c r="F983" i="77"/>
  <c r="R983" i="77" s="1"/>
  <c r="R971" i="77"/>
  <c r="F902" i="77"/>
  <c r="R902" i="77" s="1"/>
  <c r="R886" i="77"/>
  <c r="R664" i="77"/>
  <c r="R530" i="77"/>
  <c r="R365" i="77"/>
  <c r="R354" i="77"/>
  <c r="R185" i="77"/>
  <c r="R282" i="77"/>
  <c r="R720" i="77"/>
  <c r="F981" i="77"/>
  <c r="R981" i="77" s="1"/>
  <c r="R966" i="77"/>
  <c r="F900" i="77"/>
  <c r="R900" i="77" s="1"/>
  <c r="R881" i="77"/>
  <c r="F978" i="77"/>
  <c r="R978" i="77" s="1"/>
  <c r="R962" i="77"/>
  <c r="F977" i="77"/>
  <c r="R977" i="77" s="1"/>
  <c r="R961" i="77"/>
  <c r="F896" i="77"/>
  <c r="R896" i="77" s="1"/>
  <c r="R874" i="77"/>
  <c r="F976" i="77"/>
  <c r="R960" i="77"/>
  <c r="F895" i="77"/>
  <c r="R895" i="77" s="1"/>
  <c r="R873" i="77"/>
  <c r="R20" i="77"/>
  <c r="F1068" i="77"/>
  <c r="R1068" i="77" s="1"/>
  <c r="R25" i="77"/>
  <c r="R21" i="77"/>
  <c r="F907" i="77"/>
  <c r="R907" i="77" s="1"/>
  <c r="R17" i="77"/>
  <c r="R862" i="77"/>
  <c r="K984" i="77"/>
  <c r="G984" i="77"/>
  <c r="L984" i="77"/>
  <c r="L985" i="77" s="1"/>
  <c r="H984" i="77"/>
  <c r="H985" i="77" s="1"/>
  <c r="K197" i="77"/>
  <c r="N721" i="77"/>
  <c r="J721" i="77"/>
  <c r="F721" i="77"/>
  <c r="L721" i="77"/>
  <c r="H721" i="77"/>
  <c r="N575" i="77"/>
  <c r="J575" i="77"/>
  <c r="F575" i="77"/>
  <c r="L575" i="77"/>
  <c r="H575" i="77"/>
  <c r="M984" i="77"/>
  <c r="N972" i="77"/>
  <c r="J972" i="77"/>
  <c r="J1093" i="77" s="1"/>
  <c r="F972" i="77"/>
  <c r="F1093" i="77" s="1"/>
  <c r="I197" i="77"/>
  <c r="M665" i="77"/>
  <c r="I665" i="77"/>
  <c r="M366" i="77"/>
  <c r="I366" i="77"/>
  <c r="M197" i="77"/>
  <c r="K721" i="77"/>
  <c r="G721" i="77"/>
  <c r="M721" i="77"/>
  <c r="I721" i="77"/>
  <c r="M575" i="77"/>
  <c r="I575" i="77"/>
  <c r="K575" i="77"/>
  <c r="G575" i="77"/>
  <c r="L665" i="77"/>
  <c r="H665" i="77"/>
  <c r="M531" i="77"/>
  <c r="I531" i="77"/>
  <c r="L531" i="77"/>
  <c r="H531" i="77"/>
  <c r="L366" i="77"/>
  <c r="H366" i="77"/>
  <c r="N995" i="77"/>
  <c r="J995" i="77"/>
  <c r="F995" i="77"/>
  <c r="L1013" i="77"/>
  <c r="L1049" i="77" s="1"/>
  <c r="H1013" i="77"/>
  <c r="K995" i="77"/>
  <c r="G995" i="77"/>
  <c r="L938" i="77"/>
  <c r="H938" i="77"/>
  <c r="K665" i="77"/>
  <c r="G665" i="77"/>
  <c r="K531" i="77"/>
  <c r="G531" i="77"/>
  <c r="K366" i="77"/>
  <c r="G366" i="77"/>
  <c r="N665" i="77"/>
  <c r="J665" i="77"/>
  <c r="F665" i="77"/>
  <c r="N531" i="77"/>
  <c r="J531" i="77"/>
  <c r="F531" i="77"/>
  <c r="N366" i="77"/>
  <c r="J366" i="77"/>
  <c r="F366" i="77"/>
  <c r="N197" i="77"/>
  <c r="J197" i="77"/>
  <c r="M972" i="77"/>
  <c r="K972" i="77"/>
  <c r="K1093" i="77" s="1"/>
  <c r="I972" i="77"/>
  <c r="I1093" i="77" s="1"/>
  <c r="G972" i="77"/>
  <c r="G1093" i="77" s="1"/>
  <c r="L995" i="77"/>
  <c r="H995" i="77"/>
  <c r="N1013" i="77"/>
  <c r="N1049" i="77" s="1"/>
  <c r="J1013" i="77"/>
  <c r="J1049" i="77" s="1"/>
  <c r="F1013" i="77"/>
  <c r="M995" i="77"/>
  <c r="I995" i="77"/>
  <c r="J938" i="77"/>
  <c r="L197" i="77"/>
  <c r="H197" i="77"/>
  <c r="M63" i="73"/>
  <c r="L63" i="73"/>
  <c r="K63" i="73"/>
  <c r="J63" i="73"/>
  <c r="I63" i="73"/>
  <c r="H63" i="73"/>
  <c r="G63" i="73"/>
  <c r="F63" i="73"/>
  <c r="E63" i="73"/>
  <c r="M62" i="73"/>
  <c r="L62" i="73"/>
  <c r="K62" i="73"/>
  <c r="J62" i="73"/>
  <c r="I62" i="73"/>
  <c r="H62" i="73"/>
  <c r="G62" i="73"/>
  <c r="F62" i="73"/>
  <c r="E62" i="73"/>
  <c r="M61" i="73"/>
  <c r="L61" i="73"/>
  <c r="K61" i="73"/>
  <c r="J61" i="73"/>
  <c r="I61" i="73"/>
  <c r="H61" i="73"/>
  <c r="G61" i="73"/>
  <c r="F61" i="73"/>
  <c r="E61" i="73"/>
  <c r="M60" i="73"/>
  <c r="L60" i="73"/>
  <c r="K60" i="73"/>
  <c r="J60" i="73"/>
  <c r="I60" i="73"/>
  <c r="H60" i="73"/>
  <c r="G60" i="73"/>
  <c r="F60" i="73"/>
  <c r="E60" i="73"/>
  <c r="M59" i="73"/>
  <c r="L59" i="73"/>
  <c r="K59" i="73"/>
  <c r="J59" i="73"/>
  <c r="I59" i="73"/>
  <c r="H59" i="73"/>
  <c r="G59" i="73"/>
  <c r="F59" i="73"/>
  <c r="E59" i="73"/>
  <c r="M58" i="73"/>
  <c r="L58" i="73"/>
  <c r="K58" i="73"/>
  <c r="J58" i="73"/>
  <c r="I58" i="73"/>
  <c r="H58" i="73"/>
  <c r="G58" i="73"/>
  <c r="F58" i="73"/>
  <c r="E58" i="73"/>
  <c r="M57" i="73"/>
  <c r="L57" i="73"/>
  <c r="K57" i="73"/>
  <c r="J57" i="73"/>
  <c r="I57" i="73"/>
  <c r="H57" i="73"/>
  <c r="G57" i="73"/>
  <c r="F57" i="73"/>
  <c r="E57" i="73"/>
  <c r="M56" i="73"/>
  <c r="L56" i="73"/>
  <c r="K56" i="73"/>
  <c r="J56" i="73"/>
  <c r="I56" i="73"/>
  <c r="H56" i="73"/>
  <c r="G56" i="73"/>
  <c r="F56" i="73"/>
  <c r="E56" i="73"/>
  <c r="M55" i="73"/>
  <c r="L55" i="73"/>
  <c r="K55" i="73"/>
  <c r="J55" i="73"/>
  <c r="I55" i="73"/>
  <c r="H55" i="73"/>
  <c r="G55" i="73"/>
  <c r="F55" i="73"/>
  <c r="E55" i="73"/>
  <c r="M53" i="73"/>
  <c r="L53" i="73"/>
  <c r="K53" i="73"/>
  <c r="J53" i="73"/>
  <c r="I53" i="73"/>
  <c r="H53" i="73"/>
  <c r="G53" i="73"/>
  <c r="F53" i="73"/>
  <c r="E53" i="73"/>
  <c r="M50" i="73"/>
  <c r="L50" i="73"/>
  <c r="K50" i="73"/>
  <c r="J50" i="73"/>
  <c r="I50" i="73"/>
  <c r="H50" i="73"/>
  <c r="G50" i="73"/>
  <c r="F50" i="73"/>
  <c r="E50" i="73"/>
  <c r="M49" i="73"/>
  <c r="L49" i="73"/>
  <c r="K49" i="73"/>
  <c r="J49" i="73"/>
  <c r="I49" i="73"/>
  <c r="H49" i="73"/>
  <c r="G49" i="73"/>
  <c r="F49" i="73"/>
  <c r="E49" i="73"/>
  <c r="M48" i="73"/>
  <c r="L48" i="73"/>
  <c r="K48" i="73"/>
  <c r="J48" i="73"/>
  <c r="I48" i="73"/>
  <c r="H48" i="73"/>
  <c r="G48" i="73"/>
  <c r="F48" i="73"/>
  <c r="E48" i="73"/>
  <c r="M47" i="73"/>
  <c r="L47" i="73"/>
  <c r="K47" i="73"/>
  <c r="J47" i="73"/>
  <c r="I47" i="73"/>
  <c r="H47" i="73"/>
  <c r="G47" i="73"/>
  <c r="F47" i="73"/>
  <c r="E47" i="73"/>
  <c r="M46" i="73"/>
  <c r="L46" i="73"/>
  <c r="K46" i="73"/>
  <c r="J46" i="73"/>
  <c r="I46" i="73"/>
  <c r="H46" i="73"/>
  <c r="G46" i="73"/>
  <c r="F46" i="73"/>
  <c r="E46" i="73"/>
  <c r="M43" i="73"/>
  <c r="L43" i="73"/>
  <c r="K43" i="73"/>
  <c r="J43" i="73"/>
  <c r="I43" i="73"/>
  <c r="H43" i="73"/>
  <c r="G43" i="73"/>
  <c r="F43" i="73"/>
  <c r="E43" i="73"/>
  <c r="M45" i="73"/>
  <c r="L45" i="73"/>
  <c r="K45" i="73"/>
  <c r="J45" i="73"/>
  <c r="I45" i="73"/>
  <c r="H45" i="73"/>
  <c r="G45" i="73"/>
  <c r="F45" i="73"/>
  <c r="E45" i="73"/>
  <c r="M44" i="73"/>
  <c r="L44" i="73"/>
  <c r="K44" i="73"/>
  <c r="J44" i="73"/>
  <c r="I44" i="73"/>
  <c r="H44" i="73"/>
  <c r="G44" i="73"/>
  <c r="F44" i="73"/>
  <c r="E44" i="73"/>
  <c r="M42" i="73"/>
  <c r="L42" i="73"/>
  <c r="K42" i="73"/>
  <c r="J42" i="73"/>
  <c r="I42" i="73"/>
  <c r="H42" i="73"/>
  <c r="G42" i="73"/>
  <c r="F42" i="73"/>
  <c r="E42" i="73"/>
  <c r="M39" i="73"/>
  <c r="L39" i="73"/>
  <c r="K39" i="73"/>
  <c r="J39" i="73"/>
  <c r="I39" i="73"/>
  <c r="H39" i="73"/>
  <c r="G39" i="73"/>
  <c r="F39" i="73"/>
  <c r="E39" i="73"/>
  <c r="M38" i="73"/>
  <c r="L38" i="73"/>
  <c r="K38" i="73"/>
  <c r="J38" i="73"/>
  <c r="I38" i="73"/>
  <c r="H38" i="73"/>
  <c r="G38" i="73"/>
  <c r="F38" i="73"/>
  <c r="E38" i="73"/>
  <c r="M37" i="73"/>
  <c r="L37" i="73"/>
  <c r="K37" i="73"/>
  <c r="J37" i="73"/>
  <c r="I37" i="73"/>
  <c r="H37" i="73"/>
  <c r="G37" i="73"/>
  <c r="F37" i="73"/>
  <c r="A30" i="73"/>
  <c r="A29" i="73"/>
  <c r="F24" i="96" l="1"/>
  <c r="F29" i="96" s="1"/>
  <c r="F1046" i="77"/>
  <c r="R1045" i="77"/>
  <c r="R1046" i="77" s="1"/>
  <c r="R23" i="77"/>
  <c r="H65" i="73"/>
  <c r="H66" i="73" s="1"/>
  <c r="L65" i="73"/>
  <c r="L66" i="73" s="1"/>
  <c r="I65" i="73"/>
  <c r="I66" i="73" s="1"/>
  <c r="M65" i="73"/>
  <c r="M66" i="73" s="1"/>
  <c r="F65" i="73"/>
  <c r="F66" i="73" s="1"/>
  <c r="J65" i="73"/>
  <c r="J66" i="73" s="1"/>
  <c r="G65" i="73"/>
  <c r="G66" i="73" s="1"/>
  <c r="K65" i="73"/>
  <c r="K66" i="73" s="1"/>
  <c r="R413" i="77"/>
  <c r="F938" i="77"/>
  <c r="R938" i="77" s="1"/>
  <c r="R197" i="77"/>
  <c r="R972" i="77"/>
  <c r="R1013" i="77"/>
  <c r="J985" i="77"/>
  <c r="R976" i="77"/>
  <c r="F984" i="77"/>
  <c r="F985" i="77" s="1"/>
  <c r="R575" i="77"/>
  <c r="R721" i="77"/>
  <c r="Q62" i="73"/>
  <c r="Q63" i="73"/>
  <c r="D21" i="98" s="1"/>
  <c r="Q38" i="73"/>
  <c r="Q39" i="73"/>
  <c r="Q42" i="73"/>
  <c r="Q44" i="73"/>
  <c r="Q45" i="73"/>
  <c r="Q43" i="73"/>
  <c r="D12" i="98" s="1"/>
  <c r="F12" i="98" s="1"/>
  <c r="Q46" i="73"/>
  <c r="Q47" i="73"/>
  <c r="Q48" i="73"/>
  <c r="Q49" i="73"/>
  <c r="Q50" i="73"/>
  <c r="D20" i="98" s="1"/>
  <c r="Q53" i="73"/>
  <c r="Q55" i="73"/>
  <c r="Q56" i="73"/>
  <c r="Q57" i="73"/>
  <c r="Q58" i="73"/>
  <c r="Q59" i="73"/>
  <c r="Q60" i="73"/>
  <c r="D18" i="98" s="1"/>
  <c r="F18" i="98" s="1"/>
  <c r="Q61" i="73"/>
  <c r="R995" i="77"/>
  <c r="Q37" i="73"/>
  <c r="N985" i="77"/>
  <c r="K903" i="77"/>
  <c r="K887" i="77"/>
  <c r="G903" i="77"/>
  <c r="G887" i="77"/>
  <c r="H62" i="77"/>
  <c r="J61" i="77"/>
  <c r="L66" i="77"/>
  <c r="L1070" i="77" s="1"/>
  <c r="N62" i="77"/>
  <c r="G66" i="77"/>
  <c r="G1070" i="77" s="1"/>
  <c r="I909" i="77"/>
  <c r="I940" i="77" s="1"/>
  <c r="K66" i="77"/>
  <c r="K1070" i="77" s="1"/>
  <c r="M909" i="77"/>
  <c r="M940" i="77" s="1"/>
  <c r="E65" i="73"/>
  <c r="E66" i="73" s="1"/>
  <c r="I985" i="77"/>
  <c r="M985" i="77"/>
  <c r="R366" i="77"/>
  <c r="R531" i="77"/>
  <c r="R665" i="77"/>
  <c r="G985" i="77"/>
  <c r="K985" i="77"/>
  <c r="D10" i="98" l="1"/>
  <c r="D14" i="98"/>
  <c r="F14" i="98" s="1"/>
  <c r="F10" i="98"/>
  <c r="D17" i="98"/>
  <c r="F17" i="98" s="1"/>
  <c r="D16" i="98"/>
  <c r="D13" i="98"/>
  <c r="F21" i="98"/>
  <c r="F20" i="98"/>
  <c r="D15" i="98"/>
  <c r="D11" i="98"/>
  <c r="F11" i="98" s="1"/>
  <c r="D19" i="98"/>
  <c r="Q66" i="73"/>
  <c r="R984" i="77"/>
  <c r="R985" i="77" s="1"/>
  <c r="R1049" i="77"/>
  <c r="Q65" i="73"/>
  <c r="H61" i="77"/>
  <c r="J66" i="77"/>
  <c r="J1070" i="77" s="1"/>
  <c r="M61" i="77"/>
  <c r="N61" i="77"/>
  <c r="N64" i="77" s="1"/>
  <c r="N909" i="77"/>
  <c r="N940" i="77" s="1"/>
  <c r="L62" i="77"/>
  <c r="L1015" i="77" s="1"/>
  <c r="L909" i="77"/>
  <c r="L940" i="77" s="1"/>
  <c r="J909" i="77"/>
  <c r="J940" i="77" s="1"/>
  <c r="J62" i="77"/>
  <c r="J1015" i="77" s="1"/>
  <c r="H909" i="77"/>
  <c r="H940" i="77" s="1"/>
  <c r="H66" i="77"/>
  <c r="H1070" i="77" s="1"/>
  <c r="G61" i="77"/>
  <c r="I61" i="77"/>
  <c r="M66" i="77"/>
  <c r="M1070" i="77" s="1"/>
  <c r="G62" i="77"/>
  <c r="G1015" i="77" s="1"/>
  <c r="K61" i="77"/>
  <c r="K62" i="77"/>
  <c r="K1015" i="77" s="1"/>
  <c r="I66" i="77"/>
  <c r="I1070" i="77" s="1"/>
  <c r="M62" i="77"/>
  <c r="M989" i="77" s="1"/>
  <c r="G909" i="77"/>
  <c r="G940" i="77" s="1"/>
  <c r="K909" i="77"/>
  <c r="K940" i="77" s="1"/>
  <c r="I62" i="77"/>
  <c r="I1015" i="77" s="1"/>
  <c r="N66" i="77"/>
  <c r="N1070" i="77" s="1"/>
  <c r="L61" i="77"/>
  <c r="K904" i="77"/>
  <c r="G904" i="77"/>
  <c r="I903" i="77"/>
  <c r="I887" i="77"/>
  <c r="M903" i="77"/>
  <c r="M887" i="77"/>
  <c r="N903" i="77"/>
  <c r="N887" i="77"/>
  <c r="L903" i="77"/>
  <c r="L887" i="77"/>
  <c r="J903" i="77"/>
  <c r="J887" i="77"/>
  <c r="H903" i="77"/>
  <c r="H887" i="77"/>
  <c r="F887" i="77"/>
  <c r="N1015" i="77"/>
  <c r="N989" i="77"/>
  <c r="J997" i="77"/>
  <c r="H989" i="77"/>
  <c r="H1015" i="77"/>
  <c r="M931" i="77"/>
  <c r="M797" i="77"/>
  <c r="M810" i="77" s="1"/>
  <c r="M811" i="77" s="1"/>
  <c r="M812" i="77"/>
  <c r="M818" i="77" s="1"/>
  <c r="K931" i="77"/>
  <c r="K797" i="77"/>
  <c r="K810" i="77" s="1"/>
  <c r="K811" i="77" s="1"/>
  <c r="K812" i="77"/>
  <c r="K818" i="77" s="1"/>
  <c r="I931" i="77"/>
  <c r="I797" i="77"/>
  <c r="I810" i="77" s="1"/>
  <c r="I811" i="77" s="1"/>
  <c r="I812" i="77"/>
  <c r="I818" i="77" s="1"/>
  <c r="G931" i="77"/>
  <c r="G797" i="77"/>
  <c r="G810" i="77" s="1"/>
  <c r="G811" i="77" s="1"/>
  <c r="G812" i="77"/>
  <c r="G818" i="77" s="1"/>
  <c r="M700" i="77"/>
  <c r="M713" i="77" s="1"/>
  <c r="M714" i="77" s="1"/>
  <c r="M919" i="77"/>
  <c r="M715" i="77"/>
  <c r="M716" i="77"/>
  <c r="M726" i="77"/>
  <c r="K919" i="77"/>
  <c r="K700" i="77"/>
  <c r="K713" i="77" s="1"/>
  <c r="K714" i="77" s="1"/>
  <c r="K726" i="77"/>
  <c r="K715" i="77"/>
  <c r="K716" i="77"/>
  <c r="I700" i="77"/>
  <c r="I713" i="77" s="1"/>
  <c r="I714" i="77" s="1"/>
  <c r="I919" i="77"/>
  <c r="I715" i="77"/>
  <c r="I716" i="77"/>
  <c r="I726" i="77"/>
  <c r="G919" i="77"/>
  <c r="G700" i="77"/>
  <c r="G713" i="77" s="1"/>
  <c r="G714" i="77" s="1"/>
  <c r="G726" i="77"/>
  <c r="G715" i="77"/>
  <c r="G716" i="77"/>
  <c r="M918" i="77"/>
  <c r="M569" i="77"/>
  <c r="M570" i="77"/>
  <c r="M580" i="77"/>
  <c r="M558" i="77"/>
  <c r="M567" i="77" s="1"/>
  <c r="M568" i="77" s="1"/>
  <c r="K918" i="77"/>
  <c r="K569" i="77"/>
  <c r="K570" i="77"/>
  <c r="K580" i="77"/>
  <c r="K558" i="77"/>
  <c r="K567" i="77" s="1"/>
  <c r="K568" i="77" s="1"/>
  <c r="I918" i="77"/>
  <c r="I569" i="77"/>
  <c r="I570" i="77"/>
  <c r="I580" i="77"/>
  <c r="I558" i="77"/>
  <c r="I567" i="77" s="1"/>
  <c r="I568" i="77" s="1"/>
  <c r="G918" i="77"/>
  <c r="G569" i="77"/>
  <c r="G570" i="77"/>
  <c r="G580" i="77"/>
  <c r="G558" i="77"/>
  <c r="G567" i="77" s="1"/>
  <c r="G568" i="77" s="1"/>
  <c r="M929" i="77"/>
  <c r="M474" i="77"/>
  <c r="M484" i="77" s="1"/>
  <c r="M485" i="77" s="1"/>
  <c r="M486" i="77"/>
  <c r="K929" i="77"/>
  <c r="K474" i="77"/>
  <c r="K484" i="77" s="1"/>
  <c r="K485" i="77" s="1"/>
  <c r="K486" i="77"/>
  <c r="I929" i="77"/>
  <c r="I474" i="77"/>
  <c r="I484" i="77" s="1"/>
  <c r="I485" i="77" s="1"/>
  <c r="I486" i="77"/>
  <c r="G929" i="77"/>
  <c r="G474" i="77"/>
  <c r="G484" i="77" s="1"/>
  <c r="G485" i="77" s="1"/>
  <c r="G486" i="77"/>
  <c r="M917" i="77"/>
  <c r="M395" i="77"/>
  <c r="M405" i="77" s="1"/>
  <c r="M406" i="77" s="1"/>
  <c r="M407" i="77"/>
  <c r="M408" i="77"/>
  <c r="M418" i="77"/>
  <c r="K917" i="77"/>
  <c r="K395" i="77"/>
  <c r="K405" i="77" s="1"/>
  <c r="K406" i="77" s="1"/>
  <c r="K407" i="77"/>
  <c r="K408" i="77"/>
  <c r="K418" i="77"/>
  <c r="I917" i="77"/>
  <c r="I395" i="77"/>
  <c r="I405" i="77" s="1"/>
  <c r="I406" i="77" s="1"/>
  <c r="I407" i="77"/>
  <c r="I408" i="77"/>
  <c r="I418" i="77"/>
  <c r="G917" i="77"/>
  <c r="G395" i="77"/>
  <c r="G405" i="77" s="1"/>
  <c r="G406" i="77" s="1"/>
  <c r="G407" i="77"/>
  <c r="G408" i="77"/>
  <c r="G418" i="77"/>
  <c r="M928" i="77"/>
  <c r="M305" i="77"/>
  <c r="M315" i="77" s="1"/>
  <c r="M316" i="77" s="1"/>
  <c r="M317" i="77"/>
  <c r="M318" i="77"/>
  <c r="K928" i="77"/>
  <c r="K305" i="77"/>
  <c r="K315" i="77" s="1"/>
  <c r="K316" i="77" s="1"/>
  <c r="K317" i="77"/>
  <c r="K318" i="77"/>
  <c r="I928" i="77"/>
  <c r="I305" i="77"/>
  <c r="I315" i="77" s="1"/>
  <c r="I316" i="77" s="1"/>
  <c r="I317" i="77"/>
  <c r="I318" i="77"/>
  <c r="G928" i="77"/>
  <c r="G305" i="77"/>
  <c r="G315" i="77" s="1"/>
  <c r="G316" i="77" s="1"/>
  <c r="G317" i="77"/>
  <c r="G318" i="77"/>
  <c r="N931" i="77"/>
  <c r="N797" i="77"/>
  <c r="N810" i="77" s="1"/>
  <c r="N811" i="77" s="1"/>
  <c r="N812" i="77"/>
  <c r="N818" i="77" s="1"/>
  <c r="L931" i="77"/>
  <c r="L797" i="77"/>
  <c r="L810" i="77" s="1"/>
  <c r="L811" i="77" s="1"/>
  <c r="L812" i="77"/>
  <c r="L818" i="77" s="1"/>
  <c r="J931" i="77"/>
  <c r="J797" i="77"/>
  <c r="J810" i="77" s="1"/>
  <c r="J811" i="77" s="1"/>
  <c r="J812" i="77"/>
  <c r="J818" i="77" s="1"/>
  <c r="H931" i="77"/>
  <c r="H797" i="77"/>
  <c r="H810" i="77" s="1"/>
  <c r="H811" i="77" s="1"/>
  <c r="H812" i="77"/>
  <c r="H818" i="77" s="1"/>
  <c r="N919" i="77"/>
  <c r="N715" i="77"/>
  <c r="N716" i="77"/>
  <c r="N726" i="77"/>
  <c r="N700" i="77"/>
  <c r="N713" i="77" s="1"/>
  <c r="N714" i="77" s="1"/>
  <c r="L919" i="77"/>
  <c r="L715" i="77"/>
  <c r="L716" i="77"/>
  <c r="L726" i="77"/>
  <c r="L700" i="77"/>
  <c r="L713" i="77" s="1"/>
  <c r="L714" i="77" s="1"/>
  <c r="J919" i="77"/>
  <c r="J715" i="77"/>
  <c r="J716" i="77"/>
  <c r="J726" i="77"/>
  <c r="J700" i="77"/>
  <c r="J713" i="77" s="1"/>
  <c r="J714" i="77" s="1"/>
  <c r="H919" i="77"/>
  <c r="H715" i="77"/>
  <c r="H716" i="77"/>
  <c r="H726" i="77"/>
  <c r="H700" i="77"/>
  <c r="H713" i="77" s="1"/>
  <c r="H714" i="77" s="1"/>
  <c r="N918" i="77"/>
  <c r="N558" i="77"/>
  <c r="N567" i="77" s="1"/>
  <c r="N568" i="77" s="1"/>
  <c r="N569" i="77"/>
  <c r="N570" i="77"/>
  <c r="N580" i="77"/>
  <c r="L918" i="77"/>
  <c r="L558" i="77"/>
  <c r="L567" i="77" s="1"/>
  <c r="L568" i="77" s="1"/>
  <c r="L569" i="77"/>
  <c r="L570" i="77"/>
  <c r="L580" i="77"/>
  <c r="J918" i="77"/>
  <c r="J558" i="77"/>
  <c r="J567" i="77" s="1"/>
  <c r="J568" i="77" s="1"/>
  <c r="J569" i="77"/>
  <c r="J570" i="77"/>
  <c r="J580" i="77"/>
  <c r="H918" i="77"/>
  <c r="H558" i="77"/>
  <c r="H567" i="77" s="1"/>
  <c r="H568" i="77" s="1"/>
  <c r="H569" i="77"/>
  <c r="H570" i="77"/>
  <c r="H580" i="77"/>
  <c r="N929" i="77"/>
  <c r="N474" i="77"/>
  <c r="N484" i="77" s="1"/>
  <c r="N485" i="77" s="1"/>
  <c r="N486" i="77"/>
  <c r="L929" i="77"/>
  <c r="L474" i="77"/>
  <c r="L484" i="77" s="1"/>
  <c r="L485" i="77" s="1"/>
  <c r="L486" i="77"/>
  <c r="J929" i="77"/>
  <c r="J474" i="77"/>
  <c r="J484" i="77" s="1"/>
  <c r="J485" i="77" s="1"/>
  <c r="J486" i="77"/>
  <c r="H929" i="77"/>
  <c r="H474" i="77"/>
  <c r="H484" i="77" s="1"/>
  <c r="H485" i="77" s="1"/>
  <c r="H486" i="77"/>
  <c r="N917" i="77"/>
  <c r="N395" i="77"/>
  <c r="N405" i="77" s="1"/>
  <c r="N406" i="77" s="1"/>
  <c r="N407" i="77"/>
  <c r="N408" i="77"/>
  <c r="N418" i="77"/>
  <c r="L917" i="77"/>
  <c r="L395" i="77"/>
  <c r="L405" i="77" s="1"/>
  <c r="L406" i="77" s="1"/>
  <c r="L407" i="77"/>
  <c r="L408" i="77"/>
  <c r="L418" i="77"/>
  <c r="J917" i="77"/>
  <c r="J395" i="77"/>
  <c r="J405" i="77" s="1"/>
  <c r="J406" i="77" s="1"/>
  <c r="J407" i="77"/>
  <c r="J408" i="77"/>
  <c r="J418" i="77"/>
  <c r="H917" i="77"/>
  <c r="H395" i="77"/>
  <c r="H405" i="77" s="1"/>
  <c r="H406" i="77" s="1"/>
  <c r="H407" i="77"/>
  <c r="H408" i="77"/>
  <c r="H418" i="77"/>
  <c r="N928" i="77"/>
  <c r="N305" i="77"/>
  <c r="N315" i="77" s="1"/>
  <c r="N316" i="77" s="1"/>
  <c r="N317" i="77"/>
  <c r="N318" i="77"/>
  <c r="L928" i="77"/>
  <c r="L305" i="77"/>
  <c r="L315" i="77" s="1"/>
  <c r="L316" i="77" s="1"/>
  <c r="L317" i="77"/>
  <c r="L318" i="77"/>
  <c r="J928" i="77"/>
  <c r="J305" i="77"/>
  <c r="J315" i="77" s="1"/>
  <c r="J316" i="77" s="1"/>
  <c r="J317" i="77"/>
  <c r="J318" i="77"/>
  <c r="H928" i="77"/>
  <c r="H305" i="77"/>
  <c r="H315" i="77" s="1"/>
  <c r="H316" i="77" s="1"/>
  <c r="H317" i="77"/>
  <c r="H318" i="77"/>
  <c r="N724" i="77" l="1"/>
  <c r="L816" i="77"/>
  <c r="G724" i="77"/>
  <c r="M724" i="77"/>
  <c r="K816" i="77"/>
  <c r="H816" i="77"/>
  <c r="G816" i="77"/>
  <c r="J816" i="77"/>
  <c r="I816" i="77"/>
  <c r="N816" i="77"/>
  <c r="M816" i="77"/>
  <c r="L724" i="77"/>
  <c r="H724" i="77"/>
  <c r="J724" i="77"/>
  <c r="I724" i="77"/>
  <c r="K724" i="77"/>
  <c r="H578" i="77"/>
  <c r="M578" i="77"/>
  <c r="J578" i="77"/>
  <c r="G578" i="77"/>
  <c r="L578" i="77"/>
  <c r="I578" i="77"/>
  <c r="N578" i="77"/>
  <c r="K578" i="77"/>
  <c r="J490" i="77"/>
  <c r="I490" i="77"/>
  <c r="N490" i="77"/>
  <c r="M490" i="77"/>
  <c r="L490" i="77"/>
  <c r="K490" i="77"/>
  <c r="H490" i="77"/>
  <c r="G490" i="77"/>
  <c r="N416" i="77"/>
  <c r="M416" i="77"/>
  <c r="H416" i="77"/>
  <c r="G416" i="77"/>
  <c r="J416" i="77"/>
  <c r="I416" i="77"/>
  <c r="L416" i="77"/>
  <c r="K416" i="77"/>
  <c r="H322" i="77"/>
  <c r="J322" i="77"/>
  <c r="L322" i="77"/>
  <c r="N322" i="77"/>
  <c r="G322" i="77"/>
  <c r="I322" i="77"/>
  <c r="K322" i="77"/>
  <c r="M322" i="77"/>
  <c r="L997" i="77"/>
  <c r="L64" i="77"/>
  <c r="K997" i="77"/>
  <c r="K64" i="77"/>
  <c r="G997" i="77"/>
  <c r="G64" i="77"/>
  <c r="M997" i="77"/>
  <c r="M64" i="77"/>
  <c r="I997" i="77"/>
  <c r="I64" i="77"/>
  <c r="H997" i="77"/>
  <c r="H64" i="77"/>
  <c r="J64" i="77"/>
  <c r="F15" i="98"/>
  <c r="F13" i="98"/>
  <c r="F19" i="98"/>
  <c r="F16" i="98"/>
  <c r="D22" i="98"/>
  <c r="F608" i="77"/>
  <c r="F931" i="77"/>
  <c r="R931" i="77" s="1"/>
  <c r="F812" i="77"/>
  <c r="R812" i="77" s="1"/>
  <c r="F797" i="77"/>
  <c r="F810" i="77" s="1"/>
  <c r="J989" i="77"/>
  <c r="F903" i="77"/>
  <c r="F904" i="77" s="1"/>
  <c r="R894" i="77"/>
  <c r="J925" i="77"/>
  <c r="J948" i="77" s="1"/>
  <c r="N997" i="77"/>
  <c r="L989" i="77"/>
  <c r="M1015" i="77"/>
  <c r="K989" i="77"/>
  <c r="G989" i="77"/>
  <c r="I989" i="77"/>
  <c r="M904" i="77"/>
  <c r="H904" i="77"/>
  <c r="J904" i="77"/>
  <c r="L904" i="77"/>
  <c r="N904" i="77"/>
  <c r="R887" i="77"/>
  <c r="I904" i="77"/>
  <c r="H415" i="77"/>
  <c r="L415" i="77"/>
  <c r="H492" i="77"/>
  <c r="L492" i="77"/>
  <c r="H577" i="77"/>
  <c r="L577" i="77"/>
  <c r="F597" i="77"/>
  <c r="H930" i="77"/>
  <c r="H949" i="77" s="1"/>
  <c r="H597" i="77"/>
  <c r="H606" i="77" s="1"/>
  <c r="H607" i="77" s="1"/>
  <c r="H608" i="77"/>
  <c r="J930" i="77"/>
  <c r="J949" i="77" s="1"/>
  <c r="J597" i="77"/>
  <c r="J606" i="77" s="1"/>
  <c r="J607" i="77" s="1"/>
  <c r="J608" i="77"/>
  <c r="L930" i="77"/>
  <c r="L949" i="77" s="1"/>
  <c r="L597" i="77"/>
  <c r="L606" i="77" s="1"/>
  <c r="L607" i="77" s="1"/>
  <c r="L608" i="77"/>
  <c r="N930" i="77"/>
  <c r="N949" i="77" s="1"/>
  <c r="N597" i="77"/>
  <c r="N606" i="77" s="1"/>
  <c r="N607" i="77" s="1"/>
  <c r="N608" i="77"/>
  <c r="J723" i="77"/>
  <c r="N723" i="77"/>
  <c r="I415" i="77"/>
  <c r="M415" i="77"/>
  <c r="G492" i="77"/>
  <c r="K492" i="77"/>
  <c r="G577" i="77"/>
  <c r="K577" i="77"/>
  <c r="H324" i="77"/>
  <c r="J324" i="77"/>
  <c r="L324" i="77"/>
  <c r="N324" i="77"/>
  <c r="J415" i="77"/>
  <c r="N415" i="77"/>
  <c r="J492" i="77"/>
  <c r="N492" i="77"/>
  <c r="J577" i="77"/>
  <c r="N577" i="77"/>
  <c r="H723" i="77"/>
  <c r="L723" i="77"/>
  <c r="G324" i="77"/>
  <c r="I324" i="77"/>
  <c r="K324" i="77"/>
  <c r="M324" i="77"/>
  <c r="G415" i="77"/>
  <c r="K415" i="77"/>
  <c r="I492" i="77"/>
  <c r="M492" i="77"/>
  <c r="I577" i="77"/>
  <c r="M577" i="77"/>
  <c r="G930" i="77"/>
  <c r="G949" i="77" s="1"/>
  <c r="G597" i="77"/>
  <c r="G606" i="77" s="1"/>
  <c r="G607" i="77" s="1"/>
  <c r="G608" i="77"/>
  <c r="I930" i="77"/>
  <c r="I949" i="77" s="1"/>
  <c r="I597" i="77"/>
  <c r="I606" i="77" s="1"/>
  <c r="I607" i="77" s="1"/>
  <c r="I608" i="77"/>
  <c r="K930" i="77"/>
  <c r="K949" i="77" s="1"/>
  <c r="K597" i="77"/>
  <c r="K606" i="77" s="1"/>
  <c r="K607" i="77" s="1"/>
  <c r="K608" i="77"/>
  <c r="M930" i="77"/>
  <c r="M949" i="77" s="1"/>
  <c r="M597" i="77"/>
  <c r="M606" i="77" s="1"/>
  <c r="M607" i="77" s="1"/>
  <c r="M608" i="77"/>
  <c r="G723" i="77"/>
  <c r="I723" i="77"/>
  <c r="K723" i="77"/>
  <c r="M723" i="77"/>
  <c r="F26" i="52"/>
  <c r="F27" i="52"/>
  <c r="F28" i="52"/>
  <c r="F29" i="52"/>
  <c r="F30" i="52"/>
  <c r="F31" i="52"/>
  <c r="G26" i="52"/>
  <c r="G27" i="52"/>
  <c r="G28" i="52"/>
  <c r="G29" i="52"/>
  <c r="G30" i="52"/>
  <c r="G31" i="52"/>
  <c r="H26" i="52"/>
  <c r="H27" i="52"/>
  <c r="H28" i="52"/>
  <c r="H29" i="52"/>
  <c r="H30" i="52"/>
  <c r="H31" i="52"/>
  <c r="I26" i="52"/>
  <c r="I27" i="52"/>
  <c r="I28" i="52"/>
  <c r="I29" i="52"/>
  <c r="I30" i="52"/>
  <c r="I31" i="52"/>
  <c r="J26" i="52"/>
  <c r="J27" i="52"/>
  <c r="J28" i="52"/>
  <c r="J29" i="52"/>
  <c r="J30" i="52"/>
  <c r="J31" i="52"/>
  <c r="K26" i="52"/>
  <c r="K27" i="52"/>
  <c r="K28" i="52"/>
  <c r="K29" i="52"/>
  <c r="K30" i="52"/>
  <c r="K31" i="52"/>
  <c r="L26" i="52"/>
  <c r="L27" i="52"/>
  <c r="L28" i="52"/>
  <c r="L29" i="52"/>
  <c r="L30" i="52"/>
  <c r="L31" i="52"/>
  <c r="M26" i="52"/>
  <c r="M27" i="52"/>
  <c r="M28" i="52"/>
  <c r="M29" i="52"/>
  <c r="M30" i="52"/>
  <c r="M31" i="52"/>
  <c r="N26" i="52"/>
  <c r="N27" i="52"/>
  <c r="N28" i="52"/>
  <c r="N29" i="52"/>
  <c r="N30" i="52"/>
  <c r="N31" i="52"/>
  <c r="F55" i="52"/>
  <c r="F56" i="52"/>
  <c r="F57" i="52"/>
  <c r="F58" i="52"/>
  <c r="F59" i="52"/>
  <c r="F60" i="52"/>
  <c r="F61" i="52"/>
  <c r="G55" i="52"/>
  <c r="G56" i="52"/>
  <c r="G57" i="52"/>
  <c r="G58" i="52"/>
  <c r="G59" i="52"/>
  <c r="G60" i="52"/>
  <c r="G61" i="52"/>
  <c r="H55" i="52"/>
  <c r="H56" i="52"/>
  <c r="H57" i="52"/>
  <c r="H58" i="52"/>
  <c r="H59" i="52"/>
  <c r="H60" i="52"/>
  <c r="H61" i="52"/>
  <c r="I55" i="52"/>
  <c r="I56" i="52"/>
  <c r="I57" i="52"/>
  <c r="I58" i="52"/>
  <c r="I59" i="52"/>
  <c r="I60" i="52"/>
  <c r="I61" i="52"/>
  <c r="J55" i="52"/>
  <c r="J56" i="52"/>
  <c r="J57" i="52"/>
  <c r="J58" i="52"/>
  <c r="J59" i="52"/>
  <c r="J60" i="52"/>
  <c r="J61" i="52"/>
  <c r="K55" i="52"/>
  <c r="K56" i="52"/>
  <c r="K57" i="52"/>
  <c r="K58" i="52"/>
  <c r="K59" i="52"/>
  <c r="K60" i="52"/>
  <c r="K61" i="52"/>
  <c r="L55" i="52"/>
  <c r="L56" i="52"/>
  <c r="L57" i="52"/>
  <c r="L58" i="52"/>
  <c r="L59" i="52"/>
  <c r="L60" i="52"/>
  <c r="L61" i="52"/>
  <c r="M55" i="52"/>
  <c r="M56" i="52"/>
  <c r="M57" i="52"/>
  <c r="M58" i="52"/>
  <c r="M59" i="52"/>
  <c r="M60" i="52"/>
  <c r="M61" i="52"/>
  <c r="N55" i="52"/>
  <c r="N56" i="52"/>
  <c r="N57" i="52"/>
  <c r="N58" i="52"/>
  <c r="N59" i="52"/>
  <c r="N60" i="52"/>
  <c r="N61" i="52"/>
  <c r="F79" i="52"/>
  <c r="F80" i="52"/>
  <c r="F81" i="52"/>
  <c r="F82" i="52"/>
  <c r="G79" i="52"/>
  <c r="G80" i="52"/>
  <c r="G81" i="52"/>
  <c r="G82" i="52"/>
  <c r="H79" i="52"/>
  <c r="H80" i="52"/>
  <c r="H81" i="52"/>
  <c r="H82" i="52"/>
  <c r="I79" i="52"/>
  <c r="I80" i="52"/>
  <c r="I81" i="52"/>
  <c r="I82" i="52"/>
  <c r="J79" i="52"/>
  <c r="J80" i="52"/>
  <c r="J81" i="52"/>
  <c r="J82" i="52"/>
  <c r="K79" i="52"/>
  <c r="K80" i="52"/>
  <c r="K81" i="52"/>
  <c r="K82" i="52"/>
  <c r="L79" i="52"/>
  <c r="L80" i="52"/>
  <c r="L81" i="52"/>
  <c r="L82" i="52"/>
  <c r="M79" i="52"/>
  <c r="M80" i="52"/>
  <c r="M81" i="52"/>
  <c r="M82" i="52"/>
  <c r="N79" i="52"/>
  <c r="N80" i="52"/>
  <c r="N81" i="52"/>
  <c r="N82" i="52"/>
  <c r="I55" i="33"/>
  <c r="J55" i="33"/>
  <c r="K55" i="33"/>
  <c r="N23" i="52"/>
  <c r="N87" i="52" s="1"/>
  <c r="N52" i="52"/>
  <c r="N88" i="52" s="1"/>
  <c r="N76" i="52"/>
  <c r="N89" i="52" s="1"/>
  <c r="M76" i="52"/>
  <c r="M89" i="52" s="1"/>
  <c r="L76" i="52"/>
  <c r="L89" i="52" s="1"/>
  <c r="M52" i="52"/>
  <c r="M88" i="52" s="1"/>
  <c r="L52" i="52"/>
  <c r="L88" i="52" s="1"/>
  <c r="M23" i="52"/>
  <c r="M87" i="52" s="1"/>
  <c r="L23" i="52"/>
  <c r="L87" i="52" s="1"/>
  <c r="I69" i="33"/>
  <c r="H69" i="33"/>
  <c r="G69" i="33"/>
  <c r="F69" i="33"/>
  <c r="E69" i="33"/>
  <c r="D69" i="33"/>
  <c r="C69" i="33"/>
  <c r="R23" i="52"/>
  <c r="R87" i="52" s="1"/>
  <c r="F23" i="52"/>
  <c r="F87" i="52" s="1"/>
  <c r="G23" i="52"/>
  <c r="G87" i="52" s="1"/>
  <c r="G52" i="52"/>
  <c r="G88" i="52" s="1"/>
  <c r="G76" i="52"/>
  <c r="G89" i="52" s="1"/>
  <c r="H23" i="52"/>
  <c r="H87" i="52" s="1"/>
  <c r="H52" i="52"/>
  <c r="H88" i="52" s="1"/>
  <c r="H76" i="52"/>
  <c r="H89" i="52" s="1"/>
  <c r="I23" i="52"/>
  <c r="I87" i="52" s="1"/>
  <c r="J23" i="52"/>
  <c r="J87" i="52" s="1"/>
  <c r="K23" i="52"/>
  <c r="K87" i="52" s="1"/>
  <c r="K52" i="52"/>
  <c r="K88" i="52" s="1"/>
  <c r="K76" i="52"/>
  <c r="K89" i="52" s="1"/>
  <c r="F52" i="52"/>
  <c r="F88" i="52" s="1"/>
  <c r="F76" i="52"/>
  <c r="F89" i="52" s="1"/>
  <c r="I52" i="52"/>
  <c r="I88" i="52" s="1"/>
  <c r="J52" i="52"/>
  <c r="J88" i="52" s="1"/>
  <c r="J76" i="52"/>
  <c r="J89" i="52" s="1"/>
  <c r="I76" i="52"/>
  <c r="I89" i="52" s="1"/>
  <c r="R76" i="52"/>
  <c r="R89" i="52" s="1"/>
  <c r="R52" i="52"/>
  <c r="R88" i="52" s="1"/>
  <c r="O55" i="33"/>
  <c r="L612" i="77" l="1"/>
  <c r="H612" i="77"/>
  <c r="G612" i="77"/>
  <c r="I612" i="77"/>
  <c r="N612" i="77"/>
  <c r="K612" i="77"/>
  <c r="M612" i="77"/>
  <c r="J612" i="77"/>
  <c r="F22" i="98"/>
  <c r="F27" i="98" s="1"/>
  <c r="D27" i="98"/>
  <c r="L90" i="52"/>
  <c r="L32" i="52"/>
  <c r="L93" i="52" s="1"/>
  <c r="F32" i="52"/>
  <c r="F93" i="52" s="1"/>
  <c r="I32" i="52"/>
  <c r="I93" i="52" s="1"/>
  <c r="F930" i="77"/>
  <c r="F949" i="77" s="1"/>
  <c r="R949" i="77" s="1"/>
  <c r="N90" i="52"/>
  <c r="M83" i="52"/>
  <c r="M95" i="52" s="1"/>
  <c r="I83" i="52"/>
  <c r="I95" i="52" s="1"/>
  <c r="M62" i="52"/>
  <c r="M94" i="52" s="1"/>
  <c r="N32" i="52"/>
  <c r="N93" i="52" s="1"/>
  <c r="J32" i="52"/>
  <c r="J93" i="52" s="1"/>
  <c r="H32" i="52"/>
  <c r="H93" i="52" s="1"/>
  <c r="M32" i="52"/>
  <c r="M93" i="52" s="1"/>
  <c r="K32" i="52"/>
  <c r="K93" i="52" s="1"/>
  <c r="G32" i="52"/>
  <c r="G93" i="52" s="1"/>
  <c r="F818" i="77"/>
  <c r="R818" i="77" s="1"/>
  <c r="I926" i="77"/>
  <c r="H90" i="52"/>
  <c r="J62" i="52"/>
  <c r="J94" i="52" s="1"/>
  <c r="H62" i="52"/>
  <c r="H94" i="52" s="1"/>
  <c r="O69" i="33"/>
  <c r="O35" i="33"/>
  <c r="R797" i="77"/>
  <c r="L371" i="77"/>
  <c r="L1073" i="77" s="1"/>
  <c r="H932" i="77"/>
  <c r="H951" i="77" s="1"/>
  <c r="M766" i="77"/>
  <c r="J449" i="77"/>
  <c r="J455" i="77" s="1"/>
  <c r="J1078" i="77" s="1"/>
  <c r="K766" i="77"/>
  <c r="L525" i="77"/>
  <c r="K83" i="52"/>
  <c r="K95" i="52" s="1"/>
  <c r="G83" i="52"/>
  <c r="G95" i="52" s="1"/>
  <c r="F83" i="52"/>
  <c r="F95" i="52" s="1"/>
  <c r="G90" i="52"/>
  <c r="K62" i="52"/>
  <c r="K94" i="52" s="1"/>
  <c r="F62" i="52"/>
  <c r="F94" i="52" s="1"/>
  <c r="J437" i="77"/>
  <c r="J447" i="77" s="1"/>
  <c r="J448" i="77" s="1"/>
  <c r="N83" i="52"/>
  <c r="N95" i="52" s="1"/>
  <c r="L83" i="52"/>
  <c r="L95" i="52" s="1"/>
  <c r="J83" i="52"/>
  <c r="J95" i="52" s="1"/>
  <c r="H83" i="52"/>
  <c r="H95" i="52" s="1"/>
  <c r="N62" i="52"/>
  <c r="N94" i="52" s="1"/>
  <c r="L62" i="52"/>
  <c r="L94" i="52" s="1"/>
  <c r="I62" i="52"/>
  <c r="I94" i="52" s="1"/>
  <c r="G62" i="52"/>
  <c r="G94" i="52" s="1"/>
  <c r="R82" i="52"/>
  <c r="R80" i="52"/>
  <c r="R61" i="52"/>
  <c r="R59" i="52"/>
  <c r="R57" i="52"/>
  <c r="R55" i="52"/>
  <c r="R30" i="52"/>
  <c r="R28" i="52"/>
  <c r="R26" i="52"/>
  <c r="R81" i="52"/>
  <c r="R79" i="52"/>
  <c r="R60" i="52"/>
  <c r="R58" i="52"/>
  <c r="R56" i="52"/>
  <c r="R31" i="52"/>
  <c r="R29" i="52"/>
  <c r="R27" i="52"/>
  <c r="R608" i="77"/>
  <c r="F919" i="77"/>
  <c r="R919" i="77" s="1"/>
  <c r="F716" i="77"/>
  <c r="R716" i="77" s="1"/>
  <c r="F700" i="77"/>
  <c r="F715" i="77"/>
  <c r="F726" i="77"/>
  <c r="R726" i="77" s="1"/>
  <c r="F918" i="77"/>
  <c r="R918" i="77" s="1"/>
  <c r="F569" i="77"/>
  <c r="F580" i="77"/>
  <c r="R580" i="77" s="1"/>
  <c r="F558" i="77"/>
  <c r="F570" i="77"/>
  <c r="R570" i="77" s="1"/>
  <c r="R475" i="77"/>
  <c r="F929" i="77"/>
  <c r="R929" i="77" s="1"/>
  <c r="F486" i="77"/>
  <c r="F474" i="77"/>
  <c r="F917" i="77"/>
  <c r="R917" i="77" s="1"/>
  <c r="F407" i="77"/>
  <c r="F418" i="77"/>
  <c r="R418" i="77" s="1"/>
  <c r="F395" i="77"/>
  <c r="F408" i="77"/>
  <c r="R408" i="77" s="1"/>
  <c r="R306" i="77"/>
  <c r="F928" i="77"/>
  <c r="R928" i="77" s="1"/>
  <c r="F317" i="77"/>
  <c r="F305" i="77"/>
  <c r="F318" i="77"/>
  <c r="R318" i="77" s="1"/>
  <c r="F606" i="77"/>
  <c r="R597" i="77"/>
  <c r="R598" i="77" s="1"/>
  <c r="F61" i="77"/>
  <c r="R57" i="77"/>
  <c r="F909" i="77"/>
  <c r="F62" i="77"/>
  <c r="F811" i="77"/>
  <c r="F816" i="77" s="1"/>
  <c r="R810" i="77"/>
  <c r="N1092" i="77"/>
  <c r="N1093" i="77" s="1"/>
  <c r="M1092" i="77"/>
  <c r="M1093" i="77" s="1"/>
  <c r="N1089" i="77"/>
  <c r="N1090" i="77" s="1"/>
  <c r="L1089" i="77"/>
  <c r="L1090" i="77" s="1"/>
  <c r="J1089" i="77"/>
  <c r="J1090" i="77" s="1"/>
  <c r="H1089" i="77"/>
  <c r="H1090" i="77" s="1"/>
  <c r="F1089" i="77"/>
  <c r="M1089" i="77"/>
  <c r="M1090" i="77" s="1"/>
  <c r="I1089" i="77"/>
  <c r="I1090" i="77" s="1"/>
  <c r="G1089" i="77"/>
  <c r="G1090" i="77" s="1"/>
  <c r="K1089" i="77"/>
  <c r="K1090" i="77" s="1"/>
  <c r="L1092" i="77"/>
  <c r="R903" i="77"/>
  <c r="N913" i="77"/>
  <c r="N945" i="77" s="1"/>
  <c r="N514" i="77"/>
  <c r="N523" i="77" s="1"/>
  <c r="N524" i="77" s="1"/>
  <c r="N526" i="77"/>
  <c r="N525" i="77"/>
  <c r="N536" i="77"/>
  <c r="N1074" i="77" s="1"/>
  <c r="N912" i="77"/>
  <c r="N944" i="77" s="1"/>
  <c r="N348" i="77"/>
  <c r="N358" i="77" s="1"/>
  <c r="N359" i="77" s="1"/>
  <c r="N361" i="77"/>
  <c r="N360" i="77"/>
  <c r="N371" i="77"/>
  <c r="N1073" i="77" s="1"/>
  <c r="L914" i="77"/>
  <c r="L946" i="77" s="1"/>
  <c r="L644" i="77"/>
  <c r="L657" i="77" s="1"/>
  <c r="L658" i="77" s="1"/>
  <c r="L659" i="77"/>
  <c r="L670" i="77"/>
  <c r="L1075" i="77" s="1"/>
  <c r="L660" i="77"/>
  <c r="J913" i="77"/>
  <c r="J945" i="77" s="1"/>
  <c r="J514" i="77"/>
  <c r="J523" i="77" s="1"/>
  <c r="J524" i="77" s="1"/>
  <c r="J526" i="77"/>
  <c r="J525" i="77"/>
  <c r="J536" i="77"/>
  <c r="J1074" i="77" s="1"/>
  <c r="J912" i="77"/>
  <c r="J944" i="77" s="1"/>
  <c r="J348" i="77"/>
  <c r="J358" i="77" s="1"/>
  <c r="J359" i="77" s="1"/>
  <c r="J361" i="77"/>
  <c r="J360" i="77"/>
  <c r="J371" i="77"/>
  <c r="J1073" i="77" s="1"/>
  <c r="H914" i="77"/>
  <c r="H946" i="77" s="1"/>
  <c r="H644" i="77"/>
  <c r="H657" i="77" s="1"/>
  <c r="H658" i="77" s="1"/>
  <c r="H659" i="77"/>
  <c r="H670" i="77"/>
  <c r="H1075" i="77" s="1"/>
  <c r="H660" i="77"/>
  <c r="M914" i="77"/>
  <c r="M946" i="77" s="1"/>
  <c r="M644" i="77"/>
  <c r="M657" i="77" s="1"/>
  <c r="M658" i="77" s="1"/>
  <c r="M659" i="77"/>
  <c r="M670" i="77"/>
  <c r="M1075" i="77" s="1"/>
  <c r="M660" i="77"/>
  <c r="M913" i="77"/>
  <c r="M945" i="77" s="1"/>
  <c r="M514" i="77"/>
  <c r="M523" i="77" s="1"/>
  <c r="M524" i="77" s="1"/>
  <c r="M525" i="77"/>
  <c r="M536" i="77"/>
  <c r="M1074" i="77" s="1"/>
  <c r="M526" i="77"/>
  <c r="K912" i="77"/>
  <c r="K944" i="77" s="1"/>
  <c r="K348" i="77"/>
  <c r="K358" i="77" s="1"/>
  <c r="K359" i="77" s="1"/>
  <c r="K361" i="77"/>
  <c r="K360" i="77"/>
  <c r="K371" i="77"/>
  <c r="K1073" i="77" s="1"/>
  <c r="I914" i="77"/>
  <c r="I946" i="77" s="1"/>
  <c r="I644" i="77"/>
  <c r="I657" i="77" s="1"/>
  <c r="I658" i="77" s="1"/>
  <c r="I659" i="77"/>
  <c r="I670" i="77"/>
  <c r="I1075" i="77" s="1"/>
  <c r="I660" i="77"/>
  <c r="I913" i="77"/>
  <c r="I945" i="77" s="1"/>
  <c r="I514" i="77"/>
  <c r="I523" i="77" s="1"/>
  <c r="I524" i="77" s="1"/>
  <c r="I525" i="77"/>
  <c r="I536" i="77"/>
  <c r="I1074" i="77" s="1"/>
  <c r="I526" i="77"/>
  <c r="N914" i="77"/>
  <c r="N946" i="77" s="1"/>
  <c r="N644" i="77"/>
  <c r="N657" i="77" s="1"/>
  <c r="N658" i="77" s="1"/>
  <c r="N660" i="77"/>
  <c r="N659" i="77"/>
  <c r="N670" i="77"/>
  <c r="N1075" i="77" s="1"/>
  <c r="J914" i="77"/>
  <c r="J946" i="77" s="1"/>
  <c r="J644" i="77"/>
  <c r="J657" i="77" s="1"/>
  <c r="J658" i="77" s="1"/>
  <c r="J660" i="77"/>
  <c r="J659" i="77"/>
  <c r="J670" i="77"/>
  <c r="J1075" i="77" s="1"/>
  <c r="H913" i="77"/>
  <c r="H945" i="77" s="1"/>
  <c r="H514" i="77"/>
  <c r="H523" i="77" s="1"/>
  <c r="H524" i="77" s="1"/>
  <c r="H525" i="77"/>
  <c r="H536" i="77"/>
  <c r="H1074" i="77" s="1"/>
  <c r="H526" i="77"/>
  <c r="H912" i="77"/>
  <c r="H944" i="77" s="1"/>
  <c r="H348" i="77"/>
  <c r="H358" i="77" s="1"/>
  <c r="H359" i="77" s="1"/>
  <c r="H360" i="77"/>
  <c r="H371" i="77"/>
  <c r="H1073" i="77" s="1"/>
  <c r="H361" i="77"/>
  <c r="M912" i="77"/>
  <c r="M944" i="77" s="1"/>
  <c r="M348" i="77"/>
  <c r="M358" i="77" s="1"/>
  <c r="M359" i="77" s="1"/>
  <c r="M360" i="77"/>
  <c r="M371" i="77"/>
  <c r="M1073" i="77" s="1"/>
  <c r="M361" i="77"/>
  <c r="K914" i="77"/>
  <c r="K946" i="77" s="1"/>
  <c r="K644" i="77"/>
  <c r="K657" i="77" s="1"/>
  <c r="K658" i="77" s="1"/>
  <c r="K660" i="77"/>
  <c r="K659" i="77"/>
  <c r="K670" i="77"/>
  <c r="K1075" i="77" s="1"/>
  <c r="K913" i="77"/>
  <c r="K945" i="77" s="1"/>
  <c r="K514" i="77"/>
  <c r="K523" i="77" s="1"/>
  <c r="K524" i="77" s="1"/>
  <c r="K526" i="77"/>
  <c r="K525" i="77"/>
  <c r="K536" i="77"/>
  <c r="K1074" i="77" s="1"/>
  <c r="I912" i="77"/>
  <c r="I944" i="77" s="1"/>
  <c r="I348" i="77"/>
  <c r="I358" i="77" s="1"/>
  <c r="I359" i="77" s="1"/>
  <c r="I360" i="77"/>
  <c r="I371" i="77"/>
  <c r="I1073" i="77" s="1"/>
  <c r="I361" i="77"/>
  <c r="G914" i="77"/>
  <c r="G946" i="77" s="1"/>
  <c r="G644" i="77"/>
  <c r="G657" i="77" s="1"/>
  <c r="G658" i="77" s="1"/>
  <c r="G660" i="77"/>
  <c r="G659" i="77"/>
  <c r="G670" i="77"/>
  <c r="G1075" i="77" s="1"/>
  <c r="G913" i="77"/>
  <c r="G945" i="77" s="1"/>
  <c r="G514" i="77"/>
  <c r="G523" i="77" s="1"/>
  <c r="G524" i="77" s="1"/>
  <c r="G526" i="77"/>
  <c r="G525" i="77"/>
  <c r="G536" i="77"/>
  <c r="G1074" i="77" s="1"/>
  <c r="G912" i="77"/>
  <c r="G944" i="77" s="1"/>
  <c r="G348" i="77"/>
  <c r="G358" i="77" s="1"/>
  <c r="G359" i="77" s="1"/>
  <c r="G361" i="77"/>
  <c r="G360" i="77"/>
  <c r="G371" i="77"/>
  <c r="G1073" i="77" s="1"/>
  <c r="N192" i="77"/>
  <c r="N911" i="77"/>
  <c r="N179" i="77"/>
  <c r="N189" i="77" s="1"/>
  <c r="N190" i="77" s="1"/>
  <c r="N202" i="77"/>
  <c r="N89" i="77"/>
  <c r="N85" i="77"/>
  <c r="N910" i="77"/>
  <c r="N83" i="77"/>
  <c r="J192" i="77"/>
  <c r="J911" i="77"/>
  <c r="J179" i="77"/>
  <c r="J189" i="77" s="1"/>
  <c r="J190" i="77" s="1"/>
  <c r="J202" i="77"/>
  <c r="J89" i="77"/>
  <c r="J85" i="77"/>
  <c r="J910" i="77"/>
  <c r="J83" i="77"/>
  <c r="L192" i="77"/>
  <c r="L179" i="77"/>
  <c r="L189" i="77" s="1"/>
  <c r="L190" i="77" s="1"/>
  <c r="L911" i="77"/>
  <c r="L202" i="77"/>
  <c r="L89" i="77"/>
  <c r="L85" i="77"/>
  <c r="L910" i="77"/>
  <c r="L83" i="77"/>
  <c r="H192" i="77"/>
  <c r="H179" i="77"/>
  <c r="H189" i="77" s="1"/>
  <c r="H190" i="77" s="1"/>
  <c r="H911" i="77"/>
  <c r="H202" i="77"/>
  <c r="H89" i="77"/>
  <c r="H85" i="77"/>
  <c r="H910" i="77"/>
  <c r="H83" i="77"/>
  <c r="K910" i="77"/>
  <c r="K85" i="77"/>
  <c r="K89" i="77"/>
  <c r="K83" i="77"/>
  <c r="K911" i="77"/>
  <c r="K179" i="77"/>
  <c r="K189" i="77" s="1"/>
  <c r="K190" i="77" s="1"/>
  <c r="K192" i="77"/>
  <c r="K202" i="77"/>
  <c r="G910" i="77"/>
  <c r="G85" i="77"/>
  <c r="G89" i="77"/>
  <c r="G83" i="77"/>
  <c r="G911" i="77"/>
  <c r="G179" i="77"/>
  <c r="G189" i="77" s="1"/>
  <c r="G190" i="77" s="1"/>
  <c r="G202" i="77"/>
  <c r="G192" i="77"/>
  <c r="M1024" i="77"/>
  <c r="M614" i="77"/>
  <c r="M1079" i="77" s="1"/>
  <c r="K1006" i="77"/>
  <c r="I614" i="77"/>
  <c r="I1079" i="77" s="1"/>
  <c r="I1024" i="77"/>
  <c r="G1006" i="77"/>
  <c r="N1024" i="77"/>
  <c r="N614" i="77"/>
  <c r="N1079" i="77" s="1"/>
  <c r="L1006" i="77"/>
  <c r="J1024" i="77"/>
  <c r="J614" i="77"/>
  <c r="J1079" i="77" s="1"/>
  <c r="H1006" i="77"/>
  <c r="F1024" i="77"/>
  <c r="F614" i="77"/>
  <c r="F1079" i="77" s="1"/>
  <c r="M910" i="77"/>
  <c r="M85" i="77"/>
  <c r="M83" i="77"/>
  <c r="M89" i="77"/>
  <c r="M911" i="77"/>
  <c r="M192" i="77"/>
  <c r="M179" i="77"/>
  <c r="M189" i="77" s="1"/>
  <c r="M190" i="77" s="1"/>
  <c r="M202" i="77"/>
  <c r="I910" i="77"/>
  <c r="I85" i="77"/>
  <c r="I89" i="77"/>
  <c r="I83" i="77"/>
  <c r="I911" i="77"/>
  <c r="I192" i="77"/>
  <c r="I179" i="77"/>
  <c r="I189" i="77" s="1"/>
  <c r="I190" i="77" s="1"/>
  <c r="I202" i="77"/>
  <c r="M1006" i="77"/>
  <c r="K614" i="77"/>
  <c r="K1079" i="77" s="1"/>
  <c r="K1024" i="77"/>
  <c r="I1006" i="77"/>
  <c r="G614" i="77"/>
  <c r="G1079" i="77" s="1"/>
  <c r="G1024" i="77"/>
  <c r="N1006" i="77"/>
  <c r="L1024" i="77"/>
  <c r="L614" i="77"/>
  <c r="L1079" i="77" s="1"/>
  <c r="J1006" i="77"/>
  <c r="H1024" i="77"/>
  <c r="H614" i="77"/>
  <c r="H1079" i="77" s="1"/>
  <c r="N926" i="77"/>
  <c r="N751" i="77"/>
  <c r="N764" i="77" s="1"/>
  <c r="N765" i="77" s="1"/>
  <c r="N766" i="77"/>
  <c r="J926" i="77"/>
  <c r="J751" i="77"/>
  <c r="J764" i="77" s="1"/>
  <c r="J765" i="77" s="1"/>
  <c r="J766" i="77"/>
  <c r="H926" i="77"/>
  <c r="H751" i="77"/>
  <c r="H764" i="77" s="1"/>
  <c r="H765" i="77" s="1"/>
  <c r="H766" i="77"/>
  <c r="G766" i="77"/>
  <c r="G926" i="77"/>
  <c r="G751" i="77"/>
  <c r="G764" i="77" s="1"/>
  <c r="G765" i="77" s="1"/>
  <c r="J932" i="77"/>
  <c r="J951" i="77" s="1"/>
  <c r="K90" i="52"/>
  <c r="J90" i="52"/>
  <c r="F90" i="52"/>
  <c r="M90" i="52"/>
  <c r="I90" i="52"/>
  <c r="R90" i="52"/>
  <c r="G770" i="77" l="1"/>
  <c r="H770" i="77"/>
  <c r="J770" i="77"/>
  <c r="N770" i="77"/>
  <c r="K668" i="77"/>
  <c r="J668" i="77"/>
  <c r="G668" i="77"/>
  <c r="N668" i="77"/>
  <c r="M668" i="77"/>
  <c r="L668" i="77"/>
  <c r="I668" i="77"/>
  <c r="H668" i="77"/>
  <c r="G200" i="77"/>
  <c r="I534" i="77"/>
  <c r="K534" i="77"/>
  <c r="H534" i="77"/>
  <c r="G534" i="77"/>
  <c r="N534" i="77"/>
  <c r="M534" i="77"/>
  <c r="J534" i="77"/>
  <c r="H200" i="77"/>
  <c r="L200" i="77"/>
  <c r="I200" i="77"/>
  <c r="M200" i="77"/>
  <c r="J1005" i="77"/>
  <c r="J453" i="77"/>
  <c r="H369" i="77"/>
  <c r="I369" i="77"/>
  <c r="K369" i="77"/>
  <c r="J369" i="77"/>
  <c r="G369" i="77"/>
  <c r="N369" i="77"/>
  <c r="M369" i="77"/>
  <c r="K200" i="77"/>
  <c r="J200" i="77"/>
  <c r="N200" i="77"/>
  <c r="I87" i="77"/>
  <c r="M87" i="77"/>
  <c r="G87" i="77"/>
  <c r="K87" i="77"/>
  <c r="H87" i="77"/>
  <c r="L87" i="77"/>
  <c r="J87" i="77"/>
  <c r="N87" i="77"/>
  <c r="F64" i="77"/>
  <c r="L96" i="52"/>
  <c r="K96" i="52"/>
  <c r="G96" i="52"/>
  <c r="R32" i="52"/>
  <c r="R93" i="52"/>
  <c r="H96" i="52"/>
  <c r="R930" i="77"/>
  <c r="I751" i="77"/>
  <c r="I764" i="77" s="1"/>
  <c r="I765" i="77" s="1"/>
  <c r="I96" i="52"/>
  <c r="M96" i="52"/>
  <c r="R904" i="77"/>
  <c r="K932" i="77"/>
  <c r="K951" i="77" s="1"/>
  <c r="L360" i="77"/>
  <c r="L1018" i="77" s="1"/>
  <c r="I766" i="77"/>
  <c r="F96" i="52"/>
  <c r="R94" i="52"/>
  <c r="G932" i="77"/>
  <c r="G951" i="77" s="1"/>
  <c r="L514" i="77"/>
  <c r="L523" i="77" s="1"/>
  <c r="L524" i="77" s="1"/>
  <c r="M932" i="77"/>
  <c r="M951" i="77" s="1"/>
  <c r="M751" i="77"/>
  <c r="M764" i="77" s="1"/>
  <c r="M765" i="77" s="1"/>
  <c r="M770" i="77" s="1"/>
  <c r="L526" i="77"/>
  <c r="L913" i="77"/>
  <c r="L945" i="77" s="1"/>
  <c r="I932" i="77"/>
  <c r="I951" i="77" s="1"/>
  <c r="L536" i="77"/>
  <c r="L1074" i="77" s="1"/>
  <c r="N932" i="77"/>
  <c r="N951" i="77" s="1"/>
  <c r="K926" i="77"/>
  <c r="K950" i="77" s="1"/>
  <c r="K751" i="77"/>
  <c r="K764" i="77" s="1"/>
  <c r="K765" i="77" s="1"/>
  <c r="L348" i="77"/>
  <c r="L358" i="77" s="1"/>
  <c r="L359" i="77" s="1"/>
  <c r="L361" i="77"/>
  <c r="L912" i="77"/>
  <c r="L944" i="77" s="1"/>
  <c r="M926" i="77"/>
  <c r="M950" i="77" s="1"/>
  <c r="J1023" i="77"/>
  <c r="R95" i="52"/>
  <c r="N96" i="52"/>
  <c r="J96" i="52"/>
  <c r="L1093" i="77"/>
  <c r="R1092" i="77"/>
  <c r="R1093" i="77" s="1"/>
  <c r="F1090" i="77"/>
  <c r="R1089" i="77"/>
  <c r="R1090" i="77" s="1"/>
  <c r="R83" i="52"/>
  <c r="R62" i="52"/>
  <c r="R1079" i="77"/>
  <c r="R614" i="77"/>
  <c r="R124" i="77"/>
  <c r="R811" i="77"/>
  <c r="R816" i="77" s="1"/>
  <c r="F940" i="77"/>
  <c r="R940" i="77" s="1"/>
  <c r="R909" i="77"/>
  <c r="F607" i="77"/>
  <c r="F612" i="77" s="1"/>
  <c r="R606" i="77"/>
  <c r="R607" i="77" s="1"/>
  <c r="R612" i="77" s="1"/>
  <c r="R317" i="77"/>
  <c r="F324" i="77"/>
  <c r="F405" i="77"/>
  <c r="R395" i="77"/>
  <c r="R396" i="77" s="1"/>
  <c r="R407" i="77"/>
  <c r="R415" i="77" s="1"/>
  <c r="F415" i="77"/>
  <c r="F484" i="77"/>
  <c r="R474" i="77"/>
  <c r="R715" i="77"/>
  <c r="R723" i="77" s="1"/>
  <c r="F723" i="77"/>
  <c r="R1024" i="77"/>
  <c r="F1015" i="77"/>
  <c r="R1015" i="77" s="1"/>
  <c r="R62" i="77"/>
  <c r="F989" i="77"/>
  <c r="R989" i="77" s="1"/>
  <c r="F1070" i="77"/>
  <c r="R1070" i="77" s="1"/>
  <c r="R66" i="77"/>
  <c r="R61" i="77"/>
  <c r="R64" i="77" s="1"/>
  <c r="F997" i="77"/>
  <c r="F315" i="77"/>
  <c r="R305" i="77"/>
  <c r="R486" i="77"/>
  <c r="F492" i="77"/>
  <c r="R492" i="77" s="1"/>
  <c r="F567" i="77"/>
  <c r="R558" i="77"/>
  <c r="R559" i="77" s="1"/>
  <c r="R569" i="77"/>
  <c r="F577" i="77"/>
  <c r="R577" i="77" s="1"/>
  <c r="F713" i="77"/>
  <c r="R700" i="77"/>
  <c r="R701" i="77" s="1"/>
  <c r="K923" i="77"/>
  <c r="K943" i="77" s="1"/>
  <c r="K129" i="77"/>
  <c r="K1021" i="77" s="1"/>
  <c r="K128" i="77"/>
  <c r="K130" i="77"/>
  <c r="N923" i="77"/>
  <c r="N943" i="77" s="1"/>
  <c r="N129" i="77"/>
  <c r="N1021" i="77" s="1"/>
  <c r="N130" i="77"/>
  <c r="N128" i="77"/>
  <c r="M923" i="77"/>
  <c r="M943" i="77" s="1"/>
  <c r="M129" i="77"/>
  <c r="M1021" i="77" s="1"/>
  <c r="M130" i="77"/>
  <c r="M128" i="77"/>
  <c r="L923" i="77"/>
  <c r="L943" i="77" s="1"/>
  <c r="L129" i="77"/>
  <c r="L1021" i="77" s="1"/>
  <c r="L130" i="77"/>
  <c r="L128" i="77"/>
  <c r="I923" i="77"/>
  <c r="I943" i="77" s="1"/>
  <c r="I129" i="77"/>
  <c r="I1021" i="77" s="1"/>
  <c r="I130" i="77"/>
  <c r="I128" i="77"/>
  <c r="J923" i="77"/>
  <c r="J943" i="77" s="1"/>
  <c r="J129" i="77"/>
  <c r="J1021" i="77" s="1"/>
  <c r="J128" i="77"/>
  <c r="J130" i="77"/>
  <c r="H923" i="77"/>
  <c r="H943" i="77" s="1"/>
  <c r="H129" i="77"/>
  <c r="H1021" i="77" s="1"/>
  <c r="H130" i="77"/>
  <c r="H128" i="77"/>
  <c r="G923" i="77"/>
  <c r="G943" i="77" s="1"/>
  <c r="G129" i="77"/>
  <c r="G1021" i="77" s="1"/>
  <c r="G128" i="77"/>
  <c r="G130" i="77"/>
  <c r="H924" i="77"/>
  <c r="H947" i="77" s="1"/>
  <c r="H280" i="77"/>
  <c r="H267" i="77"/>
  <c r="H277" i="77" s="1"/>
  <c r="H278" i="77" s="1"/>
  <c r="H279" i="77"/>
  <c r="I924" i="77"/>
  <c r="I947" i="77" s="1"/>
  <c r="I280" i="77"/>
  <c r="I267" i="77"/>
  <c r="I277" i="77" s="1"/>
  <c r="I278" i="77" s="1"/>
  <c r="I279" i="77"/>
  <c r="N924" i="77"/>
  <c r="N947" i="77" s="1"/>
  <c r="N279" i="77"/>
  <c r="N280" i="77"/>
  <c r="N267" i="77"/>
  <c r="N277" i="77" s="1"/>
  <c r="N278" i="77" s="1"/>
  <c r="G925" i="77"/>
  <c r="G948" i="77" s="1"/>
  <c r="G449" i="77"/>
  <c r="G437" i="77"/>
  <c r="G447" i="77" s="1"/>
  <c r="G448" i="77" s="1"/>
  <c r="G924" i="77"/>
  <c r="G947" i="77" s="1"/>
  <c r="G280" i="77"/>
  <c r="G267" i="77"/>
  <c r="G277" i="77" s="1"/>
  <c r="G278" i="77" s="1"/>
  <c r="G279" i="77"/>
  <c r="K925" i="77"/>
  <c r="K948" i="77" s="1"/>
  <c r="K449" i="77"/>
  <c r="K437" i="77"/>
  <c r="K447" i="77" s="1"/>
  <c r="K448" i="77" s="1"/>
  <c r="M925" i="77"/>
  <c r="M948" i="77" s="1"/>
  <c r="M449" i="77"/>
  <c r="M437" i="77"/>
  <c r="M447" i="77" s="1"/>
  <c r="M448" i="77" s="1"/>
  <c r="H925" i="77"/>
  <c r="H948" i="77" s="1"/>
  <c r="H437" i="77"/>
  <c r="H447" i="77" s="1"/>
  <c r="H448" i="77" s="1"/>
  <c r="H449" i="77"/>
  <c r="I925" i="77"/>
  <c r="I948" i="77" s="1"/>
  <c r="I449" i="77"/>
  <c r="I437" i="77"/>
  <c r="I447" i="77" s="1"/>
  <c r="I448" i="77" s="1"/>
  <c r="N925" i="77"/>
  <c r="N948" i="77" s="1"/>
  <c r="N449" i="77"/>
  <c r="N437" i="77"/>
  <c r="N447" i="77" s="1"/>
  <c r="N448" i="77" s="1"/>
  <c r="K924" i="77"/>
  <c r="K947" i="77" s="1"/>
  <c r="K280" i="77"/>
  <c r="K267" i="77"/>
  <c r="K277" i="77" s="1"/>
  <c r="K278" i="77" s="1"/>
  <c r="K279" i="77"/>
  <c r="M924" i="77"/>
  <c r="M947" i="77" s="1"/>
  <c r="M280" i="77"/>
  <c r="M267" i="77"/>
  <c r="M277" i="77" s="1"/>
  <c r="M278" i="77" s="1"/>
  <c r="M279" i="77"/>
  <c r="J924" i="77"/>
  <c r="J947" i="77" s="1"/>
  <c r="J279" i="77"/>
  <c r="J280" i="77"/>
  <c r="J267" i="77"/>
  <c r="J277" i="77" s="1"/>
  <c r="J278" i="77" s="1"/>
  <c r="G368" i="77"/>
  <c r="G1018" i="77"/>
  <c r="G1000" i="77"/>
  <c r="G1054" i="77" s="1"/>
  <c r="G533" i="77"/>
  <c r="G1019" i="77"/>
  <c r="G1001" i="77"/>
  <c r="I1000" i="77"/>
  <c r="K667" i="77"/>
  <c r="K1020" i="77"/>
  <c r="K1002" i="77"/>
  <c r="M368" i="77"/>
  <c r="M1018" i="77"/>
  <c r="H368" i="77"/>
  <c r="H1018" i="77"/>
  <c r="H1001" i="77"/>
  <c r="H1055" i="77" s="1"/>
  <c r="L533" i="77"/>
  <c r="L1019" i="77"/>
  <c r="N667" i="77"/>
  <c r="N1020" i="77"/>
  <c r="N1002" i="77"/>
  <c r="I1001" i="77"/>
  <c r="I667" i="77"/>
  <c r="I1020" i="77"/>
  <c r="K368" i="77"/>
  <c r="K1018" i="77"/>
  <c r="K1000" i="77"/>
  <c r="M533" i="77"/>
  <c r="M1019" i="77"/>
  <c r="M1002" i="77"/>
  <c r="H1002" i="77"/>
  <c r="J533" i="77"/>
  <c r="J1019" i="77"/>
  <c r="J1001" i="77"/>
  <c r="J1055" i="77" s="1"/>
  <c r="L667" i="77"/>
  <c r="L1020" i="77"/>
  <c r="N368" i="77"/>
  <c r="N1018" i="77"/>
  <c r="N1000" i="77"/>
  <c r="G667" i="77"/>
  <c r="G1020" i="77"/>
  <c r="G1002" i="77"/>
  <c r="I368" i="77"/>
  <c r="I1018" i="77"/>
  <c r="K533" i="77"/>
  <c r="K1019" i="77"/>
  <c r="K1001" i="77"/>
  <c r="M1000" i="77"/>
  <c r="H1000" i="77"/>
  <c r="H533" i="77"/>
  <c r="H1019" i="77"/>
  <c r="J667" i="77"/>
  <c r="J1020" i="77"/>
  <c r="J1002" i="77"/>
  <c r="I533" i="77"/>
  <c r="I1019" i="77"/>
  <c r="I1002" i="77"/>
  <c r="M1001" i="77"/>
  <c r="M1055" i="77" s="1"/>
  <c r="M667" i="77"/>
  <c r="M1020" i="77"/>
  <c r="H667" i="77"/>
  <c r="H1020" i="77"/>
  <c r="J368" i="77"/>
  <c r="J1018" i="77"/>
  <c r="J1000" i="77"/>
  <c r="L1002" i="77"/>
  <c r="N533" i="77"/>
  <c r="N1019" i="77"/>
  <c r="N1001" i="77"/>
  <c r="G908" i="77"/>
  <c r="G1014" i="77"/>
  <c r="G46" i="77"/>
  <c r="H46" i="77"/>
  <c r="H1069" i="77" s="1"/>
  <c r="H908" i="77"/>
  <c r="H1014" i="77"/>
  <c r="N1014" i="77"/>
  <c r="N908" i="77"/>
  <c r="N46" i="77"/>
  <c r="N1069" i="77" s="1"/>
  <c r="I199" i="77"/>
  <c r="M199" i="77"/>
  <c r="K199" i="77"/>
  <c r="H199" i="77"/>
  <c r="L199" i="77"/>
  <c r="J199" i="77"/>
  <c r="N199" i="77"/>
  <c r="I908" i="77"/>
  <c r="I1014" i="77"/>
  <c r="I46" i="77"/>
  <c r="I1069" i="77" s="1"/>
  <c r="M908" i="77"/>
  <c r="M1014" i="77"/>
  <c r="M46" i="77"/>
  <c r="M1069" i="77" s="1"/>
  <c r="K916" i="77"/>
  <c r="K942" i="77" s="1"/>
  <c r="K225" i="77"/>
  <c r="K235" i="77" s="1"/>
  <c r="K236" i="77" s="1"/>
  <c r="K238" i="77"/>
  <c r="K245" i="77" s="1"/>
  <c r="K248" i="77"/>
  <c r="K1072" i="77" s="1"/>
  <c r="K908" i="77"/>
  <c r="K1014" i="77"/>
  <c r="K46" i="77"/>
  <c r="K1069" i="77" s="1"/>
  <c r="L46" i="77"/>
  <c r="L1069" i="77" s="1"/>
  <c r="L908" i="77"/>
  <c r="L1014" i="77"/>
  <c r="J916" i="77"/>
  <c r="J942" i="77" s="1"/>
  <c r="J225" i="77"/>
  <c r="J235" i="77" s="1"/>
  <c r="J236" i="77" s="1"/>
  <c r="J238" i="77"/>
  <c r="J245" i="77" s="1"/>
  <c r="J248" i="77"/>
  <c r="J1072" i="77" s="1"/>
  <c r="J1014" i="77"/>
  <c r="J908" i="77"/>
  <c r="J46" i="77"/>
  <c r="J1069" i="77" s="1"/>
  <c r="G199" i="77"/>
  <c r="G1008" i="77"/>
  <c r="G1062" i="77" s="1"/>
  <c r="I1008" i="77"/>
  <c r="I1062" i="77" s="1"/>
  <c r="K1008" i="77"/>
  <c r="K1062" i="77" s="1"/>
  <c r="M1008" i="77"/>
  <c r="M1062" i="77" s="1"/>
  <c r="J1008" i="77"/>
  <c r="J1062" i="77" s="1"/>
  <c r="N1008" i="77"/>
  <c r="N1062" i="77" s="1"/>
  <c r="G950" i="77"/>
  <c r="I950" i="77"/>
  <c r="H1007" i="77"/>
  <c r="J1025" i="77"/>
  <c r="J772" i="77"/>
  <c r="J950" i="77"/>
  <c r="N1025" i="77"/>
  <c r="N772" i="77"/>
  <c r="N950" i="77"/>
  <c r="G1007" i="77"/>
  <c r="G1025" i="77"/>
  <c r="G772" i="77"/>
  <c r="K1025" i="77"/>
  <c r="K772" i="77"/>
  <c r="M1025" i="77"/>
  <c r="M772" i="77"/>
  <c r="H1025" i="77"/>
  <c r="H772" i="77"/>
  <c r="H950" i="77"/>
  <c r="J1007" i="77"/>
  <c r="J1061" i="77" s="1"/>
  <c r="N1007" i="77"/>
  <c r="J1056" i="77" l="1"/>
  <c r="G1056" i="77"/>
  <c r="M1054" i="77"/>
  <c r="L1056" i="77"/>
  <c r="H1061" i="77"/>
  <c r="H1054" i="77"/>
  <c r="N1061" i="77"/>
  <c r="I1054" i="77"/>
  <c r="K1055" i="77"/>
  <c r="N1054" i="77"/>
  <c r="H1056" i="77"/>
  <c r="K1054" i="77"/>
  <c r="K1056" i="77"/>
  <c r="G1055" i="77"/>
  <c r="M1056" i="77"/>
  <c r="I1055" i="77"/>
  <c r="G1061" i="77"/>
  <c r="N1055" i="77"/>
  <c r="J1054" i="77"/>
  <c r="I1056" i="77"/>
  <c r="N1056" i="77"/>
  <c r="J1059" i="77"/>
  <c r="K1007" i="77"/>
  <c r="K1061" i="77" s="1"/>
  <c r="K770" i="77"/>
  <c r="I1007" i="77"/>
  <c r="I770" i="77"/>
  <c r="L534" i="77"/>
  <c r="N453" i="77"/>
  <c r="K453" i="77"/>
  <c r="I453" i="77"/>
  <c r="H453" i="77"/>
  <c r="G453" i="77"/>
  <c r="L369" i="77"/>
  <c r="M453" i="77"/>
  <c r="J284" i="77"/>
  <c r="I284" i="77"/>
  <c r="H284" i="77"/>
  <c r="G284" i="77"/>
  <c r="M284" i="77"/>
  <c r="K284" i="77"/>
  <c r="J246" i="77"/>
  <c r="K246" i="77"/>
  <c r="N284" i="77"/>
  <c r="G132" i="77"/>
  <c r="K132" i="77"/>
  <c r="H132" i="77"/>
  <c r="I132" i="77"/>
  <c r="L132" i="77"/>
  <c r="M132" i="77"/>
  <c r="N132" i="77"/>
  <c r="J132" i="77"/>
  <c r="K44" i="77"/>
  <c r="M44" i="77"/>
  <c r="I44" i="77"/>
  <c r="N44" i="77"/>
  <c r="H44" i="77"/>
  <c r="G44" i="77"/>
  <c r="L44" i="77"/>
  <c r="J44" i="77"/>
  <c r="G1003" i="77"/>
  <c r="G1057" i="77" s="1"/>
  <c r="J1003" i="77"/>
  <c r="J1057" i="77" s="1"/>
  <c r="K1003" i="77"/>
  <c r="K1057" i="77" s="1"/>
  <c r="H1003" i="77"/>
  <c r="H1057" i="77" s="1"/>
  <c r="I1003" i="77"/>
  <c r="I1057" i="77" s="1"/>
  <c r="L1003" i="77"/>
  <c r="L1057" i="77" s="1"/>
  <c r="M1003" i="77"/>
  <c r="M1057" i="77" s="1"/>
  <c r="N1003" i="77"/>
  <c r="N1057" i="77" s="1"/>
  <c r="K999" i="77"/>
  <c r="J999" i="77"/>
  <c r="E20" i="97"/>
  <c r="E20" i="96"/>
  <c r="D20" i="97"/>
  <c r="G1069" i="77"/>
  <c r="L368" i="77"/>
  <c r="F128" i="77"/>
  <c r="I772" i="77"/>
  <c r="I1080" i="77" s="1"/>
  <c r="I1025" i="77"/>
  <c r="R96" i="52"/>
  <c r="D26" i="96" s="1"/>
  <c r="L1001" i="77"/>
  <c r="L1055" i="77" s="1"/>
  <c r="M1007" i="77"/>
  <c r="M1061" i="77" s="1"/>
  <c r="L1000" i="77"/>
  <c r="L1054" i="77" s="1"/>
  <c r="H1008" i="77"/>
  <c r="H1062" i="77" s="1"/>
  <c r="R923" i="77"/>
  <c r="F129" i="77"/>
  <c r="F130" i="77"/>
  <c r="R130" i="77" s="1"/>
  <c r="F923" i="77"/>
  <c r="F943" i="77" s="1"/>
  <c r="R324" i="77"/>
  <c r="F1006" i="77"/>
  <c r="F714" i="77"/>
  <c r="F724" i="77" s="1"/>
  <c r="R713" i="77"/>
  <c r="F568" i="77"/>
  <c r="F578" i="77" s="1"/>
  <c r="R567" i="77"/>
  <c r="F316" i="77"/>
  <c r="F322" i="77" s="1"/>
  <c r="R315" i="77"/>
  <c r="R997" i="77"/>
  <c r="R1051" i="77"/>
  <c r="F485" i="77"/>
  <c r="F490" i="77" s="1"/>
  <c r="R484" i="77"/>
  <c r="F406" i="77"/>
  <c r="F416" i="77" s="1"/>
  <c r="R405" i="77"/>
  <c r="M1004" i="77"/>
  <c r="K1004" i="77"/>
  <c r="K1058" i="77" s="1"/>
  <c r="N455" i="77"/>
  <c r="N1078" i="77" s="1"/>
  <c r="N1023" i="77"/>
  <c r="I1005" i="77"/>
  <c r="H1005" i="77"/>
  <c r="M1005" i="77"/>
  <c r="K455" i="77"/>
  <c r="K1078" i="77" s="1"/>
  <c r="K1023" i="77"/>
  <c r="G286" i="77"/>
  <c r="G1077" i="77" s="1"/>
  <c r="G1022" i="77"/>
  <c r="G1005" i="77"/>
  <c r="N1004" i="77"/>
  <c r="N286" i="77"/>
  <c r="N1077" i="77" s="1"/>
  <c r="N1022" i="77"/>
  <c r="I286" i="77"/>
  <c r="I1077" i="77" s="1"/>
  <c r="I1022" i="77"/>
  <c r="H286" i="77"/>
  <c r="H1077" i="77" s="1"/>
  <c r="H1022" i="77"/>
  <c r="G134" i="77"/>
  <c r="G1076" i="77" s="1"/>
  <c r="H933" i="77"/>
  <c r="J933" i="77"/>
  <c r="I933" i="77"/>
  <c r="M933" i="77"/>
  <c r="N933" i="77"/>
  <c r="K933" i="77"/>
  <c r="J1004" i="77"/>
  <c r="J286" i="77"/>
  <c r="J1077" i="77" s="1"/>
  <c r="J1022" i="77"/>
  <c r="M286" i="77"/>
  <c r="M1077" i="77" s="1"/>
  <c r="M1022" i="77"/>
  <c r="K286" i="77"/>
  <c r="K1077" i="77" s="1"/>
  <c r="K1022" i="77"/>
  <c r="N1005" i="77"/>
  <c r="N1059" i="77" s="1"/>
  <c r="I455" i="77"/>
  <c r="I1078" i="77" s="1"/>
  <c r="I1023" i="77"/>
  <c r="H455" i="77"/>
  <c r="H1078" i="77" s="1"/>
  <c r="H1023" i="77"/>
  <c r="M455" i="77"/>
  <c r="M1078" i="77" s="1"/>
  <c r="M1023" i="77"/>
  <c r="K1005" i="77"/>
  <c r="K1059" i="77" s="1"/>
  <c r="G1004" i="77"/>
  <c r="G1058" i="77" s="1"/>
  <c r="G455" i="77"/>
  <c r="G1078" i="77" s="1"/>
  <c r="G1023" i="77"/>
  <c r="I1004" i="77"/>
  <c r="I1058" i="77" s="1"/>
  <c r="H1004" i="77"/>
  <c r="H1058" i="77" s="1"/>
  <c r="G933" i="77"/>
  <c r="H134" i="77"/>
  <c r="H1076" i="77" s="1"/>
  <c r="J134" i="77"/>
  <c r="J1076" i="77" s="1"/>
  <c r="I134" i="77"/>
  <c r="I1076" i="77" s="1"/>
  <c r="L134" i="77"/>
  <c r="L1076" i="77" s="1"/>
  <c r="M134" i="77"/>
  <c r="M1076" i="77" s="1"/>
  <c r="N134" i="77"/>
  <c r="N1076" i="77" s="1"/>
  <c r="K134" i="77"/>
  <c r="K1076" i="77" s="1"/>
  <c r="K1017" i="77"/>
  <c r="K939" i="77"/>
  <c r="M939" i="77"/>
  <c r="I939" i="77"/>
  <c r="N996" i="77"/>
  <c r="N1050" i="77" s="1"/>
  <c r="N939" i="77"/>
  <c r="N916" i="77"/>
  <c r="N942" i="77" s="1"/>
  <c r="N225" i="77"/>
  <c r="N235" i="77" s="1"/>
  <c r="N236" i="77" s="1"/>
  <c r="N238" i="77"/>
  <c r="N248" i="77"/>
  <c r="N1072" i="77" s="1"/>
  <c r="N915" i="77"/>
  <c r="N941" i="77" s="1"/>
  <c r="N106" i="77"/>
  <c r="N108" i="77"/>
  <c r="N112" i="77"/>
  <c r="N1071" i="77" s="1"/>
  <c r="H996" i="77"/>
  <c r="H1050" i="77" s="1"/>
  <c r="H939" i="77"/>
  <c r="K915" i="77"/>
  <c r="K941" i="77" s="1"/>
  <c r="K106" i="77"/>
  <c r="K108" i="77"/>
  <c r="K112" i="77"/>
  <c r="K1071" i="77" s="1"/>
  <c r="G996" i="77"/>
  <c r="G1050" i="77" s="1"/>
  <c r="G916" i="77"/>
  <c r="G942" i="77" s="1"/>
  <c r="G225" i="77"/>
  <c r="G235" i="77" s="1"/>
  <c r="G236" i="77" s="1"/>
  <c r="G238" i="77"/>
  <c r="G248" i="77"/>
  <c r="G1072" i="77" s="1"/>
  <c r="I916" i="77"/>
  <c r="I942" i="77" s="1"/>
  <c r="I225" i="77"/>
  <c r="I235" i="77" s="1"/>
  <c r="I236" i="77" s="1"/>
  <c r="I238" i="77"/>
  <c r="I248" i="77"/>
  <c r="I1072" i="77" s="1"/>
  <c r="J1017" i="77"/>
  <c r="J996" i="77"/>
  <c r="J1050" i="77" s="1"/>
  <c r="J939" i="77"/>
  <c r="J915" i="77"/>
  <c r="J941" i="77" s="1"/>
  <c r="J106" i="77"/>
  <c r="J108" i="77"/>
  <c r="J112" i="77"/>
  <c r="J1071" i="77" s="1"/>
  <c r="L996" i="77"/>
  <c r="L1050" i="77" s="1"/>
  <c r="L939" i="77"/>
  <c r="L916" i="77"/>
  <c r="L942" i="77" s="1"/>
  <c r="L225" i="77"/>
  <c r="L235" i="77" s="1"/>
  <c r="L236" i="77" s="1"/>
  <c r="L238" i="77"/>
  <c r="L248" i="77"/>
  <c r="L1072" i="77" s="1"/>
  <c r="L915" i="77"/>
  <c r="L941" i="77" s="1"/>
  <c r="L106" i="77"/>
  <c r="L108" i="77"/>
  <c r="L112" i="77"/>
  <c r="L1071" i="77" s="1"/>
  <c r="K996" i="77"/>
  <c r="K1050" i="77" s="1"/>
  <c r="G915" i="77"/>
  <c r="G941" i="77" s="1"/>
  <c r="G106" i="77"/>
  <c r="G108" i="77"/>
  <c r="G112" i="77"/>
  <c r="G1071" i="77" s="1"/>
  <c r="M996" i="77"/>
  <c r="M1050" i="77" s="1"/>
  <c r="M916" i="77"/>
  <c r="M942" i="77" s="1"/>
  <c r="M225" i="77"/>
  <c r="M235" i="77" s="1"/>
  <c r="M236" i="77" s="1"/>
  <c r="M238" i="77"/>
  <c r="M248" i="77"/>
  <c r="M1072" i="77" s="1"/>
  <c r="I915" i="77"/>
  <c r="I941" i="77" s="1"/>
  <c r="I106" i="77"/>
  <c r="I108" i="77"/>
  <c r="I112" i="77"/>
  <c r="I1071" i="77" s="1"/>
  <c r="H916" i="77"/>
  <c r="H942" i="77" s="1"/>
  <c r="H225" i="77"/>
  <c r="H235" i="77" s="1"/>
  <c r="H236" i="77" s="1"/>
  <c r="H238" i="77"/>
  <c r="H248" i="77"/>
  <c r="H1072" i="77" s="1"/>
  <c r="H915" i="77"/>
  <c r="H941" i="77" s="1"/>
  <c r="H106" i="77"/>
  <c r="H108" i="77"/>
  <c r="H112" i="77"/>
  <c r="H1071" i="77" s="1"/>
  <c r="M915" i="77"/>
  <c r="M941" i="77" s="1"/>
  <c r="M106" i="77"/>
  <c r="M108" i="77"/>
  <c r="M112" i="77"/>
  <c r="M1071" i="77" s="1"/>
  <c r="I996" i="77"/>
  <c r="I1050" i="77" s="1"/>
  <c r="G939" i="77"/>
  <c r="H1080" i="77"/>
  <c r="M1080" i="77"/>
  <c r="J1080" i="77"/>
  <c r="K1080" i="77"/>
  <c r="G1080" i="77"/>
  <c r="N1080" i="77"/>
  <c r="M1058" i="77" l="1"/>
  <c r="N1058" i="77"/>
  <c r="M1059" i="77"/>
  <c r="J1053" i="77"/>
  <c r="I1059" i="77"/>
  <c r="H1059" i="77"/>
  <c r="I1061" i="77"/>
  <c r="G1059" i="77"/>
  <c r="K1053" i="77"/>
  <c r="J1058" i="77"/>
  <c r="H246" i="77"/>
  <c r="M246" i="77"/>
  <c r="N246" i="77"/>
  <c r="L246" i="77"/>
  <c r="I246" i="77"/>
  <c r="G246" i="77"/>
  <c r="F132" i="77"/>
  <c r="H110" i="77"/>
  <c r="J998" i="77"/>
  <c r="J110" i="77"/>
  <c r="K998" i="77"/>
  <c r="K110" i="77"/>
  <c r="G998" i="77"/>
  <c r="G110" i="77"/>
  <c r="M110" i="77"/>
  <c r="I110" i="77"/>
  <c r="L110" i="77"/>
  <c r="N110" i="77"/>
  <c r="D28" i="96"/>
  <c r="R129" i="77"/>
  <c r="F1021" i="77"/>
  <c r="R1021" i="77" s="1"/>
  <c r="R128" i="77"/>
  <c r="F1003" i="77"/>
  <c r="G999" i="77"/>
  <c r="I999" i="77"/>
  <c r="H999" i="77"/>
  <c r="M999" i="77"/>
  <c r="L999" i="77"/>
  <c r="N999" i="77"/>
  <c r="M998" i="77"/>
  <c r="H998" i="77"/>
  <c r="I998" i="77"/>
  <c r="L998" i="77"/>
  <c r="N998" i="77"/>
  <c r="J990" i="77"/>
  <c r="G991" i="77"/>
  <c r="F134" i="77"/>
  <c r="G952" i="77"/>
  <c r="I952" i="77"/>
  <c r="R406" i="77"/>
  <c r="R416" i="77" s="1"/>
  <c r="R485" i="77"/>
  <c r="R490" i="77" s="1"/>
  <c r="R316" i="77"/>
  <c r="R322" i="77" s="1"/>
  <c r="R568" i="77"/>
  <c r="R578" i="77" s="1"/>
  <c r="R714" i="77"/>
  <c r="R724" i="77" s="1"/>
  <c r="R1006" i="77"/>
  <c r="R1060" i="77"/>
  <c r="R943" i="77"/>
  <c r="L925" i="77"/>
  <c r="L948" i="77" s="1"/>
  <c r="L449" i="77"/>
  <c r="L437" i="77"/>
  <c r="L447" i="77" s="1"/>
  <c r="L448" i="77" s="1"/>
  <c r="L924" i="77"/>
  <c r="L280" i="77"/>
  <c r="L267" i="77"/>
  <c r="L277" i="77" s="1"/>
  <c r="L278" i="77" s="1"/>
  <c r="L279" i="77"/>
  <c r="N1082" i="77"/>
  <c r="K991" i="77"/>
  <c r="I1082" i="77"/>
  <c r="K952" i="77"/>
  <c r="J991" i="77"/>
  <c r="H991" i="77"/>
  <c r="G920" i="77"/>
  <c r="G935" i="77" s="1"/>
  <c r="N991" i="77"/>
  <c r="M952" i="77"/>
  <c r="N952" i="77"/>
  <c r="M1082" i="77"/>
  <c r="G1082" i="77"/>
  <c r="K1082" i="77"/>
  <c r="I991" i="77"/>
  <c r="M991" i="77"/>
  <c r="H1082" i="77"/>
  <c r="H952" i="77"/>
  <c r="N920" i="77"/>
  <c r="N935" i="77" s="1"/>
  <c r="L920" i="77"/>
  <c r="J920" i="77"/>
  <c r="J935" i="77" s="1"/>
  <c r="J952" i="77"/>
  <c r="I990" i="77"/>
  <c r="G990" i="77"/>
  <c r="I245" i="77"/>
  <c r="I1017" i="77"/>
  <c r="G245" i="77"/>
  <c r="G1017" i="77"/>
  <c r="K988" i="77"/>
  <c r="K1016" i="77"/>
  <c r="K1027" i="77" s="1"/>
  <c r="I920" i="77"/>
  <c r="I935" i="77" s="1"/>
  <c r="M920" i="77"/>
  <c r="M935" i="77" s="1"/>
  <c r="K920" i="77"/>
  <c r="K935" i="77" s="1"/>
  <c r="M1016" i="77"/>
  <c r="M988" i="77"/>
  <c r="H1016" i="77"/>
  <c r="H988" i="77"/>
  <c r="H245" i="77"/>
  <c r="H1017" i="77"/>
  <c r="I1016" i="77"/>
  <c r="I988" i="77"/>
  <c r="M245" i="77"/>
  <c r="M1017" i="77"/>
  <c r="G988" i="77"/>
  <c r="G1016" i="77"/>
  <c r="L1016" i="77"/>
  <c r="L245" i="77"/>
  <c r="L1017" i="77"/>
  <c r="J988" i="77"/>
  <c r="J1016" i="77"/>
  <c r="J1027" i="77" s="1"/>
  <c r="N1016" i="77"/>
  <c r="N988" i="77"/>
  <c r="N245" i="77"/>
  <c r="N1017" i="77"/>
  <c r="H920" i="77"/>
  <c r="H935" i="77" s="1"/>
  <c r="H990" i="77"/>
  <c r="J1082" i="77"/>
  <c r="K990" i="77"/>
  <c r="H1052" i="77" l="1"/>
  <c r="M1053" i="77"/>
  <c r="N1052" i="77"/>
  <c r="M1052" i="77"/>
  <c r="H1053" i="77"/>
  <c r="L1052" i="77"/>
  <c r="N1053" i="77"/>
  <c r="I1053" i="77"/>
  <c r="G1052" i="77"/>
  <c r="J1009" i="77"/>
  <c r="J1010" i="77" s="1"/>
  <c r="J1052" i="77"/>
  <c r="K1052" i="77"/>
  <c r="K1063" i="77" s="1"/>
  <c r="I1052" i="77"/>
  <c r="L1053" i="77"/>
  <c r="G1053" i="77"/>
  <c r="R1003" i="77"/>
  <c r="D14" i="96" s="1"/>
  <c r="F1057" i="77"/>
  <c r="D20" i="96"/>
  <c r="L453" i="77"/>
  <c r="L284" i="77"/>
  <c r="R132" i="77"/>
  <c r="J20" i="96"/>
  <c r="J26" i="96"/>
  <c r="G28" i="96"/>
  <c r="F1076" i="77"/>
  <c r="R1076" i="77" s="1"/>
  <c r="E14" i="97" s="1"/>
  <c r="D14" i="97"/>
  <c r="E14" i="96"/>
  <c r="R1057" i="77"/>
  <c r="G953" i="77"/>
  <c r="J1087" i="77"/>
  <c r="F89" i="77"/>
  <c r="R89" i="77" s="1"/>
  <c r="H1009" i="77"/>
  <c r="H1010" i="77" s="1"/>
  <c r="F915" i="77"/>
  <c r="G1087" i="77"/>
  <c r="I953" i="77"/>
  <c r="F911" i="77"/>
  <c r="R911" i="77" s="1"/>
  <c r="F908" i="77"/>
  <c r="I1083" i="77"/>
  <c r="F916" i="77"/>
  <c r="I1027" i="77"/>
  <c r="I1028" i="77" s="1"/>
  <c r="F925" i="77"/>
  <c r="F948" i="77" s="1"/>
  <c r="R948" i="77" s="1"/>
  <c r="F437" i="77"/>
  <c r="F449" i="77"/>
  <c r="L286" i="77"/>
  <c r="L1077" i="77" s="1"/>
  <c r="L1022" i="77"/>
  <c r="L1005" i="77"/>
  <c r="L1004" i="77"/>
  <c r="L947" i="77"/>
  <c r="L455" i="77"/>
  <c r="L1078" i="77" s="1"/>
  <c r="L1023" i="77"/>
  <c r="N1083" i="77"/>
  <c r="J1083" i="77"/>
  <c r="H953" i="77"/>
  <c r="K953" i="77"/>
  <c r="K1083" i="77"/>
  <c r="L751" i="77"/>
  <c r="L764" i="77" s="1"/>
  <c r="L765" i="77" s="1"/>
  <c r="L926" i="77"/>
  <c r="L766" i="77"/>
  <c r="L932" i="77"/>
  <c r="L951" i="77" s="1"/>
  <c r="H1083" i="77"/>
  <c r="G1027" i="77"/>
  <c r="G1028" i="77" s="1"/>
  <c r="M953" i="77"/>
  <c r="M1083" i="77"/>
  <c r="G1083" i="77"/>
  <c r="J1028" i="77"/>
  <c r="N953" i="77"/>
  <c r="N1087" i="77"/>
  <c r="J953" i="77"/>
  <c r="H1027" i="77"/>
  <c r="H1028" i="77" s="1"/>
  <c r="K1087" i="77"/>
  <c r="G1009" i="77"/>
  <c r="G1010" i="77" s="1"/>
  <c r="M1027" i="77"/>
  <c r="M1028" i="77" s="1"/>
  <c r="I1087" i="77"/>
  <c r="M1087" i="77"/>
  <c r="K1028" i="77"/>
  <c r="J1063" i="77"/>
  <c r="I1009" i="77"/>
  <c r="I1010" i="77" s="1"/>
  <c r="H1087" i="77"/>
  <c r="N1027" i="77"/>
  <c r="N1028" i="77" s="1"/>
  <c r="K1009" i="77"/>
  <c r="K1010" i="77" s="1"/>
  <c r="L1059" i="77" l="1"/>
  <c r="L1058" i="77"/>
  <c r="G14" i="96"/>
  <c r="J14" i="96" s="1"/>
  <c r="K1065" i="77"/>
  <c r="K1064" i="77"/>
  <c r="J1065" i="77"/>
  <c r="J1064" i="77"/>
  <c r="L770" i="77"/>
  <c r="F932" i="77"/>
  <c r="R932" i="77" s="1"/>
  <c r="R102" i="77"/>
  <c r="F112" i="77"/>
  <c r="F1071" i="77" s="1"/>
  <c r="R1071" i="77" s="1"/>
  <c r="F106" i="77"/>
  <c r="F108" i="77"/>
  <c r="R108" i="77" s="1"/>
  <c r="R83" i="77"/>
  <c r="I1063" i="77"/>
  <c r="F85" i="77"/>
  <c r="F87" i="77" s="1"/>
  <c r="F910" i="77"/>
  <c r="R910" i="77" s="1"/>
  <c r="R79" i="77"/>
  <c r="G1063" i="77"/>
  <c r="F179" i="77"/>
  <c r="R179" i="77" s="1"/>
  <c r="R180" i="77" s="1"/>
  <c r="F192" i="77"/>
  <c r="F199" i="77" s="1"/>
  <c r="F225" i="77"/>
  <c r="F235" i="77" s="1"/>
  <c r="F238" i="77"/>
  <c r="F245" i="77" s="1"/>
  <c r="F248" i="77"/>
  <c r="F202" i="77"/>
  <c r="F46" i="77"/>
  <c r="R37" i="77"/>
  <c r="L990" i="77"/>
  <c r="R1086" i="77"/>
  <c r="R842" i="77"/>
  <c r="F514" i="77"/>
  <c r="F525" i="77"/>
  <c r="F913" i="77"/>
  <c r="F526" i="77"/>
  <c r="R526" i="77" s="1"/>
  <c r="F536" i="77"/>
  <c r="F942" i="77"/>
  <c r="R942" i="77" s="1"/>
  <c r="R916" i="77"/>
  <c r="R915" i="77"/>
  <c r="F455" i="77"/>
  <c r="R449" i="77"/>
  <c r="F1023" i="77"/>
  <c r="R1023" i="77" s="1"/>
  <c r="F644" i="77"/>
  <c r="F659" i="77"/>
  <c r="F914" i="77"/>
  <c r="F660" i="77"/>
  <c r="R660" i="77" s="1"/>
  <c r="F670" i="77"/>
  <c r="F751" i="77"/>
  <c r="F926" i="77"/>
  <c r="F766" i="77"/>
  <c r="F447" i="77"/>
  <c r="R437" i="77"/>
  <c r="R438" i="77" s="1"/>
  <c r="F912" i="77"/>
  <c r="F361" i="77"/>
  <c r="R361" i="77" s="1"/>
  <c r="F371" i="77"/>
  <c r="F348" i="77"/>
  <c r="F360" i="77"/>
  <c r="F924" i="77"/>
  <c r="F279" i="77"/>
  <c r="F280" i="77"/>
  <c r="R280" i="77" s="1"/>
  <c r="R908" i="77"/>
  <c r="F939" i="77"/>
  <c r="L933" i="77"/>
  <c r="L935" i="77" s="1"/>
  <c r="L1008" i="77"/>
  <c r="L1062" i="77" s="1"/>
  <c r="L950" i="77"/>
  <c r="L952" i="77" s="1"/>
  <c r="L772" i="77"/>
  <c r="L1025" i="77"/>
  <c r="L1027" i="77" s="1"/>
  <c r="L988" i="77"/>
  <c r="L1007" i="77"/>
  <c r="H1063" i="77"/>
  <c r="M990" i="77"/>
  <c r="N990" i="77"/>
  <c r="L1061" i="77" l="1"/>
  <c r="H1064" i="77"/>
  <c r="H1065" i="77"/>
  <c r="G1064" i="77"/>
  <c r="G1065" i="77"/>
  <c r="I1065" i="77"/>
  <c r="I1064" i="77"/>
  <c r="F998" i="77"/>
  <c r="F110" i="77"/>
  <c r="R41" i="77"/>
  <c r="F44" i="77"/>
  <c r="F988" i="77"/>
  <c r="R988" i="77" s="1"/>
  <c r="R106" i="77"/>
  <c r="R110" i="77" s="1"/>
  <c r="R85" i="77"/>
  <c r="R87" i="77" s="1"/>
  <c r="D18" i="97"/>
  <c r="E18" i="96"/>
  <c r="F1069" i="77"/>
  <c r="R1069" i="77" s="1"/>
  <c r="E13" i="97"/>
  <c r="R202" i="77"/>
  <c r="R192" i="77"/>
  <c r="R199" i="77" s="1"/>
  <c r="F951" i="77"/>
  <c r="R951" i="77" s="1"/>
  <c r="R112" i="77"/>
  <c r="R925" i="77"/>
  <c r="F941" i="77"/>
  <c r="R941" i="77" s="1"/>
  <c r="F1016" i="77"/>
  <c r="R1016" i="77" s="1"/>
  <c r="R238" i="77"/>
  <c r="R245" i="77" s="1"/>
  <c r="F189" i="77"/>
  <c r="F190" i="77" s="1"/>
  <c r="F200" i="77" s="1"/>
  <c r="F1072" i="77"/>
  <c r="R1072" i="77" s="1"/>
  <c r="F1017" i="77"/>
  <c r="R1017" i="77" s="1"/>
  <c r="F920" i="77"/>
  <c r="F996" i="77"/>
  <c r="R248" i="77"/>
  <c r="R225" i="77"/>
  <c r="R226" i="77" s="1"/>
  <c r="F1014" i="77"/>
  <c r="R42" i="77"/>
  <c r="R46" i="77"/>
  <c r="L1009" i="77"/>
  <c r="L1010" i="77" s="1"/>
  <c r="F286" i="77"/>
  <c r="R279" i="77"/>
  <c r="F1022" i="77"/>
  <c r="R1022" i="77" s="1"/>
  <c r="F947" i="77"/>
  <c r="R947" i="77" s="1"/>
  <c r="F933" i="77"/>
  <c r="F358" i="77"/>
  <c r="R348" i="77"/>
  <c r="R349" i="77" s="1"/>
  <c r="R926" i="77"/>
  <c r="F950" i="77"/>
  <c r="R950" i="77" s="1"/>
  <c r="F1075" i="77"/>
  <c r="R1075" i="77" s="1"/>
  <c r="R670" i="77"/>
  <c r="F946" i="77"/>
  <c r="R946" i="77" s="1"/>
  <c r="R914" i="77"/>
  <c r="F657" i="77"/>
  <c r="R644" i="77"/>
  <c r="R645" i="77" s="1"/>
  <c r="F1074" i="77"/>
  <c r="R1074" i="77" s="1"/>
  <c r="R536" i="77"/>
  <c r="F945" i="77"/>
  <c r="R945" i="77" s="1"/>
  <c r="R913" i="77"/>
  <c r="F523" i="77"/>
  <c r="R514" i="77"/>
  <c r="R515" i="77" s="1"/>
  <c r="R939" i="77"/>
  <c r="F277" i="77"/>
  <c r="R267" i="77"/>
  <c r="R268" i="77" s="1"/>
  <c r="R360" i="77"/>
  <c r="F368" i="77"/>
  <c r="R368" i="77" s="1"/>
  <c r="F1018" i="77"/>
  <c r="R1018" i="77" s="1"/>
  <c r="F1073" i="77"/>
  <c r="R1073" i="77" s="1"/>
  <c r="R371" i="77"/>
  <c r="F944" i="77"/>
  <c r="R944" i="77" s="1"/>
  <c r="R912" i="77"/>
  <c r="F448" i="77"/>
  <c r="F453" i="77" s="1"/>
  <c r="R447" i="77"/>
  <c r="R448" i="77" s="1"/>
  <c r="R453" i="77" s="1"/>
  <c r="R766" i="77"/>
  <c r="F772" i="77"/>
  <c r="F1025" i="77"/>
  <c r="R1025" i="77" s="1"/>
  <c r="F764" i="77"/>
  <c r="R751" i="77"/>
  <c r="R752" i="77" s="1"/>
  <c r="R659" i="77"/>
  <c r="R667" i="77" s="1"/>
  <c r="F667" i="77"/>
  <c r="F1020" i="77"/>
  <c r="R1020" i="77" s="1"/>
  <c r="R455" i="77"/>
  <c r="F1078" i="77"/>
  <c r="R1078" i="77" s="1"/>
  <c r="F236" i="77"/>
  <c r="F246" i="77" s="1"/>
  <c r="R235" i="77"/>
  <c r="R236" i="77" s="1"/>
  <c r="R525" i="77"/>
  <c r="R533" i="77" s="1"/>
  <c r="F1019" i="77"/>
  <c r="R1019" i="77" s="1"/>
  <c r="F533" i="77"/>
  <c r="L1028" i="77"/>
  <c r="L1063" i="77"/>
  <c r="L1080" i="77"/>
  <c r="L1082" i="77" s="1"/>
  <c r="L991" i="77"/>
  <c r="L953" i="77"/>
  <c r="L1087" i="77"/>
  <c r="N1009" i="77"/>
  <c r="N1010" i="77" s="1"/>
  <c r="M1063" i="77"/>
  <c r="M1009" i="77"/>
  <c r="M1010" i="77" s="1"/>
  <c r="R998" i="77" l="1"/>
  <c r="D13" i="96" s="1"/>
  <c r="F1052" i="77"/>
  <c r="L1064" i="77"/>
  <c r="L1065" i="77"/>
  <c r="M1065" i="77"/>
  <c r="M1064" i="77"/>
  <c r="R996" i="77"/>
  <c r="D12" i="96" s="1"/>
  <c r="F1050" i="77"/>
  <c r="R1050" i="77" s="1"/>
  <c r="R246" i="77"/>
  <c r="R44" i="77"/>
  <c r="F1027" i="77"/>
  <c r="F1028" i="77" s="1"/>
  <c r="F999" i="77"/>
  <c r="F1053" i="77" s="1"/>
  <c r="F991" i="77"/>
  <c r="R991" i="77" s="1"/>
  <c r="E19" i="97"/>
  <c r="E12" i="97"/>
  <c r="E17" i="97"/>
  <c r="D19" i="97"/>
  <c r="E19" i="96"/>
  <c r="E18" i="97"/>
  <c r="D21" i="97"/>
  <c r="E21" i="96"/>
  <c r="D17" i="97"/>
  <c r="E17" i="96"/>
  <c r="E21" i="97"/>
  <c r="E15" i="97"/>
  <c r="D13" i="97"/>
  <c r="E13" i="96"/>
  <c r="D22" i="97"/>
  <c r="E22" i="96"/>
  <c r="D16" i="97"/>
  <c r="E16" i="96"/>
  <c r="D15" i="97"/>
  <c r="E15" i="96"/>
  <c r="R924" i="77"/>
  <c r="F935" i="77"/>
  <c r="F1087" i="77" s="1"/>
  <c r="R189" i="77"/>
  <c r="R190" i="77" s="1"/>
  <c r="R200" i="77" s="1"/>
  <c r="R1052" i="77"/>
  <c r="R1014" i="77"/>
  <c r="R952" i="77"/>
  <c r="F1005" i="77"/>
  <c r="F1059" i="77" s="1"/>
  <c r="F952" i="77"/>
  <c r="R920" i="77"/>
  <c r="F765" i="77"/>
  <c r="F770" i="77" s="1"/>
  <c r="R764" i="77"/>
  <c r="R765" i="77" s="1"/>
  <c r="R770" i="77" s="1"/>
  <c r="R772" i="77"/>
  <c r="F1080" i="77"/>
  <c r="R1080" i="77" s="1"/>
  <c r="F278" i="77"/>
  <c r="F284" i="77" s="1"/>
  <c r="R277" i="77"/>
  <c r="F1008" i="77"/>
  <c r="F524" i="77"/>
  <c r="F534" i="77" s="1"/>
  <c r="R523" i="77"/>
  <c r="R524" i="77" s="1"/>
  <c r="R534" i="77" s="1"/>
  <c r="R286" i="77"/>
  <c r="F1077" i="77"/>
  <c r="R1077" i="77" s="1"/>
  <c r="F658" i="77"/>
  <c r="F668" i="77" s="1"/>
  <c r="R657" i="77"/>
  <c r="R658" i="77" s="1"/>
  <c r="R668" i="77" s="1"/>
  <c r="F359" i="77"/>
  <c r="F369" i="77" s="1"/>
  <c r="R358" i="77"/>
  <c r="R359" i="77" s="1"/>
  <c r="R369" i="77" s="1"/>
  <c r="L1083" i="77"/>
  <c r="N1063" i="77"/>
  <c r="F1062" i="77" l="1"/>
  <c r="R1062" i="77" s="1"/>
  <c r="G13" i="96"/>
  <c r="J13" i="96" s="1"/>
  <c r="N1065" i="77"/>
  <c r="N1064" i="77"/>
  <c r="R1008" i="77"/>
  <c r="E16" i="97"/>
  <c r="E22" i="97"/>
  <c r="E12" i="96"/>
  <c r="G12" i="96" s="1"/>
  <c r="D12" i="97"/>
  <c r="D24" i="97" s="1"/>
  <c r="R933" i="77"/>
  <c r="R1082" i="77"/>
  <c r="F953" i="77"/>
  <c r="F1082" i="77"/>
  <c r="F1083" i="77" s="1"/>
  <c r="R1027" i="77"/>
  <c r="F1000" i="77"/>
  <c r="F1054" i="77" s="1"/>
  <c r="F1002" i="77"/>
  <c r="F1056" i="77" s="1"/>
  <c r="F1001" i="77"/>
  <c r="F1055" i="77" s="1"/>
  <c r="R1005" i="77"/>
  <c r="D18" i="96" s="1"/>
  <c r="G18" i="96" s="1"/>
  <c r="R1059" i="77"/>
  <c r="R999" i="77"/>
  <c r="D15" i="96" s="1"/>
  <c r="G15" i="96" s="1"/>
  <c r="R278" i="77"/>
  <c r="R284" i="77" s="1"/>
  <c r="F1004" i="77"/>
  <c r="F1058" i="77" s="1"/>
  <c r="F1007" i="77"/>
  <c r="F1061" i="77" s="1"/>
  <c r="F990" i="77"/>
  <c r="R990" i="77" s="1"/>
  <c r="G23" i="96" l="1"/>
  <c r="J12" i="96"/>
  <c r="J18" i="96"/>
  <c r="E24" i="96"/>
  <c r="E29" i="96" s="1"/>
  <c r="E24" i="97"/>
  <c r="I24" i="97" s="1"/>
  <c r="H24" i="97"/>
  <c r="R935" i="77"/>
  <c r="R1087" i="77" s="1"/>
  <c r="R1083" i="77"/>
  <c r="R1028" i="77"/>
  <c r="F1009" i="77"/>
  <c r="F1010" i="77" s="1"/>
  <c r="R1004" i="77"/>
  <c r="D16" i="96" s="1"/>
  <c r="G16" i="96" s="1"/>
  <c r="R1058" i="77"/>
  <c r="R1055" i="77"/>
  <c r="R1001" i="77"/>
  <c r="D19" i="96" s="1"/>
  <c r="G19" i="96" s="1"/>
  <c r="R1007" i="77"/>
  <c r="R1061" i="77"/>
  <c r="R1053" i="77"/>
  <c r="J15" i="96" s="1"/>
  <c r="R1056" i="77"/>
  <c r="R1002" i="77"/>
  <c r="D21" i="96" s="1"/>
  <c r="G21" i="96" s="1"/>
  <c r="R1054" i="77"/>
  <c r="R1000" i="77"/>
  <c r="D17" i="96" s="1"/>
  <c r="G17" i="96" s="1"/>
  <c r="D22" i="96" l="1"/>
  <c r="G22" i="96" s="1"/>
  <c r="G24" i="96" s="1"/>
  <c r="J21" i="96"/>
  <c r="J17" i="96"/>
  <c r="J16" i="96"/>
  <c r="J19" i="96"/>
  <c r="R953" i="77"/>
  <c r="R1063" i="77"/>
  <c r="R1009" i="77"/>
  <c r="R1010" i="77" s="1"/>
  <c r="F1063" i="77"/>
  <c r="J22" i="96" l="1"/>
  <c r="D24" i="96"/>
  <c r="D29" i="96" s="1"/>
  <c r="F1064" i="77"/>
  <c r="F1065" i="77"/>
  <c r="R1064" i="77"/>
  <c r="R1065" i="77"/>
  <c r="G29" i="96" l="1"/>
</calcChain>
</file>

<file path=xl/comments1.xml><?xml version="1.0" encoding="utf-8"?>
<comments xmlns="http://schemas.openxmlformats.org/spreadsheetml/2006/main">
  <authors>
    <author>Janet Phelps</author>
    <author>jphelp</author>
  </authors>
  <commentList>
    <comment ref="C338" authorId="0">
      <text>
        <r>
          <rPr>
            <b/>
            <sz val="8"/>
            <color indexed="81"/>
            <rFont val="Tahoma"/>
            <family val="2"/>
          </rPr>
          <t>Janet Phelps:</t>
        </r>
        <r>
          <rPr>
            <sz val="8"/>
            <color indexed="81"/>
            <rFont val="Tahoma"/>
            <family val="2"/>
          </rPr>
          <t xml:space="preserve">
Gas supply demand charge includes revenue adjustment factor. (10/05)</t>
        </r>
      </text>
    </comment>
    <comment ref="C385" authorId="0">
      <text>
        <r>
          <rPr>
            <b/>
            <sz val="8"/>
            <color indexed="81"/>
            <rFont val="Tahoma"/>
            <family val="2"/>
          </rPr>
          <t>Janet Phelps:</t>
        </r>
        <r>
          <rPr>
            <sz val="8"/>
            <color indexed="81"/>
            <rFont val="Tahoma"/>
            <family val="2"/>
          </rPr>
          <t xml:space="preserve">
Gas supply demand charge includes revenue adjustment factor. (10/05)</t>
        </r>
      </text>
    </comment>
    <comment ref="C505" authorId="0">
      <text>
        <r>
          <rPr>
            <b/>
            <sz val="8"/>
            <color indexed="81"/>
            <rFont val="Tahoma"/>
            <family val="2"/>
          </rPr>
          <t>Janet Phelps:</t>
        </r>
        <r>
          <rPr>
            <sz val="8"/>
            <color indexed="81"/>
            <rFont val="Tahoma"/>
            <family val="2"/>
          </rPr>
          <t xml:space="preserve">
Gas supply demand charge includes revenue adjustment factor. (10/05)</t>
        </r>
      </text>
    </comment>
    <comment ref="C631" authorId="0">
      <text>
        <r>
          <rPr>
            <b/>
            <sz val="8"/>
            <color indexed="81"/>
            <rFont val="Tahoma"/>
            <family val="2"/>
          </rPr>
          <t>Janet Phelps:</t>
        </r>
        <r>
          <rPr>
            <sz val="8"/>
            <color indexed="81"/>
            <rFont val="Tahoma"/>
            <family val="2"/>
          </rPr>
          <t xml:space="preserve">
Gas supply demand charge includes revenue adjustment factor. (10/05)</t>
        </r>
      </text>
    </comment>
    <comment ref="C687" authorId="0">
      <text>
        <r>
          <rPr>
            <b/>
            <sz val="8"/>
            <color indexed="81"/>
            <rFont val="Tahoma"/>
            <family val="2"/>
          </rPr>
          <t>Janet Phelps:</t>
        </r>
        <r>
          <rPr>
            <sz val="8"/>
            <color indexed="81"/>
            <rFont val="Tahoma"/>
            <family val="2"/>
          </rPr>
          <t xml:space="preserve">
Gas supply demand charge includes revenue adjustment factor. (10/05)</t>
        </r>
      </text>
    </comment>
    <comment ref="B1086" authorId="1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Sales and transportation.</t>
        </r>
      </text>
    </comment>
  </commentList>
</comments>
</file>

<file path=xl/comments2.xml><?xml version="1.0" encoding="utf-8"?>
<comments xmlns="http://schemas.openxmlformats.org/spreadsheetml/2006/main">
  <authors>
    <author>jphelp</author>
  </authors>
  <commentList>
    <comment ref="F52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74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93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P10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Non-leap year February Normal. Leap Year February normal will be prorated</t>
        </r>
      </text>
    </comment>
    <comment ref="AB10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Non leap year February normal</t>
        </r>
      </text>
    </comment>
  </commentList>
</comments>
</file>

<file path=xl/sharedStrings.xml><?xml version="1.0" encoding="utf-8"?>
<sst xmlns="http://schemas.openxmlformats.org/spreadsheetml/2006/main" count="3154" uniqueCount="602">
  <si>
    <t xml:space="preserve">Mantle Counts </t>
  </si>
  <si>
    <t>Puget Sound Energy</t>
  </si>
  <si>
    <t>Units</t>
  </si>
  <si>
    <t>Delivery charge</t>
  </si>
  <si>
    <t>Schedule</t>
  </si>
  <si>
    <t>$/month</t>
  </si>
  <si>
    <t>$/therm</t>
  </si>
  <si>
    <t>Rates</t>
  </si>
  <si>
    <t>Billing Determinants</t>
  </si>
  <si>
    <t>Estimated Revenue</t>
  </si>
  <si>
    <t>Therms</t>
  </si>
  <si>
    <t>Mantles</t>
  </si>
  <si>
    <t>Therms per mantle</t>
  </si>
  <si>
    <t>$/mantle</t>
  </si>
  <si>
    <t>Total mantles</t>
  </si>
  <si>
    <t xml:space="preserve">  First 5,000 therms</t>
  </si>
  <si>
    <t xml:space="preserve">  Over 5,000 therms</t>
  </si>
  <si>
    <t>Total volume</t>
  </si>
  <si>
    <t>Demand charges</t>
  </si>
  <si>
    <t>Delivery demand charge</t>
  </si>
  <si>
    <t>Gas supply demand charge</t>
  </si>
  <si>
    <t>Minimum bills</t>
  </si>
  <si>
    <t>Bills</t>
  </si>
  <si>
    <t>Total demand charges</t>
  </si>
  <si>
    <t>Total revenue</t>
  </si>
  <si>
    <t>Total cost of gas (volume &amp; demand)</t>
  </si>
  <si>
    <t>Subtotal delivery charge</t>
  </si>
  <si>
    <t>Schedule 23 Residential</t>
  </si>
  <si>
    <t>Cost of propane</t>
  </si>
  <si>
    <t>Demand</t>
  </si>
  <si>
    <t>Volume</t>
  </si>
  <si>
    <t>First 25,000 therms</t>
  </si>
  <si>
    <t>Next 25,000 therms</t>
  </si>
  <si>
    <t>Next 50,000 therms</t>
  </si>
  <si>
    <t>Next 100,000 therms</t>
  </si>
  <si>
    <t>Schedule 71 Residential Water Heater Rental</t>
  </si>
  <si>
    <t>Standard models</t>
  </si>
  <si>
    <t>Conservation models</t>
  </si>
  <si>
    <t>Direct vent models</t>
  </si>
  <si>
    <t>High recovery models</t>
  </si>
  <si>
    <t>High efficiency standard</t>
  </si>
  <si>
    <t>High efficiency direct vent</t>
  </si>
  <si>
    <t>Total units</t>
  </si>
  <si>
    <t>Schedule 72 Large Volume Water Heater Rental</t>
  </si>
  <si>
    <t>25-40 gallons; 30,000-50,000 Btu</t>
  </si>
  <si>
    <t>45-55 gallons; 70,000-79,000 Btu</t>
  </si>
  <si>
    <t>45-55 gallons; 51,000-75,000 Btu</t>
  </si>
  <si>
    <t>50-65 gallons; 60,000-69,000 Btu</t>
  </si>
  <si>
    <t>60-84 gallons; 70,000-129,000 Btu</t>
  </si>
  <si>
    <t>75-90 gallons; 130,000-169,000 Btu</t>
  </si>
  <si>
    <t>75-100 gallons; 170,000-200,000 Btu</t>
  </si>
  <si>
    <t>Schedule 74 Gas Conversion Burner Rental</t>
  </si>
  <si>
    <t>Standard models 45,000-400,000 Btu/hour</t>
  </si>
  <si>
    <t>Conservation models 45,000-400,000 Btu/hour</t>
  </si>
  <si>
    <t>Standard models 401,000-700,000 Btu/hour</t>
  </si>
  <si>
    <t>Standard models 701,000-1,300,000 Btu/hour</t>
  </si>
  <si>
    <t xml:space="preserve">  First 25,000 therms</t>
  </si>
  <si>
    <t xml:space="preserve">  Next 25,000 therms</t>
  </si>
  <si>
    <t xml:space="preserve">  Over 50,000 therms</t>
  </si>
  <si>
    <t xml:space="preserve">  First 1,000 therms</t>
  </si>
  <si>
    <t xml:space="preserve">  Over 1,000 therms</t>
  </si>
  <si>
    <t>Procurement charge</t>
  </si>
  <si>
    <t xml:space="preserve">  Next 50,000 therms</t>
  </si>
  <si>
    <t xml:space="preserve">  Next 100,000 therms</t>
  </si>
  <si>
    <t xml:space="preserve">  Next 300,000 therms</t>
  </si>
  <si>
    <t xml:space="preserve">  Over 500,000 therms</t>
  </si>
  <si>
    <t>Total Billing Determinants</t>
  </si>
  <si>
    <t>Billed demand</t>
  </si>
  <si>
    <t>Burners</t>
  </si>
  <si>
    <t>Tanks</t>
  </si>
  <si>
    <t>Estimated Total Revenue</t>
  </si>
  <si>
    <t>Gas lighting</t>
  </si>
  <si>
    <t>Residential</t>
  </si>
  <si>
    <t>Commercial &amp; industrial</t>
  </si>
  <si>
    <t>Large volume</t>
  </si>
  <si>
    <t>Propane</t>
  </si>
  <si>
    <t>Residential water heater rental</t>
  </si>
  <si>
    <t>Summary of Billing Determinants &amp; Revenue</t>
  </si>
  <si>
    <t>Large volume water heater rental</t>
  </si>
  <si>
    <t>Gas conversion burner rental</t>
  </si>
  <si>
    <t>Total estimated revenue</t>
  </si>
  <si>
    <t>Total billed demand</t>
  </si>
  <si>
    <t>Gas converstion burner rental</t>
  </si>
  <si>
    <t>Total rentals</t>
  </si>
  <si>
    <t>Sales volume (therms)</t>
  </si>
  <si>
    <t>Transportation volume (therms)</t>
  </si>
  <si>
    <t>Total sales volume</t>
  </si>
  <si>
    <t>Total transportation volume</t>
  </si>
  <si>
    <t>Schedule 85 Interruptible with Firm Option - Commercial</t>
  </si>
  <si>
    <t>Schedule 86 Limited Interruptible with Firm Option - Commercial</t>
  </si>
  <si>
    <t>Schedule 87 Non-exclusive Interruptible with Firm Option - Commercial</t>
  </si>
  <si>
    <t>Schedule 31 General Service - Commercial</t>
  </si>
  <si>
    <t>Schedule 41 Large Volume - Commercial</t>
  </si>
  <si>
    <t>Schedule 16 Gas Lighting - Residential</t>
  </si>
  <si>
    <t>Schedule 53 Propane - Residential</t>
  </si>
  <si>
    <t>Schedule 31 General Service - Industrial</t>
  </si>
  <si>
    <t>Schedule 41 Large Volume - Industrial</t>
  </si>
  <si>
    <t>Schedule 85 Interruptible with Firm Option - Industrial</t>
  </si>
  <si>
    <t>Schedule 87 Non-exclusive Interruptible with Firm Option - Industrial</t>
  </si>
  <si>
    <t>Schedule 86 Limited Interruptible with Firm Option - Industrial</t>
  </si>
  <si>
    <t>Contract thms</t>
  </si>
  <si>
    <t>General service - commercial</t>
  </si>
  <si>
    <t>Large volume - commercial</t>
  </si>
  <si>
    <t>Interruptible with firm option - com</t>
  </si>
  <si>
    <t>General service - industrial</t>
  </si>
  <si>
    <t>Large volume - industrial</t>
  </si>
  <si>
    <t>Interruptible with firm option - ind</t>
  </si>
  <si>
    <t>Limited interrupt w/ firm option - ind</t>
  </si>
  <si>
    <t>Limited interrupt w/ firm option - com</t>
  </si>
  <si>
    <t>Total volume (sales and transportation)</t>
  </si>
  <si>
    <t>Non-exclus interrupt/firm option - com</t>
  </si>
  <si>
    <t>Revenue</t>
  </si>
  <si>
    <t>Line</t>
  </si>
  <si>
    <t>Total</t>
  </si>
  <si>
    <t>Check</t>
  </si>
  <si>
    <t>Lookup</t>
  </si>
  <si>
    <t>Description</t>
  </si>
  <si>
    <t>Rate Class</t>
  </si>
  <si>
    <t>Rate Sch.</t>
  </si>
  <si>
    <t>Total sales &amp; transportation volume</t>
  </si>
  <si>
    <t>Total weather normalized volume</t>
  </si>
  <si>
    <t>Weather Data</t>
  </si>
  <si>
    <t>Weather Normalization Coefficients</t>
  </si>
  <si>
    <t>Percent change</t>
  </si>
  <si>
    <t>Firm</t>
  </si>
  <si>
    <t>Interruptible</t>
  </si>
  <si>
    <t>Transportation</t>
  </si>
  <si>
    <t>Normal heating degree days (HDD)</t>
  </si>
  <si>
    <t>Total weather normalized portion of volume</t>
  </si>
  <si>
    <t>Total adjustment</t>
  </si>
  <si>
    <t>GAS</t>
  </si>
  <si>
    <t>Commercial</t>
  </si>
  <si>
    <t>Industrial</t>
  </si>
  <si>
    <t>Ltd interrupt w/ firm option - com</t>
  </si>
  <si>
    <t>Interrupt with firm option - com</t>
  </si>
  <si>
    <t>Interrupt with firm option - ind</t>
  </si>
  <si>
    <t>Ltd interrupt w/ firm option - ind</t>
  </si>
  <si>
    <t>Non-excl inter/firm option - ind</t>
  </si>
  <si>
    <t>Non-exclus inter/firm opt - com</t>
  </si>
  <si>
    <t>Total other volume</t>
  </si>
  <si>
    <t>Schedule Number</t>
  </si>
  <si>
    <t>View</t>
  </si>
  <si>
    <t xml:space="preserve">Lighting - Gas </t>
  </si>
  <si>
    <t>Special contract</t>
  </si>
  <si>
    <t>Summary of Calendar Therms by Rate Class</t>
  </si>
  <si>
    <t>Schedule 99 - Industrial</t>
  </si>
  <si>
    <t>Special contract - ind</t>
  </si>
  <si>
    <t>BASE</t>
  </si>
  <si>
    <t>Summary of Revenue by Type</t>
  </si>
  <si>
    <t>Adjustment</t>
  </si>
  <si>
    <t>Weather</t>
  </si>
  <si>
    <t>Normalization</t>
  </si>
  <si>
    <t>Residential (23,53)</t>
  </si>
  <si>
    <t>Large volume (41)</t>
  </si>
  <si>
    <t>Commercial &amp; industrial (31)</t>
  </si>
  <si>
    <t>Residential (16)</t>
  </si>
  <si>
    <t>Interruptible (85)</t>
  </si>
  <si>
    <t>Limited interruptible (86)</t>
  </si>
  <si>
    <t>Non exclusive interruptible (87)</t>
  </si>
  <si>
    <t>Standby &amp; auxiliary heating (61)</t>
  </si>
  <si>
    <t>Total revenue from sales and transport</t>
  </si>
  <si>
    <t>Other operating revenue</t>
  </si>
  <si>
    <t>Gas Revenue (Schedule 101)</t>
  </si>
  <si>
    <t>Total revenue from sales of gas</t>
  </si>
  <si>
    <t>Total Revenue Less Trackers</t>
  </si>
  <si>
    <t>Adjustments to Volume (Therms) by Rate Schedule</t>
  </si>
  <si>
    <t>Total sales and transport volume</t>
  </si>
  <si>
    <t>Total revenue from sales/transport</t>
  </si>
  <si>
    <t>Residential lamps</t>
  </si>
  <si>
    <t>Sch. 101</t>
  </si>
  <si>
    <t>Estimated volume</t>
  </si>
  <si>
    <t>Residential lights</t>
  </si>
  <si>
    <t>Total operating revenue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</si>
  <si>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</si>
  <si>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</si>
  <si>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</si>
  <si>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</si>
  <si>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</si>
  <si>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</si>
  <si>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</si>
  <si>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</si>
  <si>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</si>
  <si>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Summary of Customer Counts by Rate Groups</t>
  </si>
  <si>
    <t>Residential (16,23,53)</t>
  </si>
  <si>
    <t>Rentals</t>
  </si>
  <si>
    <t>Total customer counts</t>
  </si>
  <si>
    <t xml:space="preserve">Interruptible with firm option </t>
  </si>
  <si>
    <t xml:space="preserve">Limited interrupt w/ firm option </t>
  </si>
  <si>
    <t xml:space="preserve">Non-exclus interrupt/firm option </t>
  </si>
  <si>
    <t xml:space="preserve">Large volume </t>
  </si>
  <si>
    <t>Residential &amp; residential propane</t>
  </si>
  <si>
    <t>Residential (53)</t>
  </si>
  <si>
    <t>Commercial - Gas</t>
  </si>
  <si>
    <t>41G-C2</t>
  </si>
  <si>
    <t>86G-C2</t>
  </si>
  <si>
    <t>Industrial - Gas</t>
  </si>
  <si>
    <t>41G-I2</t>
  </si>
  <si>
    <t>86G-I2</t>
  </si>
  <si>
    <t>SC-99G</t>
  </si>
  <si>
    <t>16G-C</t>
  </si>
  <si>
    <t>16G-R</t>
  </si>
  <si>
    <t>Residential - Gas</t>
  </si>
  <si>
    <t>Total other operating revenue</t>
  </si>
  <si>
    <t>31 C</t>
  </si>
  <si>
    <t>31 I</t>
  </si>
  <si>
    <t>41 C</t>
  </si>
  <si>
    <t>41 I</t>
  </si>
  <si>
    <t>85 C</t>
  </si>
  <si>
    <t>85 I</t>
  </si>
  <si>
    <t>86 C</t>
  </si>
  <si>
    <t>86 I</t>
  </si>
  <si>
    <t>87 C</t>
  </si>
  <si>
    <t>87 I</t>
  </si>
  <si>
    <t>Margin Revenue (Excluding Trackers)</t>
  </si>
  <si>
    <t>Total margin and gas revenue</t>
  </si>
  <si>
    <t>Gas revenue (Sch. 101)</t>
  </si>
  <si>
    <t>Weather Normalized Usage per Customer (Therms)</t>
  </si>
  <si>
    <t>Weather Normalized Volume - Rate Class Analysis (Therms)</t>
  </si>
  <si>
    <t>Weather Adjustment to Volume - Rate Class Analysis (Therms)</t>
  </si>
  <si>
    <t>Weather Adjustment by Group - System Level Analysis (Therms)</t>
  </si>
  <si>
    <t>Weather Adjustment to Volume - System Level Analysis Spread to Rate Classes (Therms)</t>
  </si>
  <si>
    <t>Weather Normalized Volume - System Level Analysis (Therms)</t>
  </si>
  <si>
    <t>Weather Adjustment by Rate Class (Therms)</t>
  </si>
  <si>
    <t>Summary of Weather Normalized Volume by Rate Class (Therms)</t>
  </si>
  <si>
    <t>Summary of Weather Normalized Volume by Rate Groups (Therms)</t>
  </si>
  <si>
    <t>Weather Normalized Usage Per Customer (Therms)</t>
  </si>
  <si>
    <t>Usage Per Customer (Therms)</t>
  </si>
  <si>
    <t>General service - commercial &amp; industrial</t>
  </si>
  <si>
    <t>Actual heating degree days (HDD)</t>
  </si>
  <si>
    <t>Schedule 85T Interruptible with Firm Option - Commercial</t>
  </si>
  <si>
    <t>Schedule 87T Non-exclusive Interruptible with Firm Option - Commercial</t>
  </si>
  <si>
    <t>85T</t>
  </si>
  <si>
    <t>87T</t>
  </si>
  <si>
    <t>Schedule 85T Interruptible with Firm Option - Industrial</t>
  </si>
  <si>
    <t>Schedule 87T Non-exclusive Interruptible with Firm Option - Industrial</t>
  </si>
  <si>
    <t>Schedule 41T Large Volume - Industrial</t>
  </si>
  <si>
    <t>41T</t>
  </si>
  <si>
    <t>Gas procurement charge</t>
  </si>
  <si>
    <t xml:space="preserve">Contracts </t>
  </si>
  <si>
    <t>Contracts</t>
  </si>
  <si>
    <t>Residential (23)</t>
  </si>
  <si>
    <t xml:space="preserve">  First 900 therms</t>
  </si>
  <si>
    <t xml:space="preserve">  Next 4,100 therms</t>
  </si>
  <si>
    <t>41T C</t>
  </si>
  <si>
    <t>41T I</t>
  </si>
  <si>
    <t>85T C</t>
  </si>
  <si>
    <t>85T I</t>
  </si>
  <si>
    <t>87T C</t>
  </si>
  <si>
    <t>87T I</t>
  </si>
  <si>
    <t xml:space="preserve"> </t>
  </si>
  <si>
    <t>85G-C3</t>
  </si>
  <si>
    <t>87G-C4</t>
  </si>
  <si>
    <t>85G-I3</t>
  </si>
  <si>
    <t>87G-I4</t>
  </si>
  <si>
    <t xml:space="preserve">General service - commercial </t>
  </si>
  <si>
    <t xml:space="preserve">Large volume - commercial </t>
  </si>
  <si>
    <t>Trans. non-exclus inter/firm option - com</t>
  </si>
  <si>
    <t>Trans. interrupt with firm option - ind</t>
  </si>
  <si>
    <t>Trans. non-exclus inter/firm option - ind</t>
  </si>
  <si>
    <t>Trans. large volume - commercial</t>
  </si>
  <si>
    <t>Trans. interrupt with firm option - com</t>
  </si>
  <si>
    <t>Trans. large volume - industrial</t>
  </si>
  <si>
    <t>Trans. non-exclus inter w/ firm option - ind</t>
  </si>
  <si>
    <t>Trans. non-exclus inter w/ firm option - com</t>
  </si>
  <si>
    <t>Non-excl interrupt w/ firm option - ind</t>
  </si>
  <si>
    <t>Non-excl interrupt w/ firm option - com</t>
  </si>
  <si>
    <t>Trans. large volume (41T)</t>
  </si>
  <si>
    <t>Trans. interrupt with firm option (85T)</t>
  </si>
  <si>
    <t>Trans. non-exclus inter w/firm option (87T)</t>
  </si>
  <si>
    <t xml:space="preserve">Residential (16,23,53) </t>
  </si>
  <si>
    <t>Special contracts - ind</t>
  </si>
  <si>
    <t>Weather Normalization of Volume</t>
  </si>
  <si>
    <t>Transportation - large volume (41T)</t>
  </si>
  <si>
    <t>Transportation - interrupt with firm option (85T)</t>
  </si>
  <si>
    <t>Transportation - non-exclus inter/firm option (87T)</t>
  </si>
  <si>
    <t>Special contracts</t>
  </si>
  <si>
    <t>Subtotal transportation</t>
  </si>
  <si>
    <t>Trans.large volume - commercial</t>
  </si>
  <si>
    <t>Trans.interrupt with firm option - com</t>
  </si>
  <si>
    <t>Transportation - interruptible (85T)</t>
  </si>
  <si>
    <t>Transportation - non exclusive interruptible (87T)</t>
  </si>
  <si>
    <t>Change</t>
  </si>
  <si>
    <t>Basic charge</t>
  </si>
  <si>
    <t>Total bills (Basic charges)</t>
  </si>
  <si>
    <t xml:space="preserve">Residential </t>
  </si>
  <si>
    <t xml:space="preserve">Interruptible </t>
  </si>
  <si>
    <t>Limited interruptible</t>
  </si>
  <si>
    <t>Non exclusive interruptible</t>
  </si>
  <si>
    <t xml:space="preserve">Transportation - large volume </t>
  </si>
  <si>
    <t>Transportation - interrupt with firm option</t>
  </si>
  <si>
    <t xml:space="preserve">Transportation - non-exclus inter/firm option </t>
  </si>
  <si>
    <t>Billed demand by rate schedule</t>
  </si>
  <si>
    <t>check</t>
  </si>
  <si>
    <t>Volume (therms) by rate schedule</t>
  </si>
  <si>
    <t>Schedule 41T Large Volume - Commercial</t>
  </si>
  <si>
    <t xml:space="preserve">Billing Determinants </t>
  </si>
  <si>
    <t xml:space="preserve">Minimum Bill Revenue by Rate Schedule </t>
  </si>
  <si>
    <t xml:space="preserve">Total count </t>
  </si>
  <si>
    <t>86T</t>
  </si>
  <si>
    <t xml:space="preserve">Estimated Revenue </t>
  </si>
  <si>
    <t>Difference (actual - normal HDD)</t>
  </si>
  <si>
    <t>Balancing charge (gas cost)</t>
  </si>
  <si>
    <t xml:space="preserve">Billed Demand by Rate Schedule (therms) </t>
  </si>
  <si>
    <t>Gas rates with RAF</t>
  </si>
  <si>
    <t>Gas cost</t>
  </si>
  <si>
    <t>GASCOST</t>
  </si>
  <si>
    <t>Gas revenue with RAF</t>
  </si>
  <si>
    <t>Gas rate with RAF</t>
  </si>
  <si>
    <t>Schedule 53 gas cost</t>
  </si>
  <si>
    <t>Base rates (customer, volume, demand, procure, min)</t>
  </si>
  <si>
    <t>Gas supply demand cost</t>
  </si>
  <si>
    <t>Gas cupply demand cost</t>
  </si>
  <si>
    <t>Trans.non-exclus inter/firm option - com</t>
  </si>
  <si>
    <t>Trans.large volume - industrial</t>
  </si>
  <si>
    <t>Trans.interrupt with firm option - ind</t>
  </si>
  <si>
    <t>Trans.non-exclus inter/firm option - ind</t>
  </si>
  <si>
    <t>Bills (basic charges)</t>
  </si>
  <si>
    <t>Bills (basic charges) by rate schedule</t>
  </si>
  <si>
    <t>Schedule 86T Limited Interruptible with Firm Option - Industrial</t>
  </si>
  <si>
    <t>Balancing charge</t>
  </si>
  <si>
    <t>86TG-I</t>
  </si>
  <si>
    <t>Trans. limited interrupt w/ firm option - ind</t>
  </si>
  <si>
    <t>Trans. limited interrupt w/ firm option (86T)</t>
  </si>
  <si>
    <t>Transportation - Limited interruptible (86T)</t>
  </si>
  <si>
    <t>86T I</t>
  </si>
  <si>
    <t>Transportation - limited interrupt with firm option</t>
  </si>
  <si>
    <t>Transportation - limited interrupt with firm option - ind</t>
  </si>
  <si>
    <t xml:space="preserve">Transportation - limited interrupt with firm option </t>
  </si>
  <si>
    <t>Transportation - limited interrupt with firm option (86T)</t>
  </si>
  <si>
    <t>Trans.limited interrupt with firm option - ind</t>
  </si>
  <si>
    <t>Transportation - limited interruptible (86T)</t>
  </si>
  <si>
    <t xml:space="preserve">Bills by Rate Schedule </t>
  </si>
  <si>
    <t>31</t>
  </si>
  <si>
    <t>41</t>
  </si>
  <si>
    <t>85</t>
  </si>
  <si>
    <t>86</t>
  </si>
  <si>
    <t>87</t>
  </si>
  <si>
    <t>23</t>
  </si>
  <si>
    <t>53</t>
  </si>
  <si>
    <t>Customer Counts</t>
  </si>
  <si>
    <t>Trans. limited interrupt w/ firm option - ind (86T)</t>
  </si>
  <si>
    <t>Total normalized volume</t>
  </si>
  <si>
    <t>Restated</t>
  </si>
  <si>
    <t>Normalized</t>
  </si>
  <si>
    <t>Gas Costs (Schedule 101)</t>
  </si>
  <si>
    <t>Total gas cost</t>
  </si>
  <si>
    <t>SC</t>
  </si>
  <si>
    <t>Total customer charges from A11a less adjustments</t>
  </si>
  <si>
    <t>Total demand data from A11a less adjustments</t>
  </si>
  <si>
    <t>SCH_031GC : Natural Gas Commercial General Service</t>
  </si>
  <si>
    <t>SCH_041GC : Natural Gas Large Vol. High Load Factor</t>
  </si>
  <si>
    <t>SCH_041GTC : NGDS Transportation Service Firm LVHLF</t>
  </si>
  <si>
    <t>SCH_031GTC : NGDS Transportation Service Firm Com</t>
  </si>
  <si>
    <t>SCH_085GC : Natural Gas Inter Service w/ Firm Option</t>
  </si>
  <si>
    <t>SCH_085GTC : NGDS Trans Service Inter. w/ Firm Option</t>
  </si>
  <si>
    <t>SCH_086GC : Nat Gas Limit Inter Serv w/ Firm Option</t>
  </si>
  <si>
    <t>SCH_087GC : Nat Gas Non-Ex Inter Serv w/ Firm Option</t>
  </si>
  <si>
    <t>SCH_087GTC : NGDS Trans Serv Non-Excl Inter w/ Firm</t>
  </si>
  <si>
    <t>SCH_031GI : Natural Gas Industrial General Service</t>
  </si>
  <si>
    <t>SCH_041GI : Natural Gas Large Vol. High Load Factor</t>
  </si>
  <si>
    <t>SCH_041GTI : NGDS Transportation Service Firm LVHLF</t>
  </si>
  <si>
    <t>SCH_085GI : Natural Gas Inter Service w/ Firm Option</t>
  </si>
  <si>
    <t>SCH_085GTI : NGDS Trans Service Inter. w/ Firm Option</t>
  </si>
  <si>
    <t>SCH_086GI : Nat Gas Limit Inter Serv w/ Firm Option</t>
  </si>
  <si>
    <t>SCH_086GTI : NGDS Trans Service Limited Inter w/ Firm</t>
  </si>
  <si>
    <t>SCH_087GI : Nat Gas Non-Ex Inter Serv w/ Firm Option</t>
  </si>
  <si>
    <t>SCH_087GTI : NGDS Trans Serv Non-Excl Inter w/ Firm</t>
  </si>
  <si>
    <t>SCH_099GT : NGDS Transportation Service Special</t>
  </si>
  <si>
    <t>SCH_023G : Natural Gas Residential General Service</t>
  </si>
  <si>
    <t>SCH_053G : Propane Service</t>
  </si>
  <si>
    <t>41T-C</t>
  </si>
  <si>
    <t>First 900 therms</t>
  </si>
  <si>
    <t>Next 4,100 therms</t>
  </si>
  <si>
    <t>All over 5,000 therms</t>
  </si>
  <si>
    <t>41T-I</t>
  </si>
  <si>
    <t>First 1,000 therms</t>
  </si>
  <si>
    <t>All over 1,000 therms</t>
  </si>
  <si>
    <t xml:space="preserve">First 900 therms or less  </t>
  </si>
  <si>
    <t>85T-C</t>
  </si>
  <si>
    <t>All over 50,000 therms</t>
  </si>
  <si>
    <t>85T-I</t>
  </si>
  <si>
    <t>87T-C</t>
  </si>
  <si>
    <t>Next 300,000 therms</t>
  </si>
  <si>
    <t>All over 500,000 therms</t>
  </si>
  <si>
    <t>87T-I</t>
  </si>
  <si>
    <t>31T C</t>
  </si>
  <si>
    <t>Schedule 31T General Service - Commercial</t>
  </si>
  <si>
    <t>31T</t>
  </si>
  <si>
    <t>Tran. General service - commercial</t>
  </si>
  <si>
    <t>Transportation - General Service (31T)</t>
  </si>
  <si>
    <t>Trans. - commercial</t>
  </si>
  <si>
    <t>Trans. General services (31T)</t>
  </si>
  <si>
    <t>Transportation - general services (31T)</t>
  </si>
  <si>
    <t>Transportation - Commercial &amp; Industrial (31T)</t>
  </si>
  <si>
    <t>Total Revenue</t>
  </si>
  <si>
    <t>Demand Charge</t>
  </si>
  <si>
    <t>CAL</t>
  </si>
  <si>
    <t>2018 Gas Expedited Rate Filing (ERF)</t>
  </si>
  <si>
    <t>Actual Therms by Rate Schedule</t>
  </si>
  <si>
    <t>31T I</t>
  </si>
  <si>
    <t>SCH_031GTI : NGDS Tranportation General Service</t>
  </si>
  <si>
    <t>Emergency Compressed Nature Gas Service</t>
  </si>
  <si>
    <t>Trans.  - commercial</t>
  </si>
  <si>
    <t>Total sales &amp; transportation volume Schedules (85,87,85T &amp; 87T) &amp; Special Contracts</t>
  </si>
  <si>
    <t>Standby &amp; auxiliary heating - res</t>
  </si>
  <si>
    <t>Standby &amp; auxiliary heating - com</t>
  </si>
  <si>
    <t>Standby &amp; auxiliary heating - ind</t>
  </si>
  <si>
    <t>Standby service (61)</t>
  </si>
  <si>
    <t>Current and Proposed Rates by Rate Schedule</t>
  </si>
  <si>
    <t xml:space="preserve">Billing </t>
  </si>
  <si>
    <t>Current</t>
  </si>
  <si>
    <t>Proposed</t>
  </si>
  <si>
    <t xml:space="preserve">Difference </t>
  </si>
  <si>
    <t>Target</t>
  </si>
  <si>
    <t>Resulting</t>
  </si>
  <si>
    <t>Determinants</t>
  </si>
  <si>
    <t>Revenues</t>
  </si>
  <si>
    <t>$</t>
  </si>
  <si>
    <t>%</t>
  </si>
  <si>
    <t>Increase</t>
  </si>
  <si>
    <t>Percent</t>
  </si>
  <si>
    <t>Schedule 23</t>
  </si>
  <si>
    <t>TARGET 23/53</t>
  </si>
  <si>
    <t>Basic Charge</t>
  </si>
  <si>
    <t>Delivery Charge</t>
  </si>
  <si>
    <t>over (under)</t>
  </si>
  <si>
    <t>Gas Revenue (Schedule 101) (1)</t>
  </si>
  <si>
    <t>Total Revenues</t>
  </si>
  <si>
    <t>Schedule 53</t>
  </si>
  <si>
    <t>Total Delivery Charges</t>
  </si>
  <si>
    <t>Schedule 16</t>
  </si>
  <si>
    <t>TARGET 16</t>
  </si>
  <si>
    <t>Total Delivery Charge</t>
  </si>
  <si>
    <t>Calculated Total Therms</t>
  </si>
  <si>
    <t>Residential Summary</t>
  </si>
  <si>
    <t>Total Residential Gas (Schedule 101) Revenues</t>
  </si>
  <si>
    <t>Total Residential Margin Revenues</t>
  </si>
  <si>
    <t>Total Residential Revenues</t>
  </si>
  <si>
    <t>(1) Schedule 101 rates at proposed revenue adjustment factor (RAF).</t>
  </si>
  <si>
    <t>Schedule 31 - Sales</t>
  </si>
  <si>
    <t>TARGET 31/31T</t>
  </si>
  <si>
    <t>Procurement Charge</t>
  </si>
  <si>
    <t>Schedule 31 - Transportation</t>
  </si>
  <si>
    <t>Gas Balancing Service Charge</t>
  </si>
  <si>
    <t>Schedule 31 - Total</t>
  </si>
  <si>
    <t>Schedule 41 - Sales</t>
  </si>
  <si>
    <t>TARGET 41/41T</t>
  </si>
  <si>
    <t>Minimum Bill</t>
  </si>
  <si>
    <t>Delivery Charge:</t>
  </si>
  <si>
    <t>in minimum bills</t>
  </si>
  <si>
    <t>Total Volume</t>
  </si>
  <si>
    <t>Volumetric Charge</t>
  </si>
  <si>
    <t>Total Gas Revenue</t>
  </si>
  <si>
    <t>Schedule 41 - Transportation</t>
  </si>
  <si>
    <t>Schedule 41 - Total</t>
  </si>
  <si>
    <t>Commercial &amp; Industrial Summary</t>
  </si>
  <si>
    <t>Total Gas (Schedule 101) Revenues</t>
  </si>
  <si>
    <t>Schedules 31, 31T, 61</t>
  </si>
  <si>
    <t>Schedule 41, 41T</t>
  </si>
  <si>
    <t>Total Margin Revenues</t>
  </si>
  <si>
    <t>Schedules 31, 31T</t>
  </si>
  <si>
    <t>Schedule 85 - Sales</t>
  </si>
  <si>
    <t>TARGET 85/85T</t>
  </si>
  <si>
    <t>Minimum Bills</t>
  </si>
  <si>
    <t>First 25,000 Therms</t>
  </si>
  <si>
    <t>Next 25,000 Therms</t>
  </si>
  <si>
    <t>All over 50,000 Therms</t>
  </si>
  <si>
    <t>Schedule 85 - Transportation</t>
  </si>
  <si>
    <t>Next 50,000 Therms</t>
  </si>
  <si>
    <t>Schedule 85 - Total</t>
  </si>
  <si>
    <t>Schedule 86 - Sales</t>
  </si>
  <si>
    <t>TARGET 86/86T</t>
  </si>
  <si>
    <t>Schedule 86 - Transportation</t>
  </si>
  <si>
    <t>Schedule 86 - Total</t>
  </si>
  <si>
    <t>Schedule 87 - Sales</t>
  </si>
  <si>
    <t>TARGET 87/87T</t>
  </si>
  <si>
    <t>Schedule 87 - Transportation</t>
  </si>
  <si>
    <t>Schedule 87 - Total</t>
  </si>
  <si>
    <t>Interruptible Summary</t>
  </si>
  <si>
    <t>Schedules 85, 85T</t>
  </si>
  <si>
    <t>Schedules 86, 86T</t>
  </si>
  <si>
    <t>Schedules 87, 87T</t>
  </si>
  <si>
    <t>Total Summary</t>
  </si>
  <si>
    <t>Plus Contracts</t>
  </si>
  <si>
    <t>Plus Rentals</t>
  </si>
  <si>
    <t>Grand Total</t>
  </si>
  <si>
    <t>Rental Schedules 71, 72 and 74</t>
  </si>
  <si>
    <t>Rate</t>
  </si>
  <si>
    <t>Annual</t>
  </si>
  <si>
    <t xml:space="preserve">Under </t>
  </si>
  <si>
    <t>Charges</t>
  </si>
  <si>
    <t>Existing Rates</t>
  </si>
  <si>
    <t>Proposed Rates</t>
  </si>
  <si>
    <t>71</t>
  </si>
  <si>
    <t>71G-A</t>
  </si>
  <si>
    <t xml:space="preserve">Standard Models </t>
  </si>
  <si>
    <t>71G-B</t>
  </si>
  <si>
    <t xml:space="preserve">Conservation Models </t>
  </si>
  <si>
    <t>71G-C</t>
  </si>
  <si>
    <t xml:space="preserve">Direct Vent Models </t>
  </si>
  <si>
    <t>71G-D</t>
  </si>
  <si>
    <t xml:space="preserve">High Recovery Models </t>
  </si>
  <si>
    <t>71G-E</t>
  </si>
  <si>
    <t xml:space="preserve">High Efficiency Standard (Energy Factor ≥.60)  </t>
  </si>
  <si>
    <t>71G-F</t>
  </si>
  <si>
    <t xml:space="preserve">High Efficiency Direct Vent (Energy Factor ≥.60) </t>
  </si>
  <si>
    <t>72</t>
  </si>
  <si>
    <t>72G-F</t>
  </si>
  <si>
    <t xml:space="preserve">25 - 40 gallon storage 30,000 to 50,000 </t>
  </si>
  <si>
    <t>72G-G</t>
  </si>
  <si>
    <t xml:space="preserve">45 - 55 gallon storage 70,000 to 79,000 </t>
  </si>
  <si>
    <t>72G-H</t>
  </si>
  <si>
    <t xml:space="preserve">45 - 55 gallon storage 51,000 to 75,000 </t>
  </si>
  <si>
    <t>72G-I</t>
  </si>
  <si>
    <t xml:space="preserve">50 - 65 gallon storage 60,000 to 69,000 </t>
  </si>
  <si>
    <t>72G-J</t>
  </si>
  <si>
    <t xml:space="preserve">60 - 84 gallon storage 70,000 to 129,000 </t>
  </si>
  <si>
    <t>72G-K</t>
  </si>
  <si>
    <t xml:space="preserve">75 - 90 gallon storage 130,000 to 169,000 </t>
  </si>
  <si>
    <t>72G-L</t>
  </si>
  <si>
    <t xml:space="preserve">75 - 100 gallon storage 170,000 to 200,000 </t>
  </si>
  <si>
    <t>74</t>
  </si>
  <si>
    <t>74G-A</t>
  </si>
  <si>
    <t xml:space="preserve">45,000 to 400,000 Standard Models </t>
  </si>
  <si>
    <t>TARGET</t>
  </si>
  <si>
    <t>74G-B</t>
  </si>
  <si>
    <t xml:space="preserve">401,000 to 700,000 Standard Models </t>
  </si>
  <si>
    <t>74G-C</t>
  </si>
  <si>
    <t xml:space="preserve">701,000 to 1,300,000 Standard Models </t>
  </si>
  <si>
    <t>74G-D</t>
  </si>
  <si>
    <t xml:space="preserve">45,000 to 400,000 Conservation Models </t>
  </si>
  <si>
    <t>Test Year Ended September 2016</t>
  </si>
  <si>
    <t>Calendarized Volume (Therms)</t>
  </si>
  <si>
    <t>Summary of Restated Gas Revenues &amp; Cost by Rate Schedule</t>
  </si>
  <si>
    <t>D = B + C</t>
  </si>
  <si>
    <t>Trans. General Service - Industrial</t>
  </si>
  <si>
    <t>Schedule 31T General Service - Industrial</t>
  </si>
  <si>
    <t>Trans. General service - industrial</t>
  </si>
  <si>
    <t>Trans. General service - commercial</t>
  </si>
  <si>
    <t>Tran. General Service</t>
  </si>
  <si>
    <t>2017 Gas General Rate Case - Updated For Tax Reform</t>
  </si>
  <si>
    <t>2017 Gas General Rate Case - Updated for Tax Reform</t>
  </si>
  <si>
    <t>Test Year Ended June 30, 2018</t>
  </si>
  <si>
    <t>Data Source: Water Heaters_A11A Cal 8-30-18_Jul17-Jun18.xlsx</t>
  </si>
  <si>
    <t>Water Heater Rental Revenue at UG-180283 Rates (Tax Reform)</t>
  </si>
  <si>
    <t>Data Source: A11A_Calender_08-08-18.xlsx</t>
  </si>
  <si>
    <t>Data Source: Calendar Volumes by Block Jul17-Jun18_08-08-18 Data.xlsx</t>
  </si>
  <si>
    <t>(1)</t>
  </si>
  <si>
    <t>Summary of Restated Normalized Revenues by Rate Schedule</t>
  </si>
  <si>
    <t>Actual</t>
  </si>
  <si>
    <t>CRM rate</t>
  </si>
  <si>
    <t>CRM</t>
  </si>
  <si>
    <t>CRM revenue</t>
  </si>
  <si>
    <t>CRM rates</t>
  </si>
  <si>
    <t>CRM revevue</t>
  </si>
  <si>
    <t>CRM Revenue (Schedule 149)</t>
  </si>
  <si>
    <t>Sch. 149</t>
  </si>
  <si>
    <t>E = B + C + D</t>
  </si>
  <si>
    <t>(2)</t>
  </si>
  <si>
    <t>Revenue (1)</t>
  </si>
  <si>
    <t>Margin</t>
  </si>
  <si>
    <t>(3)</t>
  </si>
  <si>
    <t>Gas Revenue (2)</t>
  </si>
  <si>
    <t>CRM Revenue (3)</t>
  </si>
  <si>
    <t xml:space="preserve">Total </t>
  </si>
  <si>
    <t>ERF Adjustments</t>
  </si>
  <si>
    <t>Decoupling mechanism Adjustments</t>
  </si>
  <si>
    <t>Margin Impact from Weather Adjustment</t>
  </si>
  <si>
    <t>Gas Weather Normalization Revenue Calculation For Non-Decoupled Rate Schedules</t>
  </si>
  <si>
    <t>Calculated Weather Normalized Revenue at UG-180283 Rates (Tax Reform)</t>
  </si>
  <si>
    <t xml:space="preserve">2017 -2018 TEMPERATURE ADJUSTMENT TO  GAS SYSTEM SENDOUT </t>
  </si>
  <si>
    <t>Actual Data</t>
  </si>
  <si>
    <t>HDD65</t>
  </si>
  <si>
    <t>HDD45</t>
  </si>
  <si>
    <t>Temperature Adjustment to Actual (Actual - Normalized)</t>
  </si>
  <si>
    <t>Total Sales (therms)</t>
  </si>
  <si>
    <t>Customers</t>
  </si>
  <si>
    <t>UPC (therms)</t>
  </si>
  <si>
    <t>Coefficient</t>
  </si>
  <si>
    <t>UPC Impact (therms)</t>
  </si>
  <si>
    <t>Sendout (therms)</t>
  </si>
  <si>
    <t>Temperature Adj./Actual Sendout (%)</t>
  </si>
  <si>
    <t>% Deviation from</t>
  </si>
  <si>
    <t>Year</t>
  </si>
  <si>
    <t>Month</t>
  </si>
  <si>
    <t>Transport</t>
  </si>
  <si>
    <t>Normal</t>
  </si>
  <si>
    <t>Difference</t>
  </si>
  <si>
    <t>Normal HDD65</t>
  </si>
  <si>
    <t>Note:  1) Monthly gas firm, interruptible and transportation sendout figures were obtained by summing the daily sendout data posted by Gas Operations.</t>
  </si>
  <si>
    <t xml:space="preserve">             2) Normal weather values are the average values calculated for 1988 -2017.</t>
  </si>
  <si>
    <t>Shaded Information is Designated as CONFIDENTIAL per WAC 480-07-160</t>
  </si>
  <si>
    <t>Restated Margin Revenue at current tax reform rates (UG-180283) effective May 1, 2018.</t>
  </si>
  <si>
    <t>Restated Gas Revenue at current Schedule 101 rates effective November 1, 2018.</t>
  </si>
  <si>
    <t>Restated Gas Revenue at current Schedule 149 rates effective November 1, 2018.</t>
  </si>
  <si>
    <t>Gas Revenue (1)</t>
  </si>
  <si>
    <t>Gas Cost (1)</t>
  </si>
  <si>
    <t>Restated Gas Revenue and Cost at current Schedule 101 rates effective November 1, 2018.</t>
  </si>
  <si>
    <t>Billing Determinants and Minimum Bill Revenue Data</t>
  </si>
  <si>
    <t>Actual Therms by Rate Block</t>
  </si>
  <si>
    <t>REDACTED</t>
  </si>
  <si>
    <t>REDACTED 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</si>
</sst>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0000_);_(&quot;$&quot;* \(#,##0.00000\);_(&quot;$&quot;* &quot;-&quot;?????_);_(@_)"/>
    <numFmt numFmtId="165" formatCode="_(&quot;$&quot;* #,##0.00_);_(&quot;$&quot;* \(#,##0.00\);_(&quot;$&quot;* &quot;-&quot;?????_);_(@_)"/>
    <numFmt numFmtId="166" formatCode="0.0%"/>
    <numFmt numFmtId="167" formatCode="0.000000"/>
    <numFmt numFmtId="168" formatCode="0.00000"/>
    <numFmt numFmtId="169" formatCode="0.0000"/>
    <numFmt numFmtId="170" formatCode="_(* #,##0_);_(* \(#,##0\);_(* &quot;-&quot;??_);_(@_)"/>
    <numFmt numFmtId="171" formatCode="_(&quot;$&quot;* #,##0_);_(&quot;$&quot;* \(#,##0\);_(&quot;$&quot;* &quot;-&quot;??_);_(@_)"/>
    <numFmt numFmtId="172" formatCode="#,##0.000000_);\(#,##0.000000\)"/>
    <numFmt numFmtId="173" formatCode="_(&quot;$&quot;* #,##0.000000_);_(&quot;$&quot;* \(#,##0.000000\);_(&quot;$&quot;* &quot;-&quot;_);_(@_)"/>
    <numFmt numFmtId="174" formatCode="[$-409]mmm\-yy;@"/>
    <numFmt numFmtId="175" formatCode="0.000%"/>
    <numFmt numFmtId="176" formatCode="#,##0;&quot;-&quot;#,##0"/>
    <numFmt numFmtId="177" formatCode="_(* #,##0.000000_);_(* \(#,##0.000000\);_(* &quot;-&quot;??_);_(@_)"/>
    <numFmt numFmtId="178" formatCode="&quot;$&quot;#,##0.00\ ;\(&quot;$&quot;#,##0.00\)"/>
    <numFmt numFmtId="179" formatCode="&quot;$&quot;#,##0\ ;\(&quot;$&quot;#,##0\)"/>
    <numFmt numFmtId="180" formatCode="&quot;$&quot;#,##0.00000"/>
    <numFmt numFmtId="181" formatCode="&quot;$&quot;#,##0.00000\ ;\(&quot;$&quot;#,##0.00000\)"/>
    <numFmt numFmtId="182" formatCode="0.0000%"/>
    <numFmt numFmtId="183" formatCode="#,##0.00000"/>
    <numFmt numFmtId="184" formatCode="&quot;$&quot;#,##0.0000\ ;\(&quot;$&quot;#,##0.0000\)"/>
    <numFmt numFmtId="185" formatCode="#,##0.0"/>
    <numFmt numFmtId="186" formatCode="_(&quot;$&quot;* #,##0.00000_);_(&quot;$&quot;* \(#,##0.00000\);_(&quot;$&quot;* &quot;-&quot;??_);_(@_)"/>
    <numFmt numFmtId="187" formatCode="&quot;$&quot;#,##0"/>
    <numFmt numFmtId="188" formatCode="&quot;$&quot;#,##0.000\ ;\(&quot;$&quot;#,##0.000\)"/>
    <numFmt numFmtId="189" formatCode="_(&quot;$&quot;* #,##0.00000_);_(&quot;$&quot;* \(#,##0.00000\);_(&quot;$&quot;* &quot;-&quot;??????_);_(@_)"/>
    <numFmt numFmtId="190" formatCode="_(* #,##0.0_);_(* \(#,##0.0\);_(* &quot;-&quot;??_);_(@_)"/>
    <numFmt numFmtId="191" formatCode="_(* #,##0.0000_);_(* \(#,##0.0000\);_(* &quot;-&quot;??_);_(@_)"/>
    <numFmt numFmtId="192" formatCode="0.0"/>
  </numFmts>
  <fonts count="4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10"/>
      <color indexed="12"/>
      <name val="Arial"/>
      <family val="2"/>
    </font>
    <font>
      <sz val="10"/>
      <color indexed="21"/>
      <name val="Arial"/>
      <family val="2"/>
    </font>
    <font>
      <sz val="10"/>
      <color indexed="21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rgb="FF00808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sz val="11"/>
      <color indexed="12"/>
      <name val="Calibri"/>
      <family val="2"/>
      <scheme val="minor"/>
    </font>
    <font>
      <sz val="10"/>
      <color theme="1"/>
      <name val="Arial"/>
      <family val="2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b/>
      <sz val="10"/>
      <color theme="1"/>
      <name val="Arial"/>
      <family val="2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8" tint="-0.249977111117893"/>
      <name val="Arial"/>
      <family val="2"/>
    </font>
    <font>
      <sz val="10"/>
      <color rgb="FFFF0000"/>
      <name val="Arial"/>
      <family val="2"/>
    </font>
    <font>
      <sz val="10"/>
      <color indexed="9"/>
      <name val="Arial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sz val="10"/>
      <color rgb="FF008080"/>
      <name val="Calibri"/>
      <family val="2"/>
      <scheme val="minor"/>
    </font>
    <font>
      <sz val="10"/>
      <color theme="4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0"/>
      <name val="Arial"/>
      <family val="2"/>
    </font>
    <font>
      <b/>
      <sz val="16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10"/>
      </left>
      <right/>
      <top/>
      <bottom/>
      <diagonal/>
    </border>
    <border>
      <left/>
      <right style="medium">
        <color indexed="10"/>
      </right>
      <top/>
      <bottom/>
      <diagonal/>
    </border>
    <border>
      <left style="medium">
        <color indexed="10"/>
      </left>
      <right/>
      <top/>
      <bottom style="medium">
        <color indexed="10"/>
      </bottom>
      <diagonal/>
    </border>
    <border>
      <left/>
      <right/>
      <top/>
      <bottom style="medium">
        <color indexed="10"/>
      </bottom>
      <diagonal/>
    </border>
    <border>
      <left/>
      <right style="medium">
        <color indexed="10"/>
      </right>
      <top/>
      <bottom style="medium">
        <color indexed="10"/>
      </bottom>
      <diagonal/>
    </border>
    <border>
      <left/>
      <right/>
      <top style="thin">
        <color auto="1"/>
      </top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medium">
        <color indexed="10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FFFF00"/>
      </left>
      <right/>
      <top style="thin">
        <color rgb="FFFFFF00"/>
      </top>
      <bottom style="thin">
        <color rgb="FFFFFF00"/>
      </bottom>
      <diagonal/>
    </border>
    <border>
      <left/>
      <right/>
      <top style="thin">
        <color rgb="FFFFFF00"/>
      </top>
      <bottom style="thin">
        <color rgb="FFFFFF00"/>
      </bottom>
      <diagonal/>
    </border>
    <border>
      <left/>
      <right style="thin">
        <color rgb="FFFFFF00"/>
      </right>
      <top style="thin">
        <color rgb="FFFFFF00"/>
      </top>
      <bottom style="thin">
        <color rgb="FFFFFF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10"/>
      </left>
      <right/>
      <top style="medium">
        <color indexed="10"/>
      </top>
      <bottom/>
      <diagonal/>
    </border>
    <border>
      <left/>
      <right style="medium">
        <color indexed="10"/>
      </right>
      <top style="medium">
        <color indexed="1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FFFF00"/>
      </right>
      <top/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925">
    <xf numFmtId="0" fontId="0" fillId="0" borderId="0" xfId="0"/>
    <xf numFmtId="170" fontId="17" fillId="0" borderId="0" xfId="0" applyNumberFormat="1" applyFont="1"/>
    <xf numFmtId="170" fontId="4" fillId="0" borderId="0" xfId="0" applyNumberFormat="1" applyFont="1" applyAlignment="1">
      <alignment horizontal="left"/>
    </xf>
    <xf numFmtId="170" fontId="4" fillId="0" borderId="0" xfId="0" applyNumberFormat="1" applyFont="1"/>
    <xf numFmtId="170" fontId="3" fillId="0" borderId="0" xfId="0" applyNumberFormat="1" applyFont="1"/>
    <xf numFmtId="17" fontId="4" fillId="0" borderId="0" xfId="0" applyNumberFormat="1" applyFont="1"/>
    <xf numFmtId="0" fontId="4" fillId="0" borderId="28" xfId="0" applyFont="1" applyBorder="1" applyAlignment="1">
      <alignment horizontal="center"/>
    </xf>
    <xf numFmtId="17" fontId="4" fillId="0" borderId="28" xfId="0" applyNumberFormat="1" applyFont="1" applyBorder="1" applyAlignment="1">
      <alignment horizontal="center"/>
    </xf>
    <xf numFmtId="0" fontId="5" fillId="0" borderId="0" xfId="0" applyFont="1"/>
    <xf numFmtId="0" fontId="4" fillId="0" borderId="0" xfId="0" applyFont="1"/>
    <xf numFmtId="43" fontId="18" fillId="0" borderId="0" xfId="0" applyNumberFormat="1" applyFont="1" applyFill="1"/>
    <xf numFmtId="43" fontId="20" fillId="0" borderId="0" xfId="0" applyNumberFormat="1" applyFont="1" applyFill="1"/>
    <xf numFmtId="0" fontId="4" fillId="0" borderId="0" xfId="0" quotePrefix="1" applyNumberFormat="1" applyFont="1"/>
    <xf numFmtId="0" fontId="20" fillId="0" borderId="3" xfId="0" applyFont="1" applyBorder="1" applyAlignment="1">
      <alignment horizontal="center"/>
    </xf>
    <xf numFmtId="17" fontId="20" fillId="0" borderId="3" xfId="0" applyNumberFormat="1" applyFont="1" applyBorder="1" applyAlignment="1">
      <alignment horizontal="center"/>
    </xf>
    <xf numFmtId="0" fontId="5" fillId="0" borderId="0" xfId="0" applyFont="1"/>
    <xf numFmtId="0" fontId="0" fillId="0" borderId="3" xfId="0" applyBorder="1" applyAlignment="1">
      <alignment horizontal="center"/>
    </xf>
    <xf numFmtId="44" fontId="0" fillId="0" borderId="0" xfId="0" applyNumberFormat="1"/>
    <xf numFmtId="164" fontId="0" fillId="0" borderId="0" xfId="0" applyNumberFormat="1"/>
    <xf numFmtId="44" fontId="6" fillId="0" borderId="0" xfId="0" applyNumberFormat="1" applyFont="1"/>
    <xf numFmtId="164" fontId="0" fillId="0" borderId="0" xfId="0" applyNumberFormat="1" applyBorder="1"/>
    <xf numFmtId="0" fontId="0" fillId="0" borderId="0" xfId="0" applyAlignment="1">
      <alignment horizontal="right"/>
    </xf>
    <xf numFmtId="3" fontId="0" fillId="0" borderId="0" xfId="0" applyNumberFormat="1"/>
    <xf numFmtId="42" fontId="0" fillId="0" borderId="0" xfId="0" applyNumberFormat="1"/>
    <xf numFmtId="42" fontId="0" fillId="0" borderId="2" xfId="0" applyNumberFormat="1" applyBorder="1"/>
    <xf numFmtId="3" fontId="6" fillId="0" borderId="0" xfId="0" applyNumberFormat="1" applyFont="1"/>
    <xf numFmtId="44" fontId="0" fillId="0" borderId="0" xfId="0" applyNumberFormat="1" applyBorder="1"/>
    <xf numFmtId="0" fontId="0" fillId="0" borderId="0" xfId="0" applyBorder="1" applyAlignment="1">
      <alignment horizontal="center"/>
    </xf>
    <xf numFmtId="17" fontId="0" fillId="0" borderId="0" xfId="0" applyNumberFormat="1" applyBorder="1" applyAlignment="1">
      <alignment horizontal="center"/>
    </xf>
    <xf numFmtId="0" fontId="5" fillId="0" borderId="0" xfId="0" applyFont="1" applyFill="1"/>
    <xf numFmtId="0" fontId="0" fillId="0" borderId="0" xfId="0" applyFill="1"/>
    <xf numFmtId="0" fontId="0" fillId="0" borderId="0" xfId="0" applyFill="1" applyBorder="1"/>
    <xf numFmtId="44" fontId="0" fillId="0" borderId="0" xfId="0" applyNumberFormat="1" applyFill="1" applyBorder="1"/>
    <xf numFmtId="3" fontId="6" fillId="0" borderId="0" xfId="0" applyNumberFormat="1" applyFont="1" applyFill="1"/>
    <xf numFmtId="42" fontId="0" fillId="0" borderId="0" xfId="0" applyNumberFormat="1" applyFill="1"/>
    <xf numFmtId="42" fontId="0" fillId="0" borderId="2" xfId="0" applyNumberFormat="1" applyFill="1" applyBorder="1"/>
    <xf numFmtId="42" fontId="0" fillId="0" borderId="0" xfId="0" applyNumberFormat="1" applyFill="1" applyBorder="1"/>
    <xf numFmtId="0" fontId="6" fillId="0" borderId="0" xfId="0" applyFont="1" applyFill="1"/>
    <xf numFmtId="0" fontId="0" fillId="0" borderId="0" xfId="0" applyAlignment="1">
      <alignment horizontal="center"/>
    </xf>
    <xf numFmtId="3" fontId="0" fillId="0" borderId="2" xfId="0" applyNumberFormat="1" applyBorder="1"/>
    <xf numFmtId="42" fontId="0" fillId="0" borderId="0" xfId="0" applyNumberFormat="1" applyBorder="1"/>
    <xf numFmtId="0" fontId="0" fillId="0" borderId="0" xfId="0" applyFill="1" applyBorder="1" applyAlignment="1">
      <alignment horizontal="center"/>
    </xf>
    <xf numFmtId="42" fontId="10" fillId="0" borderId="0" xfId="0" applyNumberFormat="1" applyFont="1"/>
    <xf numFmtId="3" fontId="0" fillId="0" borderId="0" xfId="0" applyNumberFormat="1" applyBorder="1"/>
    <xf numFmtId="0" fontId="0" fillId="0" borderId="3" xfId="0" applyFill="1" applyBorder="1" applyAlignment="1">
      <alignment horizontal="center"/>
    </xf>
    <xf numFmtId="0" fontId="0" fillId="0" borderId="3" xfId="0" applyBorder="1" applyAlignment="1">
      <alignment horizontal="centerContinuous"/>
    </xf>
    <xf numFmtId="3" fontId="0" fillId="0" borderId="0" xfId="0" applyNumberFormat="1" applyFill="1"/>
    <xf numFmtId="0" fontId="0" fillId="0" borderId="0" xfId="0" applyFill="1" applyAlignment="1">
      <alignment horizontal="right"/>
    </xf>
    <xf numFmtId="44" fontId="6" fillId="0" borderId="0" xfId="0" applyNumberFormat="1" applyFont="1" applyFill="1"/>
    <xf numFmtId="44" fontId="0" fillId="0" borderId="0" xfId="0" applyNumberFormat="1" applyFill="1"/>
    <xf numFmtId="0" fontId="0" fillId="0" borderId="0" xfId="0" applyBorder="1"/>
    <xf numFmtId="0" fontId="0" fillId="0" borderId="0" xfId="0" applyBorder="1" applyAlignment="1">
      <alignment horizontal="right"/>
    </xf>
    <xf numFmtId="0" fontId="0" fillId="0" borderId="4" xfId="0" applyBorder="1"/>
    <xf numFmtId="37" fontId="0" fillId="0" borderId="5" xfId="0" applyNumberFormat="1" applyBorder="1"/>
    <xf numFmtId="0" fontId="0" fillId="0" borderId="7" xfId="0" applyBorder="1"/>
    <xf numFmtId="41" fontId="0" fillId="0" borderId="0" xfId="0" applyNumberFormat="1"/>
    <xf numFmtId="9" fontId="4" fillId="0" borderId="0" xfId="0" applyNumberFormat="1" applyFont="1"/>
    <xf numFmtId="166" fontId="4" fillId="0" borderId="0" xfId="0" applyNumberFormat="1" applyFont="1"/>
    <xf numFmtId="0" fontId="0" fillId="0" borderId="3" xfId="0" applyBorder="1"/>
    <xf numFmtId="164" fontId="6" fillId="0" borderId="0" xfId="0" applyNumberFormat="1" applyFont="1" applyFill="1"/>
    <xf numFmtId="0" fontId="0" fillId="0" borderId="0" xfId="0" applyAlignment="1"/>
    <xf numFmtId="0" fontId="0" fillId="0" borderId="0" xfId="0" applyAlignment="1">
      <alignment horizontal="centerContinuous"/>
    </xf>
    <xf numFmtId="3" fontId="0" fillId="0" borderId="0" xfId="0" applyNumberFormat="1" applyFill="1" applyBorder="1"/>
    <xf numFmtId="3" fontId="11" fillId="0" borderId="0" xfId="0" applyNumberFormat="1" applyFont="1"/>
    <xf numFmtId="3" fontId="12" fillId="0" borderId="0" xfId="0" applyNumberFormat="1" applyFont="1"/>
    <xf numFmtId="164" fontId="0" fillId="0" borderId="0" xfId="0" applyNumberFormat="1" applyFill="1" applyBorder="1"/>
    <xf numFmtId="37" fontId="0" fillId="0" borderId="0" xfId="0" applyNumberFormat="1" applyBorder="1"/>
    <xf numFmtId="0" fontId="0" fillId="0" borderId="4" xfId="0" applyFill="1" applyBorder="1"/>
    <xf numFmtId="0" fontId="0" fillId="0" borderId="6" xfId="0" applyFill="1" applyBorder="1"/>
    <xf numFmtId="0" fontId="5" fillId="0" borderId="0" xfId="0" applyFont="1" applyBorder="1" applyAlignment="1">
      <alignment horizontal="left"/>
    </xf>
    <xf numFmtId="42" fontId="4" fillId="0" borderId="0" xfId="0" applyNumberFormat="1" applyFont="1" applyFill="1"/>
    <xf numFmtId="0" fontId="0" fillId="0" borderId="0" xfId="0" applyBorder="1" applyAlignment="1">
      <alignment horizontal="centerContinuous"/>
    </xf>
    <xf numFmtId="3" fontId="12" fillId="0" borderId="0" xfId="0" applyNumberFormat="1" applyFont="1" applyFill="1"/>
    <xf numFmtId="0" fontId="0" fillId="0" borderId="0" xfId="0" applyFill="1" applyAlignment="1">
      <alignment horizontal="centerContinuous"/>
    </xf>
    <xf numFmtId="42" fontId="11" fillId="0" borderId="0" xfId="0" applyNumberFormat="1" applyFont="1" applyFill="1"/>
    <xf numFmtId="41" fontId="0" fillId="0" borderId="0" xfId="0" applyNumberFormat="1" applyBorder="1"/>
    <xf numFmtId="3" fontId="11" fillId="0" borderId="0" xfId="0" applyNumberFormat="1" applyFont="1" applyFill="1"/>
    <xf numFmtId="0" fontId="0" fillId="0" borderId="0" xfId="0" applyFill="1" applyAlignment="1"/>
    <xf numFmtId="37" fontId="11" fillId="0" borderId="0" xfId="0" applyNumberFormat="1" applyFont="1" applyBorder="1"/>
    <xf numFmtId="42" fontId="11" fillId="0" borderId="0" xfId="0" applyNumberFormat="1" applyFont="1" applyFill="1" applyBorder="1"/>
    <xf numFmtId="0" fontId="0" fillId="0" borderId="0" xfId="0" applyAlignment="1">
      <alignment horizontal="left"/>
    </xf>
    <xf numFmtId="0" fontId="0" fillId="0" borderId="0" xfId="0" applyFill="1" applyBorder="1" applyAlignment="1">
      <alignment horizontal="left"/>
    </xf>
    <xf numFmtId="42" fontId="0" fillId="0" borderId="0" xfId="0" applyNumberFormat="1" applyBorder="1" applyAlignment="1">
      <alignment horizontal="center"/>
    </xf>
    <xf numFmtId="0" fontId="0" fillId="0" borderId="0" xfId="0" applyFill="1" applyAlignment="1">
      <alignment horizontal="left"/>
    </xf>
    <xf numFmtId="42" fontId="11" fillId="0" borderId="0" xfId="0" applyNumberFormat="1" applyFont="1" applyBorder="1" applyAlignment="1">
      <alignment horizontal="center"/>
    </xf>
    <xf numFmtId="41" fontId="11" fillId="0" borderId="0" xfId="0" applyNumberFormat="1" applyFont="1" applyBorder="1" applyAlignment="1">
      <alignment horizontal="center"/>
    </xf>
    <xf numFmtId="42" fontId="11" fillId="0" borderId="0" xfId="0" applyNumberFormat="1" applyFont="1" applyFill="1" applyBorder="1" applyAlignment="1">
      <alignment horizontal="center"/>
    </xf>
    <xf numFmtId="42" fontId="4" fillId="0" borderId="0" xfId="0" applyNumberFormat="1" applyFont="1" applyFill="1" applyBorder="1"/>
    <xf numFmtId="37" fontId="0" fillId="0" borderId="0" xfId="0" applyNumberFormat="1"/>
    <xf numFmtId="0" fontId="5" fillId="0" borderId="0" xfId="0" applyFont="1" applyAlignment="1">
      <alignment horizontal="left"/>
    </xf>
    <xf numFmtId="0" fontId="0" fillId="0" borderId="0" xfId="0" applyBorder="1" applyAlignment="1">
      <alignment horizontal="left"/>
    </xf>
    <xf numFmtId="3" fontId="4" fillId="0" borderId="0" xfId="0" applyNumberFormat="1" applyFont="1"/>
    <xf numFmtId="170" fontId="0" fillId="0" borderId="0" xfId="0" applyNumberFormat="1" applyBorder="1"/>
    <xf numFmtId="41" fontId="0" fillId="0" borderId="0" xfId="0" applyNumberFormat="1" applyFill="1"/>
    <xf numFmtId="41" fontId="11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4" fillId="0" borderId="0" xfId="0" applyFont="1" applyFill="1"/>
    <xf numFmtId="42" fontId="4" fillId="0" borderId="0" xfId="0" applyNumberFormat="1" applyFont="1" applyBorder="1"/>
    <xf numFmtId="164" fontId="4" fillId="0" borderId="0" xfId="0" applyNumberFormat="1" applyFont="1"/>
    <xf numFmtId="0" fontId="5" fillId="0" borderId="0" xfId="0" applyFont="1" applyFill="1" applyAlignment="1">
      <alignment horizontal="centerContinuous"/>
    </xf>
    <xf numFmtId="42" fontId="4" fillId="0" borderId="0" xfId="0" applyNumberFormat="1" applyFont="1"/>
    <xf numFmtId="42" fontId="4" fillId="0" borderId="2" xfId="0" applyNumberFormat="1" applyFont="1" applyFill="1" applyBorder="1"/>
    <xf numFmtId="0" fontId="4" fillId="0" borderId="0" xfId="0" applyFont="1"/>
    <xf numFmtId="164" fontId="4" fillId="0" borderId="0" xfId="0" applyNumberFormat="1" applyFont="1" applyFill="1"/>
    <xf numFmtId="42" fontId="6" fillId="0" borderId="0" xfId="0" applyNumberFormat="1" applyFont="1"/>
    <xf numFmtId="0" fontId="4" fillId="0" borderId="0" xfId="0" applyFont="1" applyFill="1" applyBorder="1"/>
    <xf numFmtId="3" fontId="13" fillId="0" borderId="0" xfId="0" applyNumberFormat="1" applyFont="1" applyBorder="1"/>
    <xf numFmtId="3" fontId="4" fillId="0" borderId="0" xfId="0" applyNumberFormat="1" applyFont="1" applyFill="1"/>
    <xf numFmtId="3" fontId="4" fillId="0" borderId="2" xfId="0" applyNumberFormat="1" applyFont="1" applyBorder="1"/>
    <xf numFmtId="3" fontId="4" fillId="0" borderId="2" xfId="0" applyNumberFormat="1" applyFont="1" applyFill="1" applyBorder="1"/>
    <xf numFmtId="3" fontId="11" fillId="0" borderId="2" xfId="0" applyNumberFormat="1" applyFont="1" applyBorder="1"/>
    <xf numFmtId="3" fontId="11" fillId="0" borderId="2" xfId="0" applyNumberFormat="1" applyFont="1" applyFill="1" applyBorder="1"/>
    <xf numFmtId="44" fontId="4" fillId="0" borderId="0" xfId="0" applyNumberFormat="1" applyFont="1"/>
    <xf numFmtId="44" fontId="4" fillId="0" borderId="0" xfId="0" applyNumberFormat="1" applyFont="1" applyFill="1"/>
    <xf numFmtId="0" fontId="0" fillId="0" borderId="0" xfId="0" quotePrefix="1" applyAlignment="1">
      <alignment vertical="top"/>
    </xf>
    <xf numFmtId="0" fontId="0" fillId="0" borderId="0" xfId="0" applyFill="1" applyAlignment="1">
      <alignment vertical="top"/>
    </xf>
    <xf numFmtId="0" fontId="0" fillId="0" borderId="0" xfId="0" applyFill="1" applyAlignment="1">
      <alignment vertical="top" wrapText="1"/>
    </xf>
    <xf numFmtId="3" fontId="14" fillId="0" borderId="0" xfId="0" applyNumberFormat="1" applyFont="1" applyFill="1" applyBorder="1"/>
    <xf numFmtId="44" fontId="0" fillId="0" borderId="0" xfId="0" applyNumberFormat="1" applyFill="1" applyAlignment="1">
      <alignment horizontal="right"/>
    </xf>
    <xf numFmtId="164" fontId="0" fillId="0" borderId="0" xfId="0" applyNumberFormat="1" applyFill="1" applyAlignment="1">
      <alignment horizontal="right"/>
    </xf>
    <xf numFmtId="164" fontId="4" fillId="0" borderId="0" xfId="0" applyNumberFormat="1" applyFont="1" applyAlignment="1">
      <alignment horizontal="right"/>
    </xf>
    <xf numFmtId="0" fontId="0" fillId="0" borderId="0" xfId="0" applyFill="1" applyBorder="1" applyAlignment="1">
      <alignment horizontal="right"/>
    </xf>
    <xf numFmtId="165" fontId="4" fillId="0" borderId="0" xfId="0" applyNumberFormat="1" applyFont="1" applyAlignment="1">
      <alignment horizontal="right"/>
    </xf>
    <xf numFmtId="3" fontId="11" fillId="0" borderId="0" xfId="0" applyNumberFormat="1" applyFont="1" applyFill="1" applyBorder="1"/>
    <xf numFmtId="3" fontId="4" fillId="0" borderId="0" xfId="0" applyNumberFormat="1" applyFont="1" applyFill="1" applyBorder="1"/>
    <xf numFmtId="0" fontId="0" fillId="2" borderId="0" xfId="0" applyFill="1"/>
    <xf numFmtId="0" fontId="0" fillId="2" borderId="0" xfId="0" quotePrefix="1" applyFill="1"/>
    <xf numFmtId="172" fontId="4" fillId="0" borderId="0" xfId="0" applyNumberFormat="1" applyFont="1" applyFill="1"/>
    <xf numFmtId="173" fontId="0" fillId="0" borderId="0" xfId="0" applyNumberFormat="1" applyBorder="1"/>
    <xf numFmtId="3" fontId="0" fillId="0" borderId="9" xfId="0" applyNumberFormat="1" applyBorder="1"/>
    <xf numFmtId="44" fontId="16" fillId="0" borderId="0" xfId="0" applyNumberFormat="1" applyFont="1" applyFill="1"/>
    <xf numFmtId="164" fontId="16" fillId="0" borderId="0" xfId="0" applyNumberFormat="1" applyFont="1" applyFill="1"/>
    <xf numFmtId="164" fontId="16" fillId="0" borderId="0" xfId="0" applyNumberFormat="1" applyFont="1" applyFill="1" applyBorder="1"/>
    <xf numFmtId="0" fontId="18" fillId="0" borderId="0" xfId="0" applyFont="1" applyFill="1"/>
    <xf numFmtId="0" fontId="5" fillId="0" borderId="0" xfId="0" applyFont="1" applyFill="1"/>
    <xf numFmtId="0" fontId="18" fillId="0" borderId="0" xfId="0" applyFont="1"/>
    <xf numFmtId="0" fontId="5" fillId="0" borderId="0" xfId="0" applyFont="1"/>
    <xf numFmtId="0" fontId="18" fillId="0" borderId="0" xfId="0" applyFont="1" applyFill="1" applyAlignment="1">
      <alignment wrapText="1"/>
    </xf>
    <xf numFmtId="0" fontId="18" fillId="0" borderId="3" xfId="0" applyFont="1" applyBorder="1" applyAlignment="1">
      <alignment horizontal="center" wrapText="1"/>
    </xf>
    <xf numFmtId="49" fontId="18" fillId="0" borderId="3" xfId="0" applyNumberFormat="1" applyFont="1" applyFill="1" applyBorder="1" applyAlignment="1">
      <alignment horizontal="center" wrapText="1"/>
    </xf>
    <xf numFmtId="0" fontId="18" fillId="0" borderId="3" xfId="0" applyFont="1" applyFill="1" applyBorder="1" applyAlignment="1">
      <alignment horizontal="center" wrapText="1"/>
    </xf>
    <xf numFmtId="0" fontId="18" fillId="0" borderId="0" xfId="0" applyFont="1" applyAlignment="1">
      <alignment wrapText="1"/>
    </xf>
    <xf numFmtId="0" fontId="18" fillId="0" borderId="0" xfId="0" quotePrefix="1" applyNumberFormat="1" applyFont="1"/>
    <xf numFmtId="0" fontId="18" fillId="0" borderId="0" xfId="0" quotePrefix="1" applyNumberFormat="1" applyFont="1" applyBorder="1"/>
    <xf numFmtId="3" fontId="17" fillId="0" borderId="0" xfId="0" applyNumberFormat="1" applyFont="1"/>
    <xf numFmtId="3" fontId="17" fillId="0" borderId="0" xfId="0" applyNumberFormat="1" applyFont="1" applyFill="1"/>
    <xf numFmtId="3" fontId="18" fillId="0" borderId="0" xfId="0" applyNumberFormat="1" applyFont="1" applyFill="1"/>
    <xf numFmtId="3" fontId="17" fillId="0" borderId="0" xfId="0" quotePrefix="1" applyNumberFormat="1" applyFont="1"/>
    <xf numFmtId="3" fontId="17" fillId="0" borderId="0" xfId="0" quotePrefix="1" applyNumberFormat="1" applyFont="1" applyFill="1"/>
    <xf numFmtId="0" fontId="18" fillId="0" borderId="0" xfId="0" applyNumberFormat="1" applyFont="1"/>
    <xf numFmtId="49" fontId="18" fillId="0" borderId="0" xfId="0" applyNumberFormat="1" applyFont="1" applyFill="1"/>
    <xf numFmtId="3" fontId="17" fillId="0" borderId="0" xfId="0" applyNumberFormat="1" applyFont="1" applyFill="1"/>
    <xf numFmtId="0" fontId="18" fillId="0" borderId="0" xfId="0" applyNumberFormat="1" applyFont="1" applyFill="1"/>
    <xf numFmtId="0" fontId="18" fillId="0" borderId="0" xfId="0" quotePrefix="1" applyNumberFormat="1" applyFont="1" applyFill="1"/>
    <xf numFmtId="0" fontId="18" fillId="0" borderId="0" xfId="0" applyFont="1" applyFill="1" applyAlignment="1">
      <alignment horizontal="right"/>
    </xf>
    <xf numFmtId="170" fontId="4" fillId="0" borderId="0" xfId="0" applyNumberFormat="1" applyFont="1" applyFill="1"/>
    <xf numFmtId="3" fontId="11" fillId="0" borderId="0" xfId="0" applyNumberFormat="1" applyFont="1" applyFill="1"/>
    <xf numFmtId="0" fontId="0" fillId="0" borderId="0" xfId="0" applyFont="1" applyFill="1" applyBorder="1"/>
    <xf numFmtId="44" fontId="16" fillId="0" borderId="0" xfId="0" applyNumberFormat="1" applyFont="1" applyFill="1" applyBorder="1"/>
    <xf numFmtId="44" fontId="16" fillId="0" borderId="0" xfId="0" applyNumberFormat="1" applyFont="1"/>
    <xf numFmtId="164" fontId="16" fillId="0" borderId="0" xfId="0" applyNumberFormat="1" applyFont="1"/>
    <xf numFmtId="3" fontId="16" fillId="0" borderId="0" xfId="0" applyNumberFormat="1" applyFont="1" applyFill="1"/>
    <xf numFmtId="0" fontId="0" fillId="0" borderId="10" xfId="0" applyFill="1" applyBorder="1"/>
    <xf numFmtId="0" fontId="0" fillId="0" borderId="11" xfId="0" applyBorder="1"/>
    <xf numFmtId="0" fontId="0" fillId="0" borderId="13" xfId="0" applyFill="1" applyBorder="1"/>
    <xf numFmtId="0" fontId="0" fillId="0" borderId="15" xfId="0" applyBorder="1" applyAlignment="1">
      <alignment horizontal="left"/>
    </xf>
    <xf numFmtId="0" fontId="0" fillId="0" borderId="16" xfId="0" applyBorder="1"/>
    <xf numFmtId="0" fontId="0" fillId="0" borderId="0" xfId="0" applyFont="1" applyFill="1" applyAlignment="1">
      <alignment horizontal="right"/>
    </xf>
    <xf numFmtId="0" fontId="0" fillId="0" borderId="0" xfId="0" applyNumberFormat="1" applyFont="1" applyAlignment="1">
      <alignment horizontal="left"/>
    </xf>
    <xf numFmtId="3" fontId="11" fillId="0" borderId="0" xfId="0" applyNumberFormat="1" applyFont="1" applyFill="1" applyBorder="1"/>
    <xf numFmtId="3" fontId="16" fillId="0" borderId="0" xfId="0" applyNumberFormat="1" applyFont="1" applyFill="1"/>
    <xf numFmtId="170" fontId="0" fillId="0" borderId="0" xfId="0" applyNumberFormat="1" applyFill="1" applyBorder="1"/>
    <xf numFmtId="0" fontId="5" fillId="0" borderId="0" xfId="0" applyFont="1" applyBorder="1"/>
    <xf numFmtId="0" fontId="4" fillId="0" borderId="0" xfId="0" applyFont="1" applyFill="1" applyBorder="1" applyAlignment="1">
      <alignment horizontal="left"/>
    </xf>
    <xf numFmtId="0" fontId="5" fillId="0" borderId="0" xfId="0" applyFont="1" applyAlignment="1"/>
    <xf numFmtId="0" fontId="4" fillId="0" borderId="0" xfId="0" applyFont="1" applyBorder="1" applyAlignment="1">
      <alignment horizontal="left"/>
    </xf>
    <xf numFmtId="0" fontId="0" fillId="0" borderId="0" xfId="0" applyFill="1" applyBorder="1" applyAlignment="1">
      <alignment horizontal="left" vertical="top"/>
    </xf>
    <xf numFmtId="0" fontId="0" fillId="0" borderId="0" xfId="0" quotePrefix="1" applyNumberFormat="1" applyBorder="1"/>
    <xf numFmtId="3" fontId="16" fillId="0" borderId="0" xfId="0" applyNumberFormat="1" applyFont="1"/>
    <xf numFmtId="170" fontId="15" fillId="0" borderId="0" xfId="0" applyNumberFormat="1" applyFont="1" applyFill="1"/>
    <xf numFmtId="170" fontId="6" fillId="0" borderId="0" xfId="0" applyNumberFormat="1" applyFont="1" applyFill="1"/>
    <xf numFmtId="164" fontId="17" fillId="0" borderId="0" xfId="0" applyNumberFormat="1" applyFont="1" applyFill="1"/>
    <xf numFmtId="164" fontId="17" fillId="0" borderId="0" xfId="0" applyNumberFormat="1" applyFont="1"/>
    <xf numFmtId="44" fontId="17" fillId="0" borderId="0" xfId="0" applyNumberFormat="1" applyFont="1"/>
    <xf numFmtId="176" fontId="21" fillId="0" borderId="0" xfId="0" applyNumberFormat="1" applyFont="1"/>
    <xf numFmtId="171" fontId="17" fillId="0" borderId="0" xfId="0" applyNumberFormat="1" applyFont="1"/>
    <xf numFmtId="3" fontId="17" fillId="0" borderId="0" xfId="0" applyNumberFormat="1" applyFont="1" applyFill="1"/>
    <xf numFmtId="42" fontId="17" fillId="0" borderId="0" xfId="0" applyNumberFormat="1" applyFont="1" applyFill="1"/>
    <xf numFmtId="0" fontId="4" fillId="0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/>
    <xf numFmtId="44" fontId="17" fillId="0" borderId="0" xfId="0" applyNumberFormat="1" applyFont="1" applyFill="1" applyBorder="1"/>
    <xf numFmtId="3" fontId="18" fillId="0" borderId="0" xfId="0" applyNumberFormat="1" applyFont="1"/>
    <xf numFmtId="0" fontId="0" fillId="0" borderId="0" xfId="0" applyFont="1" applyFill="1" applyBorder="1" applyAlignment="1">
      <alignment horizontal="center"/>
    </xf>
    <xf numFmtId="0" fontId="0" fillId="0" borderId="29" xfId="0" applyBorder="1"/>
    <xf numFmtId="0" fontId="0" fillId="0" borderId="18" xfId="0" applyBorder="1"/>
    <xf numFmtId="37" fontId="11" fillId="0" borderId="18" xfId="0" applyNumberFormat="1" applyFont="1" applyBorder="1"/>
    <xf numFmtId="37" fontId="0" fillId="0" borderId="30" xfId="0" applyNumberFormat="1" applyBorder="1"/>
    <xf numFmtId="174" fontId="20" fillId="0" borderId="28" xfId="0" applyNumberFormat="1" applyFont="1" applyBorder="1" applyAlignment="1">
      <alignment horizontal="center" wrapText="1"/>
    </xf>
    <xf numFmtId="0" fontId="5" fillId="0" borderId="0" xfId="0" applyFont="1" applyAlignment="1">
      <alignment horizontal="centerContinuous"/>
    </xf>
    <xf numFmtId="0" fontId="4" fillId="0" borderId="0" xfId="0" applyFont="1" applyFill="1" applyAlignment="1">
      <alignment horizontal="centerContinuous"/>
    </xf>
    <xf numFmtId="3" fontId="4" fillId="0" borderId="0" xfId="0" applyNumberFormat="1" applyFont="1" applyBorder="1" applyAlignment="1">
      <alignment horizontal="centerContinuous"/>
    </xf>
    <xf numFmtId="0" fontId="4" fillId="0" borderId="0" xfId="0" applyFont="1" applyAlignment="1">
      <alignment horizontal="centerContinuous"/>
    </xf>
    <xf numFmtId="178" fontId="4" fillId="0" borderId="0" xfId="0" applyNumberFormat="1" applyFont="1" applyAlignment="1">
      <alignment horizontal="centerContinuous"/>
    </xf>
    <xf numFmtId="178" fontId="4" fillId="0" borderId="0" xfId="0" applyNumberFormat="1" applyFont="1" applyBorder="1" applyAlignment="1">
      <alignment horizontal="centerContinuous"/>
    </xf>
    <xf numFmtId="179" fontId="4" fillId="0" borderId="0" xfId="0" applyNumberFormat="1" applyFont="1" applyAlignment="1">
      <alignment horizontal="centerContinuous"/>
    </xf>
    <xf numFmtId="180" fontId="4" fillId="0" borderId="0" xfId="0" applyNumberFormat="1" applyFont="1" applyAlignment="1">
      <alignment horizontal="centerContinuous"/>
    </xf>
    <xf numFmtId="0" fontId="4" fillId="0" borderId="0" xfId="0" applyFont="1"/>
    <xf numFmtId="0" fontId="5" fillId="0" borderId="0" xfId="0" applyFont="1" applyFill="1" applyAlignment="1">
      <alignment horizontal="centerContinuous"/>
    </xf>
    <xf numFmtId="0" fontId="5" fillId="0" borderId="0" xfId="0" applyFont="1" applyAlignment="1">
      <alignment horizontal="centerContinuous"/>
    </xf>
    <xf numFmtId="179" fontId="4" fillId="0" borderId="0" xfId="0" applyNumberFormat="1" applyFont="1" applyBorder="1" applyAlignment="1">
      <alignment horizontal="centerContinuous"/>
    </xf>
    <xf numFmtId="0" fontId="4" fillId="0" borderId="0" xfId="0" applyFont="1" applyBorder="1" applyAlignment="1">
      <alignment horizontal="centerContinuous"/>
    </xf>
    <xf numFmtId="0" fontId="5" fillId="0" borderId="0" xfId="0" applyFont="1"/>
    <xf numFmtId="0" fontId="4" fillId="0" borderId="0" xfId="0" applyFont="1" applyFill="1"/>
    <xf numFmtId="3" fontId="4" fillId="0" borderId="0" xfId="0" applyNumberFormat="1" applyFont="1" applyBorder="1"/>
    <xf numFmtId="178" fontId="4" fillId="0" borderId="0" xfId="0" applyNumberFormat="1" applyFont="1"/>
    <xf numFmtId="178" fontId="4" fillId="0" borderId="0" xfId="0" applyNumberFormat="1" applyFont="1" applyBorder="1"/>
    <xf numFmtId="179" fontId="4" fillId="0" borderId="0" xfId="0" applyNumberFormat="1" applyFont="1" applyAlignment="1">
      <alignment horizontal="right"/>
    </xf>
    <xf numFmtId="179" fontId="4" fillId="0" borderId="0" xfId="0" applyNumberFormat="1" applyFont="1" applyBorder="1" applyAlignment="1">
      <alignment horizontal="right"/>
    </xf>
    <xf numFmtId="0" fontId="4" fillId="0" borderId="0" xfId="0" applyFont="1" applyBorder="1"/>
    <xf numFmtId="180" fontId="4" fillId="0" borderId="0" xfId="0" applyNumberFormat="1" applyFont="1"/>
    <xf numFmtId="0" fontId="4" fillId="0" borderId="19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31" xfId="0" applyFont="1" applyFill="1" applyBorder="1" applyAlignment="1">
      <alignment horizontal="centerContinuous"/>
    </xf>
    <xf numFmtId="178" fontId="4" fillId="0" borderId="31" xfId="0" applyNumberFormat="1" applyFont="1" applyBorder="1" applyAlignment="1">
      <alignment horizontal="centerContinuous"/>
    </xf>
    <xf numFmtId="0" fontId="4" fillId="0" borderId="9" xfId="0" applyFont="1" applyBorder="1" applyAlignment="1">
      <alignment horizontal="left"/>
    </xf>
    <xf numFmtId="0" fontId="4" fillId="0" borderId="31" xfId="0" applyFont="1" applyBorder="1" applyAlignment="1">
      <alignment horizontal="centerContinuous"/>
    </xf>
    <xf numFmtId="178" fontId="4" fillId="0" borderId="9" xfId="0" applyNumberFormat="1" applyFont="1" applyBorder="1" applyAlignment="1">
      <alignment horizontal="left"/>
    </xf>
    <xf numFmtId="178" fontId="4" fillId="0" borderId="32" xfId="0" applyNumberFormat="1" applyFont="1" applyBorder="1" applyAlignment="1">
      <alignment horizontal="centerContinuous"/>
    </xf>
    <xf numFmtId="178" fontId="4" fillId="0" borderId="0" xfId="0" applyNumberFormat="1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180" fontId="4" fillId="0" borderId="0" xfId="0" applyNumberFormat="1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178" fontId="4" fillId="0" borderId="28" xfId="0" applyNumberFormat="1" applyFont="1" applyBorder="1" applyAlignment="1">
      <alignment horizontal="center"/>
    </xf>
    <xf numFmtId="175" fontId="4" fillId="0" borderId="24" xfId="0" applyNumberFormat="1" applyFont="1" applyBorder="1" applyAlignment="1">
      <alignment horizontal="center"/>
    </xf>
    <xf numFmtId="175" fontId="4" fillId="0" borderId="0" xfId="0" applyNumberFormat="1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180" fontId="4" fillId="0" borderId="28" xfId="0" applyNumberFormat="1" applyFont="1" applyBorder="1" applyAlignment="1">
      <alignment horizontal="center"/>
    </xf>
    <xf numFmtId="0" fontId="4" fillId="0" borderId="0" xfId="0" applyFont="1" applyFill="1" applyBorder="1"/>
    <xf numFmtId="0" fontId="5" fillId="0" borderId="33" xfId="0" applyFont="1" applyBorder="1" applyProtection="1">
      <protection locked="0"/>
    </xf>
    <xf numFmtId="0" fontId="5" fillId="0" borderId="9" xfId="0" applyFont="1" applyBorder="1" applyProtection="1">
      <protection locked="0"/>
    </xf>
    <xf numFmtId="0" fontId="4" fillId="0" borderId="9" xfId="0" applyFont="1" applyFill="1" applyBorder="1"/>
    <xf numFmtId="0" fontId="4" fillId="0" borderId="9" xfId="0" applyFont="1" applyBorder="1"/>
    <xf numFmtId="3" fontId="4" fillId="0" borderId="9" xfId="0" applyNumberFormat="1" applyFont="1" applyBorder="1"/>
    <xf numFmtId="179" fontId="4" fillId="0" borderId="9" xfId="0" applyNumberFormat="1" applyFont="1" applyBorder="1"/>
    <xf numFmtId="166" fontId="4" fillId="0" borderId="20" xfId="0" applyNumberFormat="1" applyFont="1" applyBorder="1" applyAlignment="1">
      <alignment horizontal="right"/>
    </xf>
    <xf numFmtId="0" fontId="4" fillId="0" borderId="21" xfId="0" applyFont="1" applyBorder="1"/>
    <xf numFmtId="3" fontId="4" fillId="0" borderId="0" xfId="0" applyNumberFormat="1" applyFont="1" applyBorder="1" applyProtection="1">
      <protection locked="0"/>
    </xf>
    <xf numFmtId="179" fontId="4" fillId="0" borderId="0" xfId="0" applyNumberFormat="1" applyFont="1" applyBorder="1"/>
    <xf numFmtId="166" fontId="4" fillId="0" borderId="22" xfId="0" applyNumberFormat="1" applyFont="1" applyBorder="1" applyAlignment="1">
      <alignment horizontal="right"/>
    </xf>
    <xf numFmtId="0" fontId="4" fillId="0" borderId="34" xfId="0" applyFont="1" applyBorder="1" applyAlignment="1">
      <alignment horizontal="center"/>
    </xf>
    <xf numFmtId="0" fontId="4" fillId="0" borderId="21" xfId="0" applyFont="1" applyFill="1" applyBorder="1" applyProtection="1">
      <protection locked="0"/>
    </xf>
    <xf numFmtId="0" fontId="4" fillId="0" borderId="0" xfId="0" applyFont="1" applyFill="1" applyBorder="1" applyProtection="1">
      <protection locked="0"/>
    </xf>
    <xf numFmtId="3" fontId="16" fillId="0" borderId="0" xfId="0" applyNumberFormat="1" applyFont="1" applyFill="1" applyBorder="1"/>
    <xf numFmtId="178" fontId="16" fillId="0" borderId="0" xfId="0" applyNumberFormat="1" applyFont="1" applyFill="1" applyBorder="1"/>
    <xf numFmtId="178" fontId="17" fillId="0" borderId="0" xfId="0" applyNumberFormat="1" applyFont="1" applyFill="1" applyBorder="1"/>
    <xf numFmtId="166" fontId="4" fillId="0" borderId="22" xfId="0" applyNumberFormat="1" applyFont="1" applyBorder="1"/>
    <xf numFmtId="179" fontId="11" fillId="0" borderId="35" xfId="0" applyNumberFormat="1" applyFont="1" applyFill="1" applyBorder="1" applyAlignment="1">
      <alignment horizontal="center"/>
    </xf>
    <xf numFmtId="175" fontId="4" fillId="0" borderId="0" xfId="0" applyNumberFormat="1" applyFont="1" applyBorder="1"/>
    <xf numFmtId="3" fontId="16" fillId="0" borderId="0" xfId="0" applyNumberFormat="1" applyFont="1" applyBorder="1"/>
    <xf numFmtId="181" fontId="16" fillId="0" borderId="0" xfId="0" applyNumberFormat="1" applyFont="1" applyFill="1" applyBorder="1"/>
    <xf numFmtId="181" fontId="4" fillId="0" borderId="0" xfId="0" applyNumberFormat="1" applyFont="1" applyFill="1" applyBorder="1"/>
    <xf numFmtId="179" fontId="4" fillId="0" borderId="35" xfId="0" applyNumberFormat="1" applyFont="1" applyBorder="1" applyAlignment="1">
      <alignment horizontal="center"/>
    </xf>
    <xf numFmtId="0" fontId="5" fillId="0" borderId="21" xfId="0" applyFont="1" applyBorder="1"/>
    <xf numFmtId="0" fontId="4" fillId="0" borderId="0" xfId="0" applyFont="1" applyBorder="1" applyProtection="1">
      <protection locked="0"/>
    </xf>
    <xf numFmtId="3" fontId="4" fillId="0" borderId="0" xfId="0" applyNumberFormat="1" applyFont="1" applyFill="1" applyBorder="1"/>
    <xf numFmtId="0" fontId="16" fillId="0" borderId="0" xfId="0" applyFont="1" applyFill="1" applyBorder="1"/>
    <xf numFmtId="166" fontId="4" fillId="0" borderId="20" xfId="0" applyNumberFormat="1" applyFont="1" applyBorder="1"/>
    <xf numFmtId="179" fontId="4" fillId="0" borderId="36" xfId="0" applyNumberFormat="1" applyFont="1" applyBorder="1" applyAlignment="1">
      <alignment horizontal="center"/>
    </xf>
    <xf numFmtId="180" fontId="4" fillId="0" borderId="0" xfId="0" applyNumberFormat="1" applyFont="1" applyFill="1" applyBorder="1" applyAlignment="1">
      <alignment horizontal="center"/>
    </xf>
    <xf numFmtId="0" fontId="5" fillId="0" borderId="0" xfId="0" applyFont="1" applyBorder="1"/>
    <xf numFmtId="179" fontId="5" fillId="0" borderId="0" xfId="0" applyNumberFormat="1" applyFont="1" applyBorder="1"/>
    <xf numFmtId="9" fontId="4" fillId="0" borderId="0" xfId="0" applyNumberFormat="1" applyFont="1" applyBorder="1" applyAlignment="1">
      <alignment horizontal="center"/>
    </xf>
    <xf numFmtId="180" fontId="4" fillId="0" borderId="0" xfId="0" applyNumberFormat="1" applyFont="1" applyBorder="1"/>
    <xf numFmtId="182" fontId="6" fillId="0" borderId="1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182" fontId="6" fillId="0" borderId="0" xfId="0" applyNumberFormat="1" applyFont="1" applyFill="1" applyBorder="1" applyAlignment="1">
      <alignment horizontal="center"/>
    </xf>
    <xf numFmtId="183" fontId="4" fillId="0" borderId="0" xfId="0" applyNumberFormat="1" applyFont="1" applyFill="1" applyBorder="1"/>
    <xf numFmtId="0" fontId="4" fillId="0" borderId="21" xfId="0" applyFont="1" applyBorder="1" applyProtection="1">
      <protection locked="0"/>
    </xf>
    <xf numFmtId="3" fontId="6" fillId="0" borderId="0" xfId="0" applyNumberFormat="1" applyFont="1" applyBorder="1"/>
    <xf numFmtId="181" fontId="4" fillId="0" borderId="0" xfId="0" applyNumberFormat="1" applyFont="1"/>
    <xf numFmtId="3" fontId="6" fillId="0" borderId="0" xfId="0" applyNumberFormat="1" applyFont="1" applyFill="1" applyBorder="1"/>
    <xf numFmtId="179" fontId="4" fillId="0" borderId="0" xfId="0" applyNumberFormat="1" applyFont="1" applyFill="1" applyBorder="1"/>
    <xf numFmtId="179" fontId="4" fillId="0" borderId="0" xfId="0" applyNumberFormat="1" applyFont="1" applyBorder="1"/>
    <xf numFmtId="0" fontId="4" fillId="0" borderId="23" xfId="0" applyFont="1" applyFill="1" applyBorder="1"/>
    <xf numFmtId="0" fontId="4" fillId="0" borderId="28" xfId="0" applyFont="1" applyFill="1" applyBorder="1"/>
    <xf numFmtId="179" fontId="4" fillId="0" borderId="28" xfId="0" applyNumberFormat="1" applyFont="1" applyFill="1" applyBorder="1"/>
    <xf numFmtId="3" fontId="4" fillId="0" borderId="28" xfId="0" applyNumberFormat="1" applyFont="1" applyFill="1" applyBorder="1"/>
    <xf numFmtId="166" fontId="4" fillId="0" borderId="24" xfId="0" applyNumberFormat="1" applyFont="1" applyFill="1" applyBorder="1"/>
    <xf numFmtId="179" fontId="4" fillId="0" borderId="0" xfId="0" applyNumberFormat="1" applyFont="1" applyFill="1"/>
    <xf numFmtId="166" fontId="4" fillId="0" borderId="0" xfId="0" applyNumberFormat="1" applyFont="1" applyFill="1" applyBorder="1"/>
    <xf numFmtId="0" fontId="5" fillId="0" borderId="33" xfId="0" applyFont="1" applyFill="1" applyBorder="1" applyProtection="1">
      <protection locked="0"/>
    </xf>
    <xf numFmtId="0" fontId="5" fillId="0" borderId="9" xfId="0" applyFont="1" applyFill="1" applyBorder="1" applyProtection="1">
      <protection locked="0"/>
    </xf>
    <xf numFmtId="0" fontId="28" fillId="0" borderId="9" xfId="0" applyFont="1" applyFill="1" applyBorder="1"/>
    <xf numFmtId="179" fontId="28" fillId="0" borderId="9" xfId="0" applyNumberFormat="1" applyFont="1" applyBorder="1"/>
    <xf numFmtId="0" fontId="4" fillId="0" borderId="21" xfId="0" applyFont="1" applyFill="1" applyBorder="1"/>
    <xf numFmtId="3" fontId="4" fillId="0" borderId="0" xfId="0" applyNumberFormat="1" applyFont="1" applyFill="1" applyBorder="1" applyProtection="1">
      <protection locked="0"/>
    </xf>
    <xf numFmtId="166" fontId="4" fillId="0" borderId="22" xfId="0" applyNumberFormat="1" applyFont="1" applyFill="1" applyBorder="1" applyAlignment="1">
      <alignment horizontal="right"/>
    </xf>
    <xf numFmtId="179" fontId="4" fillId="0" borderId="0" xfId="0" applyNumberFormat="1" applyFont="1" applyFill="1" applyBorder="1" applyAlignment="1">
      <alignment horizontal="right"/>
    </xf>
    <xf numFmtId="180" fontId="4" fillId="0" borderId="0" xfId="0" applyNumberFormat="1" applyFont="1" applyFill="1" applyBorder="1"/>
    <xf numFmtId="178" fontId="4" fillId="0" borderId="0" xfId="0" applyNumberFormat="1" applyFont="1" applyFill="1" applyBorder="1"/>
    <xf numFmtId="179" fontId="11" fillId="0" borderId="0" xfId="0" applyNumberFormat="1" applyFont="1" applyFill="1" applyBorder="1" applyAlignment="1">
      <alignment horizontal="center"/>
    </xf>
    <xf numFmtId="166" fontId="4" fillId="0" borderId="22" xfId="0" applyNumberFormat="1" applyFont="1" applyFill="1" applyBorder="1"/>
    <xf numFmtId="179" fontId="4" fillId="0" borderId="0" xfId="0" applyNumberFormat="1" applyFont="1" applyBorder="1" applyAlignment="1">
      <alignment horizontal="center"/>
    </xf>
    <xf numFmtId="0" fontId="5" fillId="0" borderId="21" xfId="0" applyFont="1" applyFill="1" applyBorder="1"/>
    <xf numFmtId="0" fontId="5" fillId="0" borderId="0" xfId="0" applyFont="1" applyFill="1" applyBorder="1"/>
    <xf numFmtId="179" fontId="5" fillId="0" borderId="0" xfId="0" applyNumberFormat="1" applyFont="1" applyFill="1" applyBorder="1"/>
    <xf numFmtId="0" fontId="4" fillId="0" borderId="0" xfId="0" applyFont="1" applyFill="1" applyBorder="1" applyAlignment="1">
      <alignment horizontal="center"/>
    </xf>
    <xf numFmtId="181" fontId="4" fillId="0" borderId="0" xfId="0" applyNumberFormat="1" applyFont="1" applyBorder="1" applyAlignment="1">
      <alignment horizontal="center"/>
    </xf>
    <xf numFmtId="181" fontId="6" fillId="0" borderId="0" xfId="0" applyNumberFormat="1" applyFont="1" applyFill="1" applyBorder="1"/>
    <xf numFmtId="175" fontId="4" fillId="0" borderId="0" xfId="0" applyNumberFormat="1" applyFont="1" applyFill="1" applyBorder="1"/>
    <xf numFmtId="181" fontId="4" fillId="0" borderId="0" xfId="0" applyNumberFormat="1" applyFont="1" applyFill="1" applyAlignment="1">
      <alignment horizontal="center"/>
    </xf>
    <xf numFmtId="179" fontId="28" fillId="0" borderId="0" xfId="0" applyNumberFormat="1" applyFont="1" applyFill="1" applyBorder="1"/>
    <xf numFmtId="0" fontId="28" fillId="0" borderId="0" xfId="0" applyFont="1" applyFill="1" applyBorder="1"/>
    <xf numFmtId="3" fontId="4" fillId="0" borderId="0" xfId="0" applyNumberFormat="1" applyFont="1" applyBorder="1" applyAlignment="1" applyProtection="1">
      <alignment horizontal="center"/>
      <protection locked="0"/>
    </xf>
    <xf numFmtId="0" fontId="4" fillId="0" borderId="34" xfId="0" applyFont="1" applyFill="1" applyBorder="1" applyAlignment="1">
      <alignment horizontal="center"/>
    </xf>
    <xf numFmtId="3" fontId="4" fillId="0" borderId="0" xfId="0" applyNumberFormat="1" applyFont="1" applyFill="1" applyBorder="1" applyAlignment="1" applyProtection="1">
      <alignment horizontal="center"/>
      <protection locked="0"/>
    </xf>
    <xf numFmtId="184" fontId="4" fillId="0" borderId="0" xfId="0" applyNumberFormat="1" applyFont="1" applyBorder="1" applyAlignment="1">
      <alignment horizontal="right"/>
    </xf>
    <xf numFmtId="179" fontId="4" fillId="0" borderId="0" xfId="0" applyNumberFormat="1" applyFont="1" applyFill="1" applyBorder="1"/>
    <xf numFmtId="185" fontId="4" fillId="0" borderId="0" xfId="0" applyNumberFormat="1" applyFont="1" applyBorder="1"/>
    <xf numFmtId="181" fontId="17" fillId="0" borderId="0" xfId="0" applyNumberFormat="1" applyFont="1" applyFill="1" applyBorder="1"/>
    <xf numFmtId="166" fontId="4" fillId="0" borderId="22" xfId="0" applyNumberFormat="1" applyFont="1" applyBorder="1" applyAlignment="1">
      <alignment horizontal="center"/>
    </xf>
    <xf numFmtId="18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23" xfId="0" applyFont="1" applyBorder="1"/>
    <xf numFmtId="0" fontId="5" fillId="0" borderId="28" xfId="0" applyFont="1" applyBorder="1"/>
    <xf numFmtId="179" fontId="5" fillId="0" borderId="28" xfId="0" applyNumberFormat="1" applyFont="1" applyBorder="1"/>
    <xf numFmtId="3" fontId="4" fillId="0" borderId="28" xfId="0" applyNumberFormat="1" applyFont="1" applyBorder="1"/>
    <xf numFmtId="0" fontId="4" fillId="0" borderId="28" xfId="0" applyFont="1" applyBorder="1"/>
    <xf numFmtId="178" fontId="4" fillId="0" borderId="28" xfId="0" applyNumberFormat="1" applyFont="1" applyBorder="1"/>
    <xf numFmtId="166" fontId="4" fillId="0" borderId="24" xfId="0" applyNumberFormat="1" applyFont="1" applyBorder="1" applyAlignment="1">
      <alignment horizontal="right"/>
    </xf>
    <xf numFmtId="3" fontId="4" fillId="0" borderId="28" xfId="0" applyNumberFormat="1" applyFont="1" applyFill="1" applyBorder="1" applyAlignment="1">
      <alignment horizontal="center"/>
    </xf>
    <xf numFmtId="179" fontId="4" fillId="0" borderId="0" xfId="0" applyNumberFormat="1" applyFont="1"/>
    <xf numFmtId="166" fontId="4" fillId="0" borderId="0" xfId="0" applyNumberFormat="1" applyFont="1"/>
    <xf numFmtId="3" fontId="4" fillId="0" borderId="0" xfId="0" applyNumberFormat="1" applyFont="1" applyFill="1"/>
    <xf numFmtId="44" fontId="4" fillId="0" borderId="0" xfId="0" applyNumberFormat="1" applyFont="1"/>
    <xf numFmtId="179" fontId="6" fillId="0" borderId="0" xfId="0" applyNumberFormat="1" applyFont="1"/>
    <xf numFmtId="0" fontId="4" fillId="0" borderId="0" xfId="0" applyFont="1"/>
    <xf numFmtId="0" fontId="4" fillId="0" borderId="0" xfId="0" applyFont="1" applyFill="1"/>
    <xf numFmtId="0" fontId="4" fillId="0" borderId="0" xfId="0" applyFont="1"/>
    <xf numFmtId="0" fontId="4" fillId="0" borderId="0" xfId="0" applyFont="1" applyAlignment="1">
      <alignment horizontal="centerContinuous"/>
    </xf>
    <xf numFmtId="178" fontId="4" fillId="0" borderId="0" xfId="0" applyNumberFormat="1" applyFont="1" applyAlignment="1">
      <alignment horizontal="centerContinuous"/>
    </xf>
    <xf numFmtId="3" fontId="4" fillId="0" borderId="0" xfId="0" applyNumberFormat="1" applyFont="1" applyFill="1" applyAlignment="1">
      <alignment horizontal="centerContinuous"/>
    </xf>
    <xf numFmtId="0" fontId="4" fillId="0" borderId="0" xfId="0" applyFont="1" applyFill="1" applyAlignment="1">
      <alignment horizontal="centerContinuous"/>
    </xf>
    <xf numFmtId="166" fontId="4" fillId="0" borderId="0" xfId="0" applyNumberFormat="1" applyFont="1" applyAlignment="1">
      <alignment horizontal="centerContinuous"/>
    </xf>
    <xf numFmtId="175" fontId="4" fillId="0" borderId="0" xfId="0" applyNumberFormat="1" applyFont="1" applyAlignment="1">
      <alignment horizontal="centerContinuous"/>
    </xf>
    <xf numFmtId="180" fontId="4" fillId="0" borderId="0" xfId="0" applyNumberFormat="1" applyFont="1" applyAlignment="1">
      <alignment horizontal="centerContinuous"/>
    </xf>
    <xf numFmtId="175" fontId="4" fillId="0" borderId="0" xfId="0" applyNumberFormat="1" applyFont="1" applyBorder="1" applyAlignment="1">
      <alignment horizontal="centerContinuous"/>
    </xf>
    <xf numFmtId="0" fontId="4" fillId="0" borderId="0" xfId="0" applyFont="1" applyBorder="1" applyAlignment="1">
      <alignment horizontal="centerContinuous"/>
    </xf>
    <xf numFmtId="0" fontId="4" fillId="0" borderId="0" xfId="0" applyFont="1" applyAlignment="1"/>
    <xf numFmtId="178" fontId="4" fillId="0" borderId="0" xfId="0" applyNumberFormat="1" applyFont="1" applyAlignment="1"/>
    <xf numFmtId="3" fontId="4" fillId="0" borderId="28" xfId="0" applyNumberFormat="1" applyFont="1" applyFill="1" applyBorder="1" applyAlignment="1"/>
    <xf numFmtId="0" fontId="4" fillId="0" borderId="0" xfId="0" applyFont="1" applyFill="1" applyAlignment="1"/>
    <xf numFmtId="166" fontId="4" fillId="0" borderId="0" xfId="0" applyNumberFormat="1" applyFont="1" applyAlignment="1"/>
    <xf numFmtId="175" fontId="4" fillId="0" borderId="0" xfId="0" applyNumberFormat="1" applyFont="1" applyAlignment="1">
      <alignment horizontal="left"/>
    </xf>
    <xf numFmtId="175" fontId="4" fillId="0" borderId="0" xfId="0" applyNumberFormat="1" applyFont="1" applyBorder="1"/>
    <xf numFmtId="0" fontId="4" fillId="0" borderId="0" xfId="0" applyFont="1" applyBorder="1"/>
    <xf numFmtId="180" fontId="4" fillId="0" borderId="0" xfId="0" applyNumberFormat="1" applyFont="1"/>
    <xf numFmtId="0" fontId="4" fillId="0" borderId="19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178" fontId="4" fillId="0" borderId="31" xfId="0" applyNumberFormat="1" applyFont="1" applyBorder="1" applyAlignment="1">
      <alignment horizontal="centerContinuous"/>
    </xf>
    <xf numFmtId="0" fontId="4" fillId="0" borderId="0" xfId="0" applyFont="1" applyFill="1" applyBorder="1" applyAlignment="1">
      <alignment horizontal="center"/>
    </xf>
    <xf numFmtId="0" fontId="4" fillId="0" borderId="31" xfId="0" applyFont="1" applyFill="1" applyBorder="1" applyAlignment="1">
      <alignment horizontal="centerContinuous"/>
    </xf>
    <xf numFmtId="178" fontId="4" fillId="0" borderId="9" xfId="0" applyNumberFormat="1" applyFont="1" applyBorder="1" applyAlignment="1">
      <alignment horizontal="left"/>
    </xf>
    <xf numFmtId="178" fontId="4" fillId="0" borderId="0" xfId="0" applyNumberFormat="1" applyFont="1" applyBorder="1" applyAlignment="1">
      <alignment horizontal="left"/>
    </xf>
    <xf numFmtId="0" fontId="4" fillId="0" borderId="23" xfId="0" applyFont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178" fontId="4" fillId="0" borderId="28" xfId="0" applyNumberFormat="1" applyFont="1" applyBorder="1" applyAlignment="1">
      <alignment horizontal="center"/>
    </xf>
    <xf numFmtId="166" fontId="4" fillId="0" borderId="24" xfId="0" applyNumberFormat="1" applyFont="1" applyBorder="1" applyAlignment="1">
      <alignment horizontal="center"/>
    </xf>
    <xf numFmtId="175" fontId="4" fillId="0" borderId="0" xfId="0" applyNumberFormat="1" applyFont="1" applyBorder="1" applyAlignment="1">
      <alignment horizontal="left"/>
    </xf>
    <xf numFmtId="175" fontId="4" fillId="0" borderId="0" xfId="0" applyNumberFormat="1" applyFont="1" applyBorder="1" applyAlignment="1">
      <alignment horizontal="center"/>
    </xf>
    <xf numFmtId="178" fontId="4" fillId="0" borderId="0" xfId="0" applyNumberFormat="1" applyFont="1" applyBorder="1" applyAlignment="1">
      <alignment horizontal="center"/>
    </xf>
    <xf numFmtId="166" fontId="4" fillId="0" borderId="0" xfId="0" applyNumberFormat="1" applyFont="1" applyBorder="1" applyAlignment="1">
      <alignment horizontal="center"/>
    </xf>
    <xf numFmtId="180" fontId="4" fillId="0" borderId="0" xfId="0" applyNumberFormat="1" applyFont="1" applyBorder="1"/>
    <xf numFmtId="0" fontId="5" fillId="0" borderId="33" xfId="0" applyFont="1" applyBorder="1" applyProtection="1">
      <protection locked="0"/>
    </xf>
    <xf numFmtId="0" fontId="4" fillId="0" borderId="9" xfId="0" applyFont="1" applyBorder="1" applyProtection="1">
      <protection locked="0"/>
    </xf>
    <xf numFmtId="0" fontId="4" fillId="0" borderId="9" xfId="0" applyFont="1" applyBorder="1"/>
    <xf numFmtId="179" fontId="4" fillId="0" borderId="9" xfId="0" applyNumberFormat="1" applyFont="1" applyBorder="1"/>
    <xf numFmtId="3" fontId="4" fillId="0" borderId="9" xfId="0" applyNumberFormat="1" applyFont="1" applyFill="1" applyBorder="1"/>
    <xf numFmtId="0" fontId="4" fillId="0" borderId="9" xfId="0" applyFont="1" applyFill="1" applyBorder="1"/>
    <xf numFmtId="166" fontId="4" fillId="0" borderId="20" xfId="0" applyNumberFormat="1" applyFont="1" applyBorder="1"/>
    <xf numFmtId="166" fontId="4" fillId="0" borderId="0" xfId="0" applyNumberFormat="1" applyFont="1" applyBorder="1" applyAlignment="1">
      <alignment horizontal="left"/>
    </xf>
    <xf numFmtId="0" fontId="4" fillId="0" borderId="21" xfId="0" applyFont="1" applyBorder="1"/>
    <xf numFmtId="3" fontId="4" fillId="0" borderId="0" xfId="0" applyNumberFormat="1" applyFont="1" applyBorder="1"/>
    <xf numFmtId="179" fontId="4" fillId="0" borderId="0" xfId="0" applyNumberFormat="1" applyFont="1" applyBorder="1"/>
    <xf numFmtId="3" fontId="4" fillId="0" borderId="0" xfId="0" applyNumberFormat="1" applyFont="1" applyFill="1" applyBorder="1"/>
    <xf numFmtId="0" fontId="4" fillId="0" borderId="0" xfId="0" applyFont="1" applyFill="1" applyBorder="1"/>
    <xf numFmtId="166" fontId="4" fillId="0" borderId="22" xfId="0" applyNumberFormat="1" applyFont="1" applyBorder="1"/>
    <xf numFmtId="0" fontId="0" fillId="0" borderId="34" xfId="0" applyFont="1" applyBorder="1" applyAlignment="1">
      <alignment horizontal="center"/>
    </xf>
    <xf numFmtId="0" fontId="4" fillId="0" borderId="21" xfId="0" applyFont="1" applyFill="1" applyBorder="1" applyProtection="1">
      <protection locked="0"/>
    </xf>
    <xf numFmtId="0" fontId="4" fillId="0" borderId="0" xfId="0" applyFont="1" applyFill="1" applyBorder="1" applyProtection="1">
      <protection locked="0"/>
    </xf>
    <xf numFmtId="3" fontId="16" fillId="0" borderId="0" xfId="0" applyNumberFormat="1" applyFont="1" applyFill="1" applyBorder="1"/>
    <xf numFmtId="178" fontId="16" fillId="0" borderId="0" xfId="0" applyNumberFormat="1" applyFont="1" applyFill="1" applyBorder="1"/>
    <xf numFmtId="179" fontId="4" fillId="0" borderId="0" xfId="0" applyNumberFormat="1" applyFont="1" applyFill="1" applyBorder="1"/>
    <xf numFmtId="179" fontId="11" fillId="0" borderId="35" xfId="0" applyNumberFormat="1" applyFont="1" applyFill="1" applyBorder="1" applyAlignment="1">
      <alignment horizontal="center"/>
    </xf>
    <xf numFmtId="0" fontId="4" fillId="0" borderId="0" xfId="0" applyFont="1" applyBorder="1"/>
    <xf numFmtId="181" fontId="16" fillId="0" borderId="0" xfId="0" applyNumberFormat="1" applyFont="1" applyFill="1" applyBorder="1"/>
    <xf numFmtId="181" fontId="4" fillId="0" borderId="0" xfId="0" applyNumberFormat="1" applyFont="1" applyFill="1" applyBorder="1"/>
    <xf numFmtId="179" fontId="4" fillId="0" borderId="35" xfId="0" applyNumberFormat="1" applyFont="1" applyBorder="1" applyAlignment="1">
      <alignment horizontal="center"/>
    </xf>
    <xf numFmtId="3" fontId="4" fillId="0" borderId="0" xfId="0" applyNumberFormat="1" applyFont="1" applyFill="1" applyBorder="1"/>
    <xf numFmtId="178" fontId="4" fillId="0" borderId="0" xfId="0" applyNumberFormat="1" applyFont="1" applyBorder="1" applyAlignment="1">
      <alignment horizontal="right"/>
    </xf>
    <xf numFmtId="166" fontId="4" fillId="0" borderId="22" xfId="0" applyNumberFormat="1" applyFont="1" applyBorder="1" applyAlignment="1">
      <alignment horizontal="center"/>
    </xf>
    <xf numFmtId="179" fontId="4" fillId="0" borderId="36" xfId="0" applyNumberFormat="1" applyFont="1" applyFill="1" applyBorder="1" applyAlignment="1">
      <alignment horizontal="center"/>
    </xf>
    <xf numFmtId="0" fontId="4" fillId="0" borderId="0" xfId="0" applyFont="1" applyBorder="1" applyProtection="1">
      <protection locked="0"/>
    </xf>
    <xf numFmtId="0" fontId="16" fillId="0" borderId="0" xfId="0" applyFont="1" applyFill="1" applyBorder="1"/>
    <xf numFmtId="179" fontId="4" fillId="0" borderId="9" xfId="0" applyNumberFormat="1" applyFont="1" applyFill="1" applyBorder="1"/>
    <xf numFmtId="10" fontId="6" fillId="0" borderId="0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 wrapText="1"/>
    </xf>
    <xf numFmtId="180" fontId="4" fillId="0" borderId="0" xfId="0" applyNumberFormat="1" applyFont="1" applyBorder="1" applyAlignment="1">
      <alignment horizontal="center" wrapText="1"/>
    </xf>
    <xf numFmtId="182" fontId="6" fillId="0" borderId="1" xfId="0" applyNumberFormat="1" applyFont="1" applyFill="1" applyBorder="1"/>
    <xf numFmtId="186" fontId="22" fillId="0" borderId="0" xfId="0" applyNumberFormat="1" applyFont="1" applyFill="1"/>
    <xf numFmtId="181" fontId="4" fillId="0" borderId="0" xfId="0" applyNumberFormat="1" applyFont="1" applyBorder="1"/>
    <xf numFmtId="185" fontId="4" fillId="0" borderId="0" xfId="0" applyNumberFormat="1" applyFont="1" applyFill="1" applyBorder="1"/>
    <xf numFmtId="183" fontId="4" fillId="0" borderId="0" xfId="0" applyNumberFormat="1" applyFont="1" applyFill="1" applyBorder="1"/>
    <xf numFmtId="42" fontId="4" fillId="0" borderId="0" xfId="0" applyNumberFormat="1" applyFont="1" applyBorder="1" applyAlignment="1">
      <alignment horizontal="right"/>
    </xf>
    <xf numFmtId="0" fontId="4" fillId="0" borderId="21" xfId="0" applyFont="1" applyBorder="1" applyProtection="1">
      <protection locked="0"/>
    </xf>
    <xf numFmtId="9" fontId="4" fillId="0" borderId="0" xfId="0" applyNumberFormat="1" applyFont="1" applyFill="1" applyBorder="1"/>
    <xf numFmtId="0" fontId="4" fillId="0" borderId="23" xfId="0" applyFont="1" applyBorder="1"/>
    <xf numFmtId="0" fontId="4" fillId="0" borderId="28" xfId="0" applyFont="1" applyBorder="1" applyProtection="1">
      <protection locked="0"/>
    </xf>
    <xf numFmtId="0" fontId="4" fillId="0" borderId="28" xfId="0" applyFont="1" applyFill="1" applyBorder="1"/>
    <xf numFmtId="178" fontId="4" fillId="0" borderId="28" xfId="0" applyNumberFormat="1" applyFont="1" applyFill="1" applyBorder="1" applyAlignment="1">
      <alignment horizontal="center"/>
    </xf>
    <xf numFmtId="179" fontId="4" fillId="0" borderId="28" xfId="0" applyNumberFormat="1" applyFont="1" applyFill="1" applyBorder="1" applyAlignment="1">
      <alignment horizontal="center"/>
    </xf>
    <xf numFmtId="9" fontId="4" fillId="0" borderId="28" xfId="0" applyNumberFormat="1" applyFont="1" applyFill="1" applyBorder="1"/>
    <xf numFmtId="179" fontId="4" fillId="0" borderId="28" xfId="0" applyNumberFormat="1" applyFont="1" applyFill="1" applyBorder="1"/>
    <xf numFmtId="179" fontId="4" fillId="0" borderId="28" xfId="0" applyNumberFormat="1" applyFont="1" applyBorder="1"/>
    <xf numFmtId="166" fontId="4" fillId="0" borderId="24" xfId="0" applyNumberFormat="1" applyFont="1" applyBorder="1"/>
    <xf numFmtId="179" fontId="4" fillId="0" borderId="0" xfId="0" applyNumberFormat="1" applyFont="1" applyBorder="1" applyAlignment="1">
      <alignment horizontal="right"/>
    </xf>
    <xf numFmtId="166" fontId="4" fillId="0" borderId="0" xfId="0" applyNumberFormat="1" applyFont="1" applyBorder="1"/>
    <xf numFmtId="0" fontId="5" fillId="0" borderId="33" xfId="0" applyFont="1" applyFill="1" applyBorder="1" applyProtection="1">
      <protection locked="0"/>
    </xf>
    <xf numFmtId="0" fontId="4" fillId="0" borderId="21" xfId="0" applyFont="1" applyFill="1" applyBorder="1" applyProtection="1">
      <protection locked="0"/>
    </xf>
    <xf numFmtId="181" fontId="17" fillId="0" borderId="0" xfId="0" applyNumberFormat="1" applyFont="1" applyFill="1" applyBorder="1"/>
    <xf numFmtId="0" fontId="4" fillId="0" borderId="21" xfId="0" applyFont="1" applyFill="1" applyBorder="1"/>
    <xf numFmtId="178" fontId="6" fillId="0" borderId="0" xfId="0" applyNumberFormat="1" applyFont="1" applyFill="1" applyBorder="1"/>
    <xf numFmtId="181" fontId="6" fillId="0" borderId="0" xfId="0" applyNumberFormat="1" applyFont="1" applyFill="1" applyBorder="1"/>
    <xf numFmtId="0" fontId="0" fillId="0" borderId="20" xfId="0" applyFont="1" applyFill="1" applyBorder="1" applyAlignment="1">
      <alignment horizontal="center"/>
    </xf>
    <xf numFmtId="0" fontId="4" fillId="0" borderId="21" xfId="0" applyFont="1" applyFill="1" applyBorder="1"/>
    <xf numFmtId="3" fontId="4" fillId="0" borderId="0" xfId="0" applyNumberFormat="1" applyFont="1" applyFill="1" applyBorder="1" applyProtection="1">
      <protection locked="0"/>
    </xf>
    <xf numFmtId="175" fontId="4" fillId="0" borderId="22" xfId="0" applyNumberFormat="1" applyFont="1" applyBorder="1"/>
    <xf numFmtId="179" fontId="11" fillId="0" borderId="22" xfId="0" applyNumberFormat="1" applyFont="1" applyFill="1" applyBorder="1" applyAlignment="1">
      <alignment horizontal="center"/>
    </xf>
    <xf numFmtId="179" fontId="4" fillId="0" borderId="35" xfId="0" applyNumberFormat="1" applyFont="1" applyFill="1" applyBorder="1" applyAlignment="1">
      <alignment horizontal="center"/>
    </xf>
    <xf numFmtId="178" fontId="4" fillId="0" borderId="0" xfId="0" applyNumberFormat="1" applyFont="1" applyFill="1" applyBorder="1"/>
    <xf numFmtId="175" fontId="4" fillId="0" borderId="22" xfId="0" applyNumberFormat="1" applyFont="1" applyBorder="1" applyAlignment="1">
      <alignment horizontal="center"/>
    </xf>
    <xf numFmtId="179" fontId="4" fillId="0" borderId="24" xfId="0" applyNumberFormat="1" applyFont="1" applyFill="1" applyBorder="1" applyAlignment="1">
      <alignment horizontal="center"/>
    </xf>
    <xf numFmtId="182" fontId="6" fillId="0" borderId="9" xfId="0" applyNumberFormat="1" applyFont="1" applyFill="1" applyBorder="1" applyAlignment="1">
      <alignment horizontal="center"/>
    </xf>
    <xf numFmtId="179" fontId="4" fillId="0" borderId="0" xfId="0" applyNumberFormat="1" applyFont="1" applyBorder="1" applyAlignment="1">
      <alignment horizontal="center"/>
    </xf>
    <xf numFmtId="10" fontId="4" fillId="0" borderId="0" xfId="0" applyNumberFormat="1" applyFont="1" applyFill="1" applyBorder="1" applyAlignment="1">
      <alignment horizontal="center"/>
    </xf>
    <xf numFmtId="0" fontId="4" fillId="0" borderId="0" xfId="0" applyFont="1" applyFill="1"/>
    <xf numFmtId="180" fontId="4" fillId="0" borderId="0" xfId="0" applyNumberFormat="1" applyFont="1" applyFill="1"/>
    <xf numFmtId="187" fontId="4" fillId="0" borderId="0" xfId="0" applyNumberFormat="1" applyFont="1"/>
    <xf numFmtId="181" fontId="4" fillId="0" borderId="0" xfId="0" applyNumberFormat="1" applyFont="1" applyFill="1" applyBorder="1"/>
    <xf numFmtId="179" fontId="4" fillId="0" borderId="0" xfId="0" applyNumberFormat="1" applyFont="1" applyBorder="1"/>
    <xf numFmtId="181" fontId="4" fillId="0" borderId="0" xfId="0" applyNumberFormat="1" applyFont="1" applyFill="1" applyBorder="1" applyAlignment="1">
      <alignment horizontal="center"/>
    </xf>
    <xf numFmtId="3" fontId="16" fillId="0" borderId="0" xfId="0" applyNumberFormat="1" applyFont="1" applyBorder="1"/>
    <xf numFmtId="166" fontId="4" fillId="0" borderId="22" xfId="0" applyNumberFormat="1" applyFont="1" applyFill="1" applyBorder="1"/>
    <xf numFmtId="166" fontId="4" fillId="0" borderId="0" xfId="0" applyNumberFormat="1" applyFont="1" applyFill="1" applyBorder="1" applyAlignment="1">
      <alignment horizontal="left"/>
    </xf>
    <xf numFmtId="175" fontId="4" fillId="0" borderId="0" xfId="0" applyNumberFormat="1" applyFont="1" applyFill="1" applyBorder="1"/>
    <xf numFmtId="0" fontId="4" fillId="0" borderId="0" xfId="0" applyFont="1" applyFill="1" applyBorder="1"/>
    <xf numFmtId="0" fontId="4" fillId="0" borderId="0" xfId="0" applyFont="1" applyFill="1"/>
    <xf numFmtId="186" fontId="16" fillId="0" borderId="0" xfId="0" applyNumberFormat="1" applyFont="1" applyBorder="1"/>
    <xf numFmtId="186" fontId="16" fillId="0" borderId="0" xfId="0" applyNumberFormat="1" applyFont="1" applyFill="1" applyBorder="1"/>
    <xf numFmtId="180" fontId="4" fillId="0" borderId="0" xfId="0" applyNumberFormat="1" applyFont="1" applyFill="1"/>
    <xf numFmtId="179" fontId="4" fillId="0" borderId="9" xfId="0" applyNumberFormat="1" applyFont="1" applyBorder="1" applyAlignment="1">
      <alignment horizontal="right"/>
    </xf>
    <xf numFmtId="181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180" fontId="4" fillId="0" borderId="0" xfId="0" applyNumberFormat="1" applyFont="1" applyFill="1" applyAlignment="1">
      <alignment horizontal="center"/>
    </xf>
    <xf numFmtId="0" fontId="16" fillId="0" borderId="0" xfId="0" applyFont="1" applyBorder="1"/>
    <xf numFmtId="178" fontId="4" fillId="0" borderId="0" xfId="0" applyNumberFormat="1" applyFont="1" applyFill="1" applyAlignment="1">
      <alignment horizontal="center"/>
    </xf>
    <xf numFmtId="2" fontId="4" fillId="0" borderId="0" xfId="0" applyNumberFormat="1" applyFont="1" applyFill="1"/>
    <xf numFmtId="0" fontId="4" fillId="0" borderId="21" xfId="0" applyFont="1" applyBorder="1" applyProtection="1">
      <protection locked="0"/>
    </xf>
    <xf numFmtId="178" fontId="4" fillId="0" borderId="0" xfId="0" applyNumberFormat="1" applyFont="1" applyBorder="1"/>
    <xf numFmtId="0" fontId="4" fillId="0" borderId="23" xfId="0" applyFont="1" applyFill="1" applyBorder="1"/>
    <xf numFmtId="166" fontId="4" fillId="0" borderId="24" xfId="0" applyNumberFormat="1" applyFont="1" applyFill="1" applyBorder="1"/>
    <xf numFmtId="179" fontId="4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0" fontId="4" fillId="0" borderId="0" xfId="0" applyFont="1" applyFill="1" applyBorder="1" applyProtection="1">
      <protection locked="0"/>
    </xf>
    <xf numFmtId="178" fontId="4" fillId="0" borderId="0" xfId="0" applyNumberFormat="1" applyFont="1" applyFill="1" applyBorder="1"/>
    <xf numFmtId="186" fontId="17" fillId="0" borderId="0" xfId="0" applyNumberFormat="1" applyFont="1" applyFill="1" applyBorder="1"/>
    <xf numFmtId="8" fontId="4" fillId="0" borderId="0" xfId="0" applyNumberFormat="1" applyFont="1" applyBorder="1"/>
    <xf numFmtId="3" fontId="6" fillId="0" borderId="0" xfId="0" applyNumberFormat="1" applyFont="1" applyFill="1" applyBorder="1"/>
    <xf numFmtId="8" fontId="4" fillId="0" borderId="0" xfId="0" applyNumberFormat="1" applyFont="1" applyBorder="1"/>
    <xf numFmtId="0" fontId="4" fillId="0" borderId="21" xfId="0" applyFont="1" applyBorder="1"/>
    <xf numFmtId="3" fontId="4" fillId="0" borderId="28" xfId="0" applyNumberFormat="1" applyFont="1" applyFill="1" applyBorder="1"/>
    <xf numFmtId="186" fontId="6" fillId="0" borderId="0" xfId="0" applyNumberFormat="1" applyFont="1" applyBorder="1"/>
    <xf numFmtId="0" fontId="4" fillId="0" borderId="28" xfId="0" applyFont="1" applyFill="1" applyBorder="1"/>
    <xf numFmtId="179" fontId="4" fillId="0" borderId="28" xfId="0" applyNumberFormat="1" applyFont="1" applyFill="1" applyBorder="1"/>
    <xf numFmtId="179" fontId="4" fillId="0" borderId="0" xfId="0" applyNumberFormat="1" applyFont="1" applyFill="1" applyBorder="1"/>
    <xf numFmtId="179" fontId="4" fillId="0" borderId="0" xfId="0" applyNumberFormat="1" applyFont="1"/>
    <xf numFmtId="3" fontId="4" fillId="0" borderId="0" xfId="0" applyNumberFormat="1" applyFont="1" applyFill="1"/>
    <xf numFmtId="166" fontId="4" fillId="0" borderId="0" xfId="0" applyNumberFormat="1" applyFont="1"/>
    <xf numFmtId="0" fontId="5" fillId="0" borderId="0" xfId="0" applyFont="1"/>
    <xf numFmtId="18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80" fontId="4" fillId="0" borderId="0" xfId="0" applyNumberFormat="1" applyFont="1" applyAlignment="1">
      <alignment horizontal="center"/>
    </xf>
    <xf numFmtId="179" fontId="4" fillId="0" borderId="28" xfId="0" applyNumberFormat="1" applyFont="1" applyBorder="1" applyAlignment="1">
      <alignment horizontal="center"/>
    </xf>
    <xf numFmtId="3" fontId="4" fillId="0" borderId="0" xfId="0" applyNumberFormat="1" applyFont="1"/>
    <xf numFmtId="187" fontId="4" fillId="0" borderId="0" xfId="0" applyNumberFormat="1" applyFont="1" applyFill="1"/>
    <xf numFmtId="166" fontId="4" fillId="0" borderId="0" xfId="0" applyNumberFormat="1" applyFont="1" applyAlignment="1">
      <alignment horizontal="left"/>
    </xf>
    <xf numFmtId="175" fontId="4" fillId="0" borderId="0" xfId="0" applyNumberFormat="1" applyFont="1"/>
    <xf numFmtId="0" fontId="4" fillId="0" borderId="0" xfId="0" applyFont="1"/>
    <xf numFmtId="187" fontId="4" fillId="0" borderId="0" xfId="0" applyNumberFormat="1" applyFont="1" applyBorder="1"/>
    <xf numFmtId="187" fontId="4" fillId="0" borderId="0" xfId="0" applyNumberFormat="1" applyFont="1" applyAlignment="1">
      <alignment horizontal="left"/>
    </xf>
    <xf numFmtId="187" fontId="4" fillId="0" borderId="9" xfId="0" applyNumberFormat="1" applyFont="1" applyBorder="1"/>
    <xf numFmtId="3" fontId="4" fillId="0" borderId="9" xfId="0" applyNumberFormat="1" applyFont="1" applyBorder="1"/>
    <xf numFmtId="178" fontId="4" fillId="0" borderId="0" xfId="0" applyNumberFormat="1" applyFont="1"/>
    <xf numFmtId="181" fontId="4" fillId="0" borderId="0" xfId="0" applyNumberFormat="1" applyFont="1" applyAlignment="1">
      <alignment horizontal="centerContinuous"/>
    </xf>
    <xf numFmtId="3" fontId="4" fillId="0" borderId="0" xfId="0" applyNumberFormat="1" applyFont="1" applyFill="1" applyBorder="1" applyAlignment="1">
      <alignment horizontal="centerContinuous"/>
    </xf>
    <xf numFmtId="178" fontId="4" fillId="0" borderId="0" xfId="0" applyNumberFormat="1" applyFont="1" applyFill="1" applyAlignment="1">
      <alignment horizontal="centerContinuous"/>
    </xf>
    <xf numFmtId="0" fontId="14" fillId="0" borderId="0" xfId="0" applyFont="1" applyBorder="1" applyAlignment="1">
      <alignment horizontal="left"/>
    </xf>
    <xf numFmtId="175" fontId="4" fillId="0" borderId="0" xfId="0" applyNumberFormat="1" applyFont="1" applyBorder="1" applyAlignment="1">
      <alignment horizontal="right"/>
    </xf>
    <xf numFmtId="3" fontId="4" fillId="0" borderId="9" xfId="0" applyNumberFormat="1" applyFont="1" applyFill="1" applyBorder="1" applyAlignment="1">
      <alignment horizontal="center"/>
    </xf>
    <xf numFmtId="178" fontId="4" fillId="0" borderId="31" xfId="0" applyNumberFormat="1" applyFont="1" applyFill="1" applyBorder="1" applyAlignment="1">
      <alignment horizontal="centerContinuous"/>
    </xf>
    <xf numFmtId="3" fontId="4" fillId="0" borderId="28" xfId="0" applyNumberFormat="1" applyFont="1" applyBorder="1" applyAlignment="1">
      <alignment horizontal="center"/>
    </xf>
    <xf numFmtId="3" fontId="4" fillId="0" borderId="28" xfId="0" applyNumberFormat="1" applyFont="1" applyFill="1" applyBorder="1" applyAlignment="1">
      <alignment horizontal="center"/>
    </xf>
    <xf numFmtId="181" fontId="4" fillId="0" borderId="28" xfId="0" applyNumberFormat="1" applyFont="1" applyBorder="1" applyAlignment="1">
      <alignment horizontal="center"/>
    </xf>
    <xf numFmtId="175" fontId="4" fillId="0" borderId="24" xfId="0" applyNumberFormat="1" applyFont="1" applyBorder="1" applyAlignment="1">
      <alignment horizontal="center"/>
    </xf>
    <xf numFmtId="175" fontId="4" fillId="0" borderId="22" xfId="0" applyNumberFormat="1" applyFont="1" applyBorder="1" applyAlignment="1">
      <alignment horizontal="right"/>
    </xf>
    <xf numFmtId="0" fontId="4" fillId="0" borderId="9" xfId="0" applyFont="1" applyBorder="1" applyProtection="1">
      <protection locked="0"/>
    </xf>
    <xf numFmtId="181" fontId="4" fillId="0" borderId="9" xfId="0" applyNumberFormat="1" applyFont="1" applyBorder="1"/>
    <xf numFmtId="3" fontId="4" fillId="0" borderId="9" xfId="0" applyNumberFormat="1" applyFont="1" applyFill="1" applyBorder="1" applyProtection="1">
      <protection locked="0"/>
    </xf>
    <xf numFmtId="178" fontId="4" fillId="0" borderId="9" xfId="0" applyNumberFormat="1" applyFont="1" applyFill="1" applyBorder="1"/>
    <xf numFmtId="178" fontId="4" fillId="0" borderId="9" xfId="0" applyNumberFormat="1" applyFont="1" applyBorder="1" applyAlignment="1">
      <alignment horizontal="right"/>
    </xf>
    <xf numFmtId="166" fontId="4" fillId="0" borderId="20" xfId="0" applyNumberFormat="1" applyFont="1" applyBorder="1" applyAlignment="1">
      <alignment horizontal="right"/>
    </xf>
    <xf numFmtId="166" fontId="4" fillId="0" borderId="22" xfId="0" applyNumberFormat="1" applyFont="1" applyBorder="1" applyAlignment="1">
      <alignment horizontal="right"/>
    </xf>
    <xf numFmtId="0" fontId="4" fillId="0" borderId="0" xfId="0" applyFont="1" applyBorder="1" applyProtection="1">
      <protection locked="0"/>
    </xf>
    <xf numFmtId="175" fontId="4" fillId="0" borderId="0" xfId="0" applyNumberFormat="1" applyFont="1" applyBorder="1" applyAlignment="1">
      <alignment horizontal="left"/>
    </xf>
    <xf numFmtId="179" fontId="4" fillId="0" borderId="36" xfId="0" applyNumberFormat="1" applyFont="1" applyBorder="1" applyAlignment="1">
      <alignment horizontal="center"/>
    </xf>
    <xf numFmtId="179" fontId="16" fillId="0" borderId="0" xfId="0" applyNumberFormat="1" applyFont="1" applyFill="1" applyBorder="1" applyAlignment="1">
      <alignment horizontal="right"/>
    </xf>
    <xf numFmtId="10" fontId="4" fillId="0" borderId="0" xfId="0" applyNumberFormat="1" applyFont="1" applyBorder="1" applyAlignment="1">
      <alignment horizontal="center"/>
    </xf>
    <xf numFmtId="9" fontId="6" fillId="0" borderId="0" xfId="0" applyNumberFormat="1" applyFont="1" applyFill="1" applyBorder="1"/>
    <xf numFmtId="166" fontId="4" fillId="0" borderId="20" xfId="0" applyNumberFormat="1" applyFont="1" applyFill="1" applyBorder="1" applyAlignment="1">
      <alignment horizontal="right"/>
    </xf>
    <xf numFmtId="181" fontId="4" fillId="0" borderId="0" xfId="0" applyNumberFormat="1" applyFont="1" applyFill="1" applyAlignment="1">
      <alignment horizontal="center"/>
    </xf>
    <xf numFmtId="178" fontId="4" fillId="0" borderId="0" xfId="0" applyNumberFormat="1" applyFont="1" applyAlignment="1">
      <alignment horizontal="center"/>
    </xf>
    <xf numFmtId="3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 applyAlignment="1">
      <alignment horizontal="left"/>
    </xf>
    <xf numFmtId="0" fontId="4" fillId="0" borderId="28" xfId="0" applyFont="1" applyBorder="1"/>
    <xf numFmtId="3" fontId="4" fillId="0" borderId="28" xfId="0" applyNumberFormat="1" applyFont="1" applyFill="1" applyBorder="1"/>
    <xf numFmtId="181" fontId="4" fillId="0" borderId="28" xfId="0" applyNumberFormat="1" applyFont="1" applyBorder="1"/>
    <xf numFmtId="178" fontId="4" fillId="0" borderId="28" xfId="0" applyNumberFormat="1" applyFont="1" applyFill="1" applyBorder="1"/>
    <xf numFmtId="178" fontId="4" fillId="0" borderId="28" xfId="0" applyNumberFormat="1" applyFont="1" applyBorder="1" applyAlignment="1">
      <alignment horizontal="right"/>
    </xf>
    <xf numFmtId="179" fontId="4" fillId="0" borderId="0" xfId="0" applyNumberFormat="1" applyFont="1" applyFill="1" applyBorder="1" applyAlignment="1">
      <alignment horizontal="right"/>
    </xf>
    <xf numFmtId="178" fontId="4" fillId="0" borderId="0" xfId="0" applyNumberFormat="1" applyFont="1" applyFill="1" applyBorder="1" applyAlignment="1">
      <alignment horizontal="right"/>
    </xf>
    <xf numFmtId="0" fontId="5" fillId="0" borderId="0" xfId="0" applyFont="1" applyFill="1" applyBorder="1" applyProtection="1">
      <protection locked="0"/>
    </xf>
    <xf numFmtId="179" fontId="16" fillId="0" borderId="0" xfId="0" applyNumberFormat="1" applyFont="1" applyBorder="1" applyAlignment="1">
      <alignment horizontal="right"/>
    </xf>
    <xf numFmtId="179" fontId="4" fillId="0" borderId="0" xfId="0" applyNumberFormat="1" applyFont="1" applyBorder="1" applyAlignment="1">
      <alignment horizontal="right"/>
    </xf>
    <xf numFmtId="178" fontId="16" fillId="0" borderId="0" xfId="0" applyNumberFormat="1" applyFont="1" applyBorder="1"/>
    <xf numFmtId="179" fontId="4" fillId="0" borderId="0" xfId="0" applyNumberFormat="1" applyFont="1" applyFill="1" applyBorder="1" applyProtection="1">
      <protection locked="0"/>
    </xf>
    <xf numFmtId="179" fontId="4" fillId="0" borderId="28" xfId="0" applyNumberFormat="1" applyFont="1" applyBorder="1" applyAlignment="1">
      <alignment horizontal="right"/>
    </xf>
    <xf numFmtId="166" fontId="4" fillId="0" borderId="22" xfId="0" applyNumberFormat="1" applyFont="1" applyFill="1" applyBorder="1" applyAlignment="1">
      <alignment horizontal="right"/>
    </xf>
    <xf numFmtId="175" fontId="4" fillId="0" borderId="0" xfId="0" applyNumberFormat="1" applyFont="1" applyFill="1" applyBorder="1" applyAlignment="1">
      <alignment horizontal="left"/>
    </xf>
    <xf numFmtId="179" fontId="4" fillId="0" borderId="0" xfId="0" applyNumberFormat="1" applyFont="1" applyFill="1" applyBorder="1" applyAlignment="1">
      <alignment horizontal="right"/>
    </xf>
    <xf numFmtId="179" fontId="4" fillId="0" borderId="9" xfId="0" applyNumberFormat="1" applyFont="1" applyFill="1" applyBorder="1" applyAlignment="1">
      <alignment horizontal="right"/>
    </xf>
    <xf numFmtId="166" fontId="4" fillId="0" borderId="22" xfId="0" applyNumberFormat="1" applyFont="1" applyFill="1" applyBorder="1" applyAlignment="1">
      <alignment horizontal="right"/>
    </xf>
    <xf numFmtId="181" fontId="4" fillId="0" borderId="28" xfId="0" applyNumberFormat="1" applyFont="1" applyFill="1" applyBorder="1"/>
    <xf numFmtId="179" fontId="4" fillId="0" borderId="28" xfId="0" applyNumberFormat="1" applyFont="1" applyFill="1" applyBorder="1" applyAlignment="1">
      <alignment horizontal="right"/>
    </xf>
    <xf numFmtId="178" fontId="4" fillId="0" borderId="28" xfId="0" applyNumberFormat="1" applyFont="1" applyFill="1" applyBorder="1" applyAlignment="1">
      <alignment horizontal="right"/>
    </xf>
    <xf numFmtId="175" fontId="4" fillId="0" borderId="22" xfId="0" applyNumberFormat="1" applyFont="1" applyBorder="1" applyAlignment="1">
      <alignment horizontal="left"/>
    </xf>
    <xf numFmtId="0" fontId="0" fillId="0" borderId="22" xfId="0" applyFont="1" applyBorder="1" applyAlignment="1">
      <alignment horizontal="center"/>
    </xf>
    <xf numFmtId="178" fontId="6" fillId="0" borderId="0" xfId="0" applyNumberFormat="1" applyFont="1" applyBorder="1" applyAlignment="1">
      <alignment horizontal="right"/>
    </xf>
    <xf numFmtId="181" fontId="4" fillId="0" borderId="0" xfId="0" applyNumberFormat="1" applyFont="1" applyBorder="1" applyAlignment="1">
      <alignment horizontal="center"/>
    </xf>
    <xf numFmtId="181" fontId="16" fillId="0" borderId="0" xfId="0" applyNumberFormat="1" applyFont="1" applyBorder="1"/>
    <xf numFmtId="181" fontId="4" fillId="0" borderId="28" xfId="0" applyNumberFormat="1" applyFont="1" applyFill="1" applyBorder="1" applyAlignment="1">
      <alignment horizontal="right"/>
    </xf>
    <xf numFmtId="166" fontId="4" fillId="0" borderId="24" xfId="0" applyNumberFormat="1" applyFont="1" applyBorder="1" applyAlignment="1">
      <alignment horizontal="right"/>
    </xf>
    <xf numFmtId="181" fontId="4" fillId="0" borderId="0" xfId="0" applyNumberFormat="1" applyFont="1" applyFill="1" applyBorder="1" applyAlignment="1">
      <alignment horizontal="right"/>
    </xf>
    <xf numFmtId="166" fontId="4" fillId="0" borderId="0" xfId="0" applyNumberFormat="1" applyFont="1" applyBorder="1" applyAlignment="1">
      <alignment horizontal="right"/>
    </xf>
    <xf numFmtId="166" fontId="4" fillId="0" borderId="0" xfId="0" applyNumberFormat="1" applyFont="1" applyFill="1" applyBorder="1" applyAlignment="1">
      <alignment horizontal="right"/>
    </xf>
    <xf numFmtId="0" fontId="4" fillId="0" borderId="20" xfId="0" applyFont="1" applyBorder="1" applyAlignment="1">
      <alignment horizontal="center"/>
    </xf>
    <xf numFmtId="179" fontId="11" fillId="0" borderId="22" xfId="0" applyNumberFormat="1" applyFont="1" applyBorder="1" applyAlignment="1">
      <alignment horizontal="center"/>
    </xf>
    <xf numFmtId="179" fontId="4" fillId="0" borderId="22" xfId="0" applyNumberFormat="1" applyFont="1" applyBorder="1" applyAlignment="1">
      <alignment horizontal="center"/>
    </xf>
    <xf numFmtId="175" fontId="4" fillId="0" borderId="22" xfId="0" applyNumberFormat="1" applyFont="1" applyBorder="1" applyAlignment="1">
      <alignment horizontal="left"/>
    </xf>
    <xf numFmtId="179" fontId="4" fillId="0" borderId="24" xfId="0" applyNumberFormat="1" applyFont="1" applyBorder="1" applyAlignment="1">
      <alignment horizontal="center"/>
    </xf>
    <xf numFmtId="4" fontId="4" fillId="0" borderId="0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center"/>
    </xf>
    <xf numFmtId="188" fontId="4" fillId="0" borderId="0" xfId="0" applyNumberFormat="1" applyFont="1" applyFill="1" applyBorder="1" applyAlignment="1">
      <alignment horizontal="center"/>
    </xf>
    <xf numFmtId="179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3" fontId="4" fillId="0" borderId="9" xfId="0" applyNumberFormat="1" applyFont="1" applyFill="1" applyBorder="1"/>
    <xf numFmtId="166" fontId="4" fillId="0" borderId="0" xfId="0" applyNumberFormat="1" applyFont="1" applyBorder="1"/>
    <xf numFmtId="182" fontId="6" fillId="0" borderId="0" xfId="0" applyNumberFormat="1" applyFont="1" applyFill="1" applyBorder="1"/>
    <xf numFmtId="179" fontId="4" fillId="0" borderId="22" xfId="0" applyNumberFormat="1" applyFont="1" applyBorder="1" applyAlignment="1">
      <alignment horizontal="right"/>
    </xf>
    <xf numFmtId="0" fontId="4" fillId="0" borderId="9" xfId="0" applyFont="1" applyFill="1" applyBorder="1" applyProtection="1">
      <protection locked="0"/>
    </xf>
    <xf numFmtId="181" fontId="4" fillId="0" borderId="9" xfId="0" applyNumberFormat="1" applyFont="1" applyFill="1" applyBorder="1"/>
    <xf numFmtId="178" fontId="4" fillId="0" borderId="9" xfId="0" applyNumberFormat="1" applyFont="1" applyFill="1" applyBorder="1" applyAlignment="1">
      <alignment horizontal="right"/>
    </xf>
    <xf numFmtId="166" fontId="4" fillId="0" borderId="22" xfId="0" applyNumberFormat="1" applyFont="1" applyFill="1" applyBorder="1" applyAlignment="1">
      <alignment horizontal="center"/>
    </xf>
    <xf numFmtId="179" fontId="6" fillId="0" borderId="0" xfId="0" applyNumberFormat="1" applyFont="1" applyFill="1" applyBorder="1" applyAlignment="1">
      <alignment horizontal="right"/>
    </xf>
    <xf numFmtId="166" fontId="4" fillId="0" borderId="20" xfId="0" applyNumberFormat="1" applyFont="1" applyFill="1" applyBorder="1"/>
    <xf numFmtId="178" fontId="4" fillId="0" borderId="28" xfId="0" applyNumberFormat="1" applyFont="1" applyBorder="1"/>
    <xf numFmtId="5" fontId="4" fillId="0" borderId="0" xfId="0" applyNumberFormat="1" applyFont="1" applyBorder="1"/>
    <xf numFmtId="5" fontId="4" fillId="0" borderId="0" xfId="0" applyNumberFormat="1" applyFont="1" applyFill="1" applyBorder="1"/>
    <xf numFmtId="5" fontId="4" fillId="0" borderId="9" xfId="0" applyNumberFormat="1" applyFont="1" applyBorder="1"/>
    <xf numFmtId="5" fontId="4" fillId="0" borderId="0" xfId="0" applyNumberFormat="1" applyFont="1"/>
    <xf numFmtId="5" fontId="4" fillId="0" borderId="0" xfId="0" applyNumberFormat="1" applyFont="1" applyFill="1" applyBorder="1" applyAlignment="1">
      <alignment horizontal="center"/>
    </xf>
    <xf numFmtId="5" fontId="4" fillId="0" borderId="0" xfId="0" applyNumberFormat="1" applyFont="1" applyFill="1"/>
    <xf numFmtId="175" fontId="4" fillId="0" borderId="0" xfId="0" applyNumberFormat="1" applyFont="1" applyAlignment="1">
      <alignment horizontal="right"/>
    </xf>
    <xf numFmtId="178" fontId="4" fillId="0" borderId="0" xfId="0" applyNumberFormat="1" applyFont="1"/>
    <xf numFmtId="3" fontId="11" fillId="0" borderId="0" xfId="0" applyNumberFormat="1" applyFont="1"/>
    <xf numFmtId="5" fontId="11" fillId="0" borderId="0" xfId="0" applyNumberFormat="1" applyFont="1"/>
    <xf numFmtId="5" fontId="4" fillId="0" borderId="0" xfId="0" applyNumberFormat="1" applyFont="1"/>
    <xf numFmtId="166" fontId="4" fillId="0" borderId="0" xfId="0" applyNumberFormat="1" applyFont="1" applyAlignment="1">
      <alignment horizontal="right"/>
    </xf>
    <xf numFmtId="3" fontId="11" fillId="0" borderId="0" xfId="0" applyNumberFormat="1" applyFont="1" applyFill="1"/>
    <xf numFmtId="41" fontId="11" fillId="0" borderId="0" xfId="0" applyNumberFormat="1" applyFont="1"/>
    <xf numFmtId="5" fontId="4" fillId="0" borderId="9" xfId="0" applyNumberFormat="1" applyFont="1" applyBorder="1"/>
    <xf numFmtId="178" fontId="4" fillId="0" borderId="0" xfId="0" applyNumberFormat="1" applyFont="1" applyFill="1"/>
    <xf numFmtId="42" fontId="11" fillId="0" borderId="0" xfId="0" applyNumberFormat="1" applyFont="1"/>
    <xf numFmtId="3" fontId="4" fillId="0" borderId="0" xfId="0" applyNumberFormat="1" applyFont="1" applyFill="1"/>
    <xf numFmtId="181" fontId="4" fillId="0" borderId="0" xfId="0" applyNumberFormat="1" applyFont="1"/>
    <xf numFmtId="178" fontId="4" fillId="0" borderId="0" xfId="0" applyNumberFormat="1" applyFont="1" applyFill="1"/>
    <xf numFmtId="0" fontId="4" fillId="0" borderId="0" xfId="0" applyFont="1" applyFill="1" applyBorder="1" applyAlignment="1"/>
    <xf numFmtId="0" fontId="5" fillId="0" borderId="0" xfId="0" applyFont="1" applyFill="1" applyBorder="1" applyAlignment="1">
      <alignment horizontal="centerContinuous"/>
    </xf>
    <xf numFmtId="0" fontId="4" fillId="0" borderId="0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Alignment="1">
      <alignment horizontal="right"/>
    </xf>
    <xf numFmtId="170" fontId="16" fillId="0" borderId="0" xfId="0" applyNumberFormat="1" applyFont="1" applyBorder="1"/>
    <xf numFmtId="44" fontId="16" fillId="0" borderId="0" xfId="0" applyNumberFormat="1" applyFont="1"/>
    <xf numFmtId="171" fontId="4" fillId="0" borderId="0" xfId="0" applyNumberFormat="1" applyFont="1" applyFill="1"/>
    <xf numFmtId="44" fontId="4" fillId="0" borderId="0" xfId="0" applyNumberFormat="1" applyFont="1" applyFill="1" applyBorder="1"/>
    <xf numFmtId="42" fontId="4" fillId="0" borderId="0" xfId="0" applyNumberFormat="1" applyFont="1" applyFill="1"/>
    <xf numFmtId="44" fontId="4" fillId="0" borderId="0" xfId="0" applyNumberFormat="1" applyFont="1" applyFill="1"/>
    <xf numFmtId="44" fontId="6" fillId="0" borderId="0" xfId="0" applyNumberFormat="1" applyFont="1" applyFill="1" applyBorder="1"/>
    <xf numFmtId="44" fontId="4" fillId="0" borderId="0" xfId="0" applyNumberFormat="1" applyFont="1" applyFill="1" applyBorder="1"/>
    <xf numFmtId="41" fontId="4" fillId="0" borderId="0" xfId="0" applyNumberFormat="1" applyFont="1" applyFill="1"/>
    <xf numFmtId="9" fontId="4" fillId="0" borderId="0" xfId="0" applyNumberFormat="1" applyFont="1" applyFill="1" applyBorder="1"/>
    <xf numFmtId="44" fontId="4" fillId="0" borderId="34" xfId="0" applyNumberFormat="1" applyFont="1" applyFill="1" applyBorder="1" applyAlignment="1">
      <alignment horizontal="center"/>
    </xf>
    <xf numFmtId="171" fontId="11" fillId="0" borderId="35" xfId="0" applyNumberFormat="1" applyFont="1" applyFill="1" applyBorder="1"/>
    <xf numFmtId="44" fontId="4" fillId="0" borderId="35" xfId="0" applyNumberFormat="1" applyFont="1" applyFill="1" applyBorder="1" applyAlignment="1">
      <alignment horizontal="center"/>
    </xf>
    <xf numFmtId="171" fontId="4" fillId="0" borderId="36" xfId="0" applyNumberFormat="1" applyFont="1" applyFill="1" applyBorder="1"/>
    <xf numFmtId="171" fontId="4" fillId="0" borderId="9" xfId="0" applyNumberFormat="1" applyFont="1" applyFill="1" applyBorder="1"/>
    <xf numFmtId="42" fontId="4" fillId="0" borderId="9" xfId="0" applyNumberFormat="1" applyFont="1" applyFill="1" applyBorder="1"/>
    <xf numFmtId="171" fontId="4" fillId="0" borderId="0" xfId="0" applyNumberFormat="1" applyFont="1" applyFill="1" applyBorder="1"/>
    <xf numFmtId="9" fontId="4" fillId="0" borderId="0" xfId="0" applyNumberFormat="1" applyFont="1" applyFill="1" applyBorder="1"/>
    <xf numFmtId="0" fontId="4" fillId="0" borderId="0" xfId="0" applyFont="1" applyFill="1" applyBorder="1" applyAlignment="1">
      <alignment horizontal="right"/>
    </xf>
    <xf numFmtId="3" fontId="6" fillId="0" borderId="0" xfId="0" applyNumberFormat="1" applyFont="1" applyFill="1"/>
    <xf numFmtId="171" fontId="4" fillId="0" borderId="0" xfId="0" applyNumberFormat="1" applyFont="1" applyFill="1"/>
    <xf numFmtId="175" fontId="6" fillId="0" borderId="1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center"/>
    </xf>
    <xf numFmtId="171" fontId="4" fillId="0" borderId="0" xfId="0" applyNumberFormat="1" applyFont="1" applyFill="1" applyBorder="1" applyAlignment="1">
      <alignment horizontal="center"/>
    </xf>
    <xf numFmtId="44" fontId="4" fillId="0" borderId="0" xfId="0" applyNumberFormat="1" applyFont="1" applyFill="1" applyBorder="1" applyAlignment="1">
      <alignment horizontal="right"/>
    </xf>
    <xf numFmtId="10" fontId="4" fillId="0" borderId="0" xfId="0" applyNumberFormat="1" applyFont="1" applyFill="1" applyBorder="1"/>
    <xf numFmtId="10" fontId="4" fillId="0" borderId="0" xfId="0" applyNumberFormat="1" applyFont="1" applyFill="1"/>
    <xf numFmtId="44" fontId="17" fillId="0" borderId="0" xfId="0" applyNumberFormat="1" applyFont="1" applyFill="1"/>
    <xf numFmtId="0" fontId="5" fillId="0" borderId="0" xfId="0" applyFont="1" applyAlignment="1">
      <alignment horizontal="left" wrapText="1"/>
    </xf>
    <xf numFmtId="0" fontId="4" fillId="0" borderId="0" xfId="0" applyFont="1"/>
    <xf numFmtId="0" fontId="5" fillId="0" borderId="0" xfId="0" applyFont="1"/>
    <xf numFmtId="3" fontId="4" fillId="0" borderId="0" xfId="0" applyNumberFormat="1" applyFont="1" applyFill="1"/>
    <xf numFmtId="3" fontId="4" fillId="0" borderId="9" xfId="0" applyNumberFormat="1" applyFont="1" applyFill="1" applyBorder="1"/>
    <xf numFmtId="0" fontId="5" fillId="0" borderId="0" xfId="0" applyFont="1" applyFill="1"/>
    <xf numFmtId="0" fontId="0" fillId="0" borderId="0" xfId="0" applyFont="1" applyBorder="1" applyAlignment="1">
      <alignment horizontal="center"/>
    </xf>
    <xf numFmtId="171" fontId="11" fillId="0" borderId="0" xfId="0" applyNumberFormat="1" applyFont="1" applyFill="1" applyBorder="1" applyAlignment="1">
      <alignment horizontal="center"/>
    </xf>
    <xf numFmtId="171" fontId="0" fillId="0" borderId="2" xfId="0" applyNumberFormat="1" applyFont="1" applyFill="1" applyBorder="1"/>
    <xf numFmtId="171" fontId="11" fillId="0" borderId="0" xfId="0" applyNumberFormat="1" applyFont="1" applyFill="1"/>
    <xf numFmtId="171" fontId="17" fillId="0" borderId="0" xfId="0" applyNumberFormat="1" applyFont="1" applyFill="1"/>
    <xf numFmtId="171" fontId="17" fillId="0" borderId="0" xfId="0" applyNumberFormat="1" applyFont="1"/>
    <xf numFmtId="171" fontId="4" fillId="0" borderId="2" xfId="0" applyNumberFormat="1" applyFont="1" applyFill="1" applyBorder="1"/>
    <xf numFmtId="171" fontId="20" fillId="0" borderId="0" xfId="0" applyNumberFormat="1" applyFont="1" applyFill="1" applyBorder="1" applyAlignment="1">
      <alignment horizontal="center"/>
    </xf>
    <xf numFmtId="0" fontId="23" fillId="0" borderId="0" xfId="0" applyFont="1" applyAlignment="1"/>
    <xf numFmtId="42" fontId="4" fillId="0" borderId="0" xfId="0" applyNumberFormat="1" applyFont="1" applyBorder="1" applyAlignment="1">
      <alignment horizontal="center"/>
    </xf>
    <xf numFmtId="171" fontId="0" fillId="0" borderId="0" xfId="0" applyNumberFormat="1" applyFont="1" applyFill="1" applyBorder="1"/>
    <xf numFmtId="171" fontId="11" fillId="0" borderId="0" xfId="0" applyNumberFormat="1" applyFont="1" applyFill="1" applyBorder="1"/>
    <xf numFmtId="171" fontId="17" fillId="0" borderId="0" xfId="0" applyNumberFormat="1" applyFont="1" applyFill="1" applyBorder="1"/>
    <xf numFmtId="171" fontId="17" fillId="0" borderId="0" xfId="0" applyNumberFormat="1" applyFont="1" applyBorder="1"/>
    <xf numFmtId="171" fontId="4" fillId="0" borderId="0" xfId="0" applyNumberFormat="1" applyFont="1" applyFill="1" applyBorder="1"/>
    <xf numFmtId="41" fontId="0" fillId="0" borderId="0" xfId="0" applyNumberFormat="1" applyFill="1" applyBorder="1"/>
    <xf numFmtId="0" fontId="5" fillId="0" borderId="0" xfId="0" applyFont="1" applyBorder="1" applyAlignment="1"/>
    <xf numFmtId="0" fontId="5" fillId="0" borderId="0" xfId="0" applyFont="1" applyBorder="1" applyAlignment="1">
      <alignment horizontal="left" wrapText="1"/>
    </xf>
    <xf numFmtId="0" fontId="0" fillId="0" borderId="0" xfId="0" quotePrefix="1" applyBorder="1" applyAlignment="1">
      <alignment vertical="top"/>
    </xf>
    <xf numFmtId="0" fontId="0" fillId="0" borderId="0" xfId="0" applyFill="1" applyBorder="1" applyAlignment="1">
      <alignment vertical="top"/>
    </xf>
    <xf numFmtId="0" fontId="0" fillId="0" borderId="0" xfId="0" applyFill="1" applyBorder="1" applyAlignment="1">
      <alignment vertical="top" wrapText="1"/>
    </xf>
    <xf numFmtId="0" fontId="0" fillId="0" borderId="0" xfId="0" applyBorder="1" applyAlignment="1"/>
    <xf numFmtId="0" fontId="0" fillId="0" borderId="47" xfId="0" applyBorder="1"/>
    <xf numFmtId="0" fontId="0" fillId="0" borderId="48" xfId="0" applyBorder="1"/>
    <xf numFmtId="43" fontId="0" fillId="0" borderId="48" xfId="0" applyNumberFormat="1" applyFont="1" applyBorder="1"/>
    <xf numFmtId="43" fontId="0" fillId="0" borderId="49" xfId="0" applyNumberFormat="1" applyFont="1" applyFill="1" applyBorder="1"/>
    <xf numFmtId="0" fontId="0" fillId="0" borderId="10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/>
    </xf>
    <xf numFmtId="0" fontId="0" fillId="0" borderId="13" xfId="0" applyBorder="1"/>
    <xf numFmtId="0" fontId="0" fillId="0" borderId="14" xfId="0" applyBorder="1"/>
    <xf numFmtId="43" fontId="0" fillId="0" borderId="15" xfId="0" applyNumberFormat="1" applyFont="1" applyBorder="1"/>
    <xf numFmtId="43" fontId="0" fillId="0" borderId="17" xfId="0" applyNumberFormat="1" applyFont="1" applyBorder="1"/>
    <xf numFmtId="42" fontId="0" fillId="0" borderId="9" xfId="0" applyNumberFormat="1" applyBorder="1"/>
    <xf numFmtId="42" fontId="0" fillId="0" borderId="9" xfId="0" applyNumberFormat="1" applyFill="1" applyBorder="1"/>
    <xf numFmtId="3" fontId="0" fillId="0" borderId="0" xfId="0" applyNumberFormat="1" applyFont="1" applyFill="1" applyBorder="1"/>
    <xf numFmtId="42" fontId="0" fillId="0" borderId="0" xfId="0" applyNumberFormat="1" applyFont="1" applyFill="1" applyBorder="1"/>
    <xf numFmtId="0" fontId="4" fillId="0" borderId="0" xfId="0" applyFont="1"/>
    <xf numFmtId="43" fontId="27" fillId="0" borderId="0" xfId="0" applyNumberFormat="1" applyFont="1" applyBorder="1"/>
    <xf numFmtId="43" fontId="27" fillId="0" borderId="0" xfId="0" applyNumberFormat="1" applyFont="1"/>
    <xf numFmtId="44" fontId="27" fillId="0" borderId="0" xfId="0" applyNumberFormat="1" applyFont="1" applyFill="1" applyBorder="1"/>
    <xf numFmtId="42" fontId="27" fillId="0" borderId="0" xfId="0" applyNumberFormat="1" applyFont="1" applyFill="1"/>
    <xf numFmtId="171" fontId="27" fillId="0" borderId="0" xfId="0" applyNumberFormat="1" applyFont="1" applyFill="1"/>
    <xf numFmtId="42" fontId="27" fillId="0" borderId="0" xfId="0" applyNumberFormat="1" applyFont="1"/>
    <xf numFmtId="37" fontId="27" fillId="0" borderId="7" xfId="0" applyNumberFormat="1" applyFont="1" applyBorder="1"/>
    <xf numFmtId="37" fontId="27" fillId="0" borderId="8" xfId="0" applyNumberFormat="1" applyFont="1" applyBorder="1"/>
    <xf numFmtId="0" fontId="23" fillId="0" borderId="0" xfId="0" applyFont="1" applyAlignment="1">
      <alignment horizontal="centerContinuous"/>
    </xf>
    <xf numFmtId="37" fontId="20" fillId="0" borderId="0" xfId="0" applyNumberFormat="1" applyFont="1" applyBorder="1"/>
    <xf numFmtId="37" fontId="20" fillId="0" borderId="5" xfId="0" applyNumberFormat="1" applyFont="1" applyBorder="1"/>
    <xf numFmtId="0" fontId="29" fillId="2" borderId="0" xfId="0" applyFont="1" applyFill="1"/>
    <xf numFmtId="0" fontId="29" fillId="0" borderId="0" xfId="0" applyFont="1" applyFill="1"/>
    <xf numFmtId="3" fontId="17" fillId="0" borderId="0" xfId="0" quotePrefix="1" applyNumberFormat="1" applyFont="1" applyFill="1" applyBorder="1"/>
    <xf numFmtId="3" fontId="18" fillId="0" borderId="0" xfId="0" applyNumberFormat="1" applyFont="1" applyFill="1" applyBorder="1"/>
    <xf numFmtId="170" fontId="4" fillId="0" borderId="0" xfId="0" applyNumberFormat="1" applyFont="1" applyFill="1" applyBorder="1"/>
    <xf numFmtId="17" fontId="20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0" fillId="0" borderId="0" xfId="0" applyFont="1"/>
    <xf numFmtId="0" fontId="4" fillId="0" borderId="0" xfId="0" applyFont="1" applyAlignment="1">
      <alignment horizontal="centerContinuous"/>
    </xf>
    <xf numFmtId="0" fontId="4" fillId="0" borderId="0" xfId="0" applyFont="1"/>
    <xf numFmtId="0" fontId="5" fillId="0" borderId="0" xfId="0" applyFont="1" applyAlignment="1">
      <alignment horizontal="centerContinuous"/>
    </xf>
    <xf numFmtId="0" fontId="4" fillId="0" borderId="45" xfId="0" applyFont="1" applyBorder="1" applyAlignment="1">
      <alignment horizontal="center"/>
    </xf>
    <xf numFmtId="174" fontId="4" fillId="0" borderId="45" xfId="0" applyNumberFormat="1" applyFont="1" applyFill="1" applyBorder="1" applyAlignment="1">
      <alignment horizontal="center" wrapText="1"/>
    </xf>
    <xf numFmtId="0" fontId="4" fillId="0" borderId="45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right"/>
    </xf>
    <xf numFmtId="4" fontId="4" fillId="0" borderId="0" xfId="0" applyNumberFormat="1" applyFont="1"/>
    <xf numFmtId="0" fontId="4" fillId="0" borderId="0" xfId="0" applyFont="1" applyFill="1"/>
    <xf numFmtId="0" fontId="4" fillId="0" borderId="0" xfId="0" applyFont="1" applyFill="1" applyAlignment="1">
      <alignment horizontal="right"/>
    </xf>
    <xf numFmtId="3" fontId="17" fillId="0" borderId="0" xfId="0" applyNumberFormat="1" applyFont="1" applyFill="1"/>
    <xf numFmtId="3" fontId="4" fillId="0" borderId="0" xfId="0" applyNumberFormat="1" applyFont="1" applyFill="1"/>
    <xf numFmtId="9" fontId="4" fillId="0" borderId="0" xfId="0" applyNumberFormat="1" applyFont="1" applyFill="1"/>
    <xf numFmtId="166" fontId="4" fillId="0" borderId="0" xfId="0" applyNumberFormat="1" applyFont="1" applyFill="1"/>
    <xf numFmtId="0" fontId="4" fillId="0" borderId="0" xfId="0" applyFont="1" applyAlignment="1">
      <alignment horizontal="right"/>
    </xf>
    <xf numFmtId="0" fontId="4" fillId="0" borderId="0" xfId="0" applyFont="1" applyFill="1" applyBorder="1"/>
    <xf numFmtId="0" fontId="2" fillId="0" borderId="0" xfId="0" applyFont="1" applyFill="1" applyBorder="1" applyAlignment="1">
      <alignment horizontal="right"/>
    </xf>
    <xf numFmtId="3" fontId="17" fillId="0" borderId="0" xfId="0" applyNumberFormat="1" applyFont="1" applyFill="1" applyBorder="1"/>
    <xf numFmtId="3" fontId="4" fillId="0" borderId="45" xfId="0" applyNumberFormat="1" applyFont="1" applyFill="1" applyBorder="1"/>
    <xf numFmtId="3" fontId="4" fillId="0" borderId="0" xfId="0" applyNumberFormat="1" applyFont="1" applyFill="1" applyBorder="1"/>
    <xf numFmtId="3" fontId="4" fillId="0" borderId="9" xfId="0" applyNumberFormat="1" applyFont="1" applyFill="1" applyBorder="1"/>
    <xf numFmtId="0" fontId="5" fillId="0" borderId="0" xfId="0" applyFont="1" applyFill="1"/>
    <xf numFmtId="3" fontId="4" fillId="0" borderId="0" xfId="0" applyNumberFormat="1" applyFont="1"/>
    <xf numFmtId="170" fontId="24" fillId="0" borderId="0" xfId="0" applyNumberFormat="1" applyFont="1"/>
    <xf numFmtId="170" fontId="24" fillId="0" borderId="0" xfId="0" applyNumberFormat="1" applyFont="1" applyFill="1"/>
    <xf numFmtId="0" fontId="24" fillId="0" borderId="0" xfId="0" applyFont="1" applyFill="1"/>
    <xf numFmtId="0" fontId="25" fillId="0" borderId="0" xfId="0" applyFont="1" applyFill="1"/>
    <xf numFmtId="3" fontId="19" fillId="0" borderId="0" xfId="0" applyNumberFormat="1" applyFont="1" applyFill="1" applyBorder="1"/>
    <xf numFmtId="3" fontId="4" fillId="0" borderId="0" xfId="0" applyNumberFormat="1" applyFont="1" applyBorder="1"/>
    <xf numFmtId="0" fontId="4" fillId="0" borderId="0" xfId="0" applyFont="1" applyBorder="1"/>
    <xf numFmtId="0" fontId="2" fillId="0" borderId="0" xfId="0" applyFont="1" applyBorder="1" applyAlignment="1">
      <alignment horizontal="right"/>
    </xf>
    <xf numFmtId="3" fontId="26" fillId="0" borderId="0" xfId="0" applyNumberFormat="1" applyFont="1" applyFill="1"/>
    <xf numFmtId="9" fontId="4" fillId="0" borderId="0" xfId="0" applyNumberFormat="1" applyFont="1" applyFill="1" applyBorder="1"/>
    <xf numFmtId="167" fontId="6" fillId="0" borderId="0" xfId="0" applyNumberFormat="1" applyFont="1" applyFill="1"/>
    <xf numFmtId="177" fontId="6" fillId="0" borderId="0" xfId="0" applyNumberFormat="1" applyFont="1" applyFill="1"/>
    <xf numFmtId="169" fontId="6" fillId="0" borderId="0" xfId="0" applyNumberFormat="1" applyFont="1" applyFill="1"/>
    <xf numFmtId="168" fontId="6" fillId="0" borderId="0" xfId="0" applyNumberFormat="1" applyFont="1" applyFill="1" applyBorder="1"/>
    <xf numFmtId="167" fontId="6" fillId="0" borderId="0" xfId="0" applyNumberFormat="1" applyFont="1" applyFill="1" applyBorder="1"/>
    <xf numFmtId="177" fontId="6" fillId="0" borderId="0" xfId="0" applyNumberFormat="1" applyFont="1" applyFill="1" applyBorder="1"/>
    <xf numFmtId="3" fontId="4" fillId="0" borderId="45" xfId="0" applyNumberFormat="1" applyFont="1" applyBorder="1"/>
    <xf numFmtId="3" fontId="4" fillId="0" borderId="9" xfId="0" applyNumberFormat="1" applyFont="1" applyBorder="1"/>
    <xf numFmtId="0" fontId="5" fillId="0" borderId="0" xfId="0" applyFont="1" applyFill="1"/>
    <xf numFmtId="166" fontId="4" fillId="0" borderId="0" xfId="0" applyNumberFormat="1" applyFont="1" applyFill="1" applyBorder="1"/>
    <xf numFmtId="0" fontId="4" fillId="0" borderId="0" xfId="0" applyFont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3" fontId="27" fillId="0" borderId="0" xfId="0" applyNumberFormat="1" applyFont="1" applyBorder="1"/>
    <xf numFmtId="0" fontId="27" fillId="0" borderId="0" xfId="0" applyFont="1" applyFill="1" applyBorder="1" applyAlignment="1">
      <alignment horizontal="left"/>
    </xf>
    <xf numFmtId="3" fontId="27" fillId="0" borderId="0" xfId="0" applyNumberFormat="1" applyFont="1" applyFill="1" applyBorder="1"/>
    <xf numFmtId="0" fontId="5" fillId="0" borderId="0" xfId="0" applyFont="1" applyAlignment="1">
      <alignment horizontal="left"/>
    </xf>
    <xf numFmtId="3" fontId="4" fillId="0" borderId="0" xfId="0" applyNumberFormat="1" applyFont="1" applyFill="1" applyAlignment="1"/>
    <xf numFmtId="0" fontId="0" fillId="0" borderId="3" xfId="0" applyFont="1" applyBorder="1" applyAlignment="1">
      <alignment horizontal="center"/>
    </xf>
    <xf numFmtId="0" fontId="0" fillId="0" borderId="0" xfId="0" quotePrefix="1"/>
    <xf numFmtId="0" fontId="23" fillId="0" borderId="0" xfId="0" applyFont="1" applyAlignment="1">
      <alignment horizontal="center"/>
    </xf>
    <xf numFmtId="170" fontId="0" fillId="0" borderId="2" xfId="0" applyNumberFormat="1" applyFont="1" applyBorder="1"/>
    <xf numFmtId="170" fontId="16" fillId="0" borderId="0" xfId="0" applyNumberFormat="1" applyFont="1" applyFill="1"/>
    <xf numFmtId="170" fontId="11" fillId="0" borderId="0" xfId="0" applyNumberFormat="1" applyFont="1"/>
    <xf numFmtId="170" fontId="20" fillId="0" borderId="0" xfId="0" applyNumberFormat="1" applyFont="1"/>
    <xf numFmtId="170" fontId="0" fillId="0" borderId="2" xfId="0" applyNumberFormat="1" applyFont="1" applyFill="1" applyBorder="1"/>
    <xf numFmtId="164" fontId="20" fillId="0" borderId="0" xfId="0" applyNumberFormat="1" applyFont="1" applyFill="1"/>
    <xf numFmtId="164" fontId="20" fillId="0" borderId="0" xfId="0" applyNumberFormat="1" applyFont="1"/>
    <xf numFmtId="3" fontId="0" fillId="0" borderId="12" xfId="0" applyNumberFormat="1" applyFill="1" applyBorder="1"/>
    <xf numFmtId="3" fontId="0" fillId="0" borderId="14" xfId="0" applyNumberFormat="1" applyFill="1" applyBorder="1"/>
    <xf numFmtId="3" fontId="0" fillId="0" borderId="17" xfId="0" applyNumberFormat="1" applyFill="1" applyBorder="1"/>
    <xf numFmtId="0" fontId="4" fillId="0" borderId="0" xfId="0" applyFont="1" applyAlignment="1">
      <alignment horizontal="centerContinuous"/>
    </xf>
    <xf numFmtId="0" fontId="4" fillId="0" borderId="0" xfId="0" applyFont="1"/>
    <xf numFmtId="0" fontId="5" fillId="0" borderId="0" xfId="0" applyFont="1" applyAlignment="1">
      <alignment horizontal="centerContinuous"/>
    </xf>
    <xf numFmtId="0" fontId="4" fillId="0" borderId="45" xfId="0" applyFont="1" applyBorder="1" applyAlignment="1">
      <alignment horizontal="center"/>
    </xf>
    <xf numFmtId="174" fontId="4" fillId="0" borderId="45" xfId="0" applyNumberFormat="1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/>
    <xf numFmtId="0" fontId="4" fillId="0" borderId="0" xfId="0" applyFont="1" applyBorder="1" applyAlignment="1">
      <alignment horizontal="center"/>
    </xf>
    <xf numFmtId="174" fontId="4" fillId="0" borderId="0" xfId="0" applyNumberFormat="1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Alignment="1">
      <alignment horizontal="right"/>
    </xf>
    <xf numFmtId="170" fontId="4" fillId="0" borderId="0" xfId="0" applyNumberFormat="1" applyFont="1" applyFill="1"/>
    <xf numFmtId="3" fontId="4" fillId="0" borderId="0" xfId="0" applyNumberFormat="1" applyFont="1" applyFill="1"/>
    <xf numFmtId="170" fontId="4" fillId="0" borderId="0" xfId="0" applyNumberFormat="1" applyFont="1" applyFill="1"/>
    <xf numFmtId="0" fontId="4" fillId="0" borderId="0" xfId="0" applyFont="1" applyFill="1" applyBorder="1"/>
    <xf numFmtId="0" fontId="1" fillId="0" borderId="0" xfId="0" applyFont="1" applyBorder="1" applyAlignment="1">
      <alignment horizontal="right"/>
    </xf>
    <xf numFmtId="0" fontId="4" fillId="0" borderId="0" xfId="0" applyFont="1" applyFill="1" applyAlignment="1">
      <alignment horizontal="right"/>
    </xf>
    <xf numFmtId="170" fontId="4" fillId="0" borderId="45" xfId="0" applyNumberFormat="1" applyFont="1" applyFill="1" applyBorder="1"/>
    <xf numFmtId="0" fontId="20" fillId="0" borderId="0" xfId="0" applyFont="1"/>
    <xf numFmtId="170" fontId="20" fillId="0" borderId="0" xfId="0" applyNumberFormat="1" applyFont="1"/>
    <xf numFmtId="0" fontId="1" fillId="0" borderId="0" xfId="0" applyFont="1"/>
    <xf numFmtId="0" fontId="31" fillId="0" borderId="0" xfId="0" applyFont="1" applyFill="1"/>
    <xf numFmtId="0" fontId="31" fillId="0" borderId="0" xfId="0" applyFont="1"/>
    <xf numFmtId="43" fontId="31" fillId="0" borderId="0" xfId="0" applyNumberFormat="1" applyFont="1"/>
    <xf numFmtId="3" fontId="20" fillId="0" borderId="0" xfId="0" applyNumberFormat="1" applyFont="1"/>
    <xf numFmtId="3" fontId="17" fillId="0" borderId="0" xfId="0" applyNumberFormat="1" applyFont="1" applyFill="1"/>
    <xf numFmtId="189" fontId="17" fillId="0" borderId="0" xfId="0" applyNumberFormat="1" applyFont="1" applyFill="1"/>
    <xf numFmtId="189" fontId="4" fillId="0" borderId="0" xfId="0" applyNumberFormat="1" applyFont="1" applyFill="1"/>
    <xf numFmtId="189" fontId="17" fillId="0" borderId="45" xfId="0" applyNumberFormat="1" applyFont="1" applyFill="1" applyBorder="1"/>
    <xf numFmtId="189" fontId="20" fillId="0" borderId="45" xfId="0" applyNumberFormat="1" applyFont="1" applyFill="1" applyBorder="1"/>
    <xf numFmtId="189" fontId="4" fillId="0" borderId="45" xfId="0" applyNumberFormat="1" applyFont="1" applyFill="1" applyBorder="1"/>
    <xf numFmtId="171" fontId="4" fillId="0" borderId="0" xfId="0" applyNumberFormat="1" applyFont="1" applyFill="1"/>
    <xf numFmtId="171" fontId="4" fillId="0" borderId="45" xfId="0" applyNumberFormat="1" applyFont="1" applyFill="1" applyBorder="1"/>
    <xf numFmtId="171" fontId="20" fillId="0" borderId="0" xfId="0" applyNumberFormat="1" applyFont="1"/>
    <xf numFmtId="0" fontId="25" fillId="0" borderId="0" xfId="0" applyFont="1"/>
    <xf numFmtId="43" fontId="25" fillId="0" borderId="0" xfId="0" applyNumberFormat="1" applyFont="1"/>
    <xf numFmtId="190" fontId="0" fillId="0" borderId="0" xfId="0" applyNumberFormat="1" applyFont="1"/>
    <xf numFmtId="0" fontId="32" fillId="0" borderId="0" xfId="0" applyFont="1"/>
    <xf numFmtId="0" fontId="30" fillId="0" borderId="0" xfId="0" applyFont="1"/>
    <xf numFmtId="171" fontId="20" fillId="0" borderId="0" xfId="0" applyNumberFormat="1" applyFont="1" applyFill="1"/>
    <xf numFmtId="0" fontId="33" fillId="0" borderId="0" xfId="0" applyFont="1"/>
    <xf numFmtId="0" fontId="24" fillId="0" borderId="0" xfId="0" applyFont="1"/>
    <xf numFmtId="0" fontId="34" fillId="0" borderId="0" xfId="0" applyFont="1" applyBorder="1" applyAlignment="1"/>
    <xf numFmtId="0" fontId="34" fillId="0" borderId="0" xfId="0" applyFont="1" applyBorder="1" applyAlignment="1">
      <alignment horizontal="center"/>
    </xf>
    <xf numFmtId="0" fontId="34" fillId="0" borderId="31" xfId="0" applyFont="1" applyBorder="1" applyAlignment="1">
      <alignment horizontal="center"/>
    </xf>
    <xf numFmtId="0" fontId="34" fillId="0" borderId="50" xfId="0" applyFont="1" applyBorder="1" applyAlignment="1">
      <alignment horizontal="center"/>
    </xf>
    <xf numFmtId="0" fontId="24" fillId="0" borderId="50" xfId="0" applyFont="1" applyBorder="1" applyAlignment="1">
      <alignment horizontal="center"/>
    </xf>
    <xf numFmtId="0" fontId="24" fillId="0" borderId="50" xfId="0" applyFont="1" applyBorder="1"/>
    <xf numFmtId="0" fontId="24" fillId="0" borderId="0" xfId="0" applyFont="1" applyAlignment="1">
      <alignment horizontal="center"/>
    </xf>
    <xf numFmtId="170" fontId="24" fillId="0" borderId="0" xfId="0" applyNumberFormat="1" applyFont="1"/>
    <xf numFmtId="190" fontId="24" fillId="0" borderId="0" xfId="0" applyNumberFormat="1" applyFont="1"/>
    <xf numFmtId="191" fontId="24" fillId="0" borderId="0" xfId="0" applyNumberFormat="1" applyFont="1"/>
    <xf numFmtId="166" fontId="24" fillId="0" borderId="0" xfId="0" applyNumberFormat="1" applyFont="1"/>
    <xf numFmtId="170" fontId="35" fillId="0" borderId="0" xfId="0" applyNumberFormat="1" applyFont="1"/>
    <xf numFmtId="170" fontId="35" fillId="0" borderId="0" xfId="0" applyNumberFormat="1" applyFont="1"/>
    <xf numFmtId="192" fontId="36" fillId="0" borderId="0" xfId="0" applyNumberFormat="1" applyFont="1"/>
    <xf numFmtId="191" fontId="37" fillId="3" borderId="0" xfId="0" applyNumberFormat="1" applyFont="1" applyFill="1"/>
    <xf numFmtId="170" fontId="24" fillId="0" borderId="0" xfId="0" applyNumberFormat="1" applyFont="1" applyFill="1"/>
    <xf numFmtId="0" fontId="38" fillId="0" borderId="0" xfId="0" applyFont="1"/>
    <xf numFmtId="0" fontId="36" fillId="0" borderId="0" xfId="0" applyFont="1"/>
    <xf numFmtId="0" fontId="25" fillId="0" borderId="0" xfId="0" applyFont="1" applyAlignment="1">
      <alignment horizontal="left"/>
    </xf>
    <xf numFmtId="170" fontId="38" fillId="0" borderId="0" xfId="0" applyNumberFormat="1" applyFont="1"/>
    <xf numFmtId="0" fontId="25" fillId="0" borderId="0" xfId="0" quotePrefix="1" applyFont="1"/>
    <xf numFmtId="170" fontId="16" fillId="0" borderId="0" xfId="0" applyNumberFormat="1" applyFont="1" applyFill="1"/>
    <xf numFmtId="170" fontId="16" fillId="0" borderId="45" xfId="0" applyNumberFormat="1" applyFont="1" applyFill="1" applyBorder="1"/>
    <xf numFmtId="190" fontId="24" fillId="0" borderId="0" xfId="0" applyNumberFormat="1" applyFont="1" applyFill="1"/>
    <xf numFmtId="170" fontId="24" fillId="0" borderId="21" xfId="0" applyNumberFormat="1" applyFont="1" applyFill="1" applyBorder="1"/>
    <xf numFmtId="170" fontId="24" fillId="0" borderId="0" xfId="0" applyNumberFormat="1" applyFont="1" applyFill="1" applyBorder="1"/>
    <xf numFmtId="170" fontId="24" fillId="0" borderId="22" xfId="0" applyNumberFormat="1" applyFont="1" applyFill="1" applyBorder="1"/>
    <xf numFmtId="0" fontId="2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178" fontId="4" fillId="0" borderId="31" xfId="0" applyNumberFormat="1" applyFont="1" applyBorder="1" applyAlignment="1">
      <alignment horizontal="center"/>
    </xf>
    <xf numFmtId="178" fontId="4" fillId="0" borderId="32" xfId="0" applyNumberFormat="1" applyFont="1" applyBorder="1" applyAlignment="1">
      <alignment horizontal="center"/>
    </xf>
    <xf numFmtId="0" fontId="34" fillId="0" borderId="45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4" fillId="0" borderId="31" xfId="0" applyFont="1" applyBorder="1" applyAlignment="1">
      <alignment horizontal="center"/>
    </xf>
    <xf numFmtId="3" fontId="17" fillId="4" borderId="25" xfId="0" applyNumberFormat="1" applyFont="1" applyFill="1" applyBorder="1"/>
    <xf numFmtId="3" fontId="17" fillId="4" borderId="26" xfId="0" applyNumberFormat="1" applyFont="1" applyFill="1" applyBorder="1"/>
    <xf numFmtId="3" fontId="0" fillId="4" borderId="27" xfId="0" applyNumberFormat="1" applyFill="1" applyBorder="1"/>
    <xf numFmtId="3" fontId="41" fillId="4" borderId="26" xfId="0" applyNumberFormat="1" applyFont="1" applyFill="1" applyBorder="1"/>
    <xf numFmtId="170" fontId="4" fillId="4" borderId="37" xfId="0" applyNumberFormat="1" applyFont="1" applyFill="1" applyBorder="1" applyAlignment="1">
      <alignment horizontal="left"/>
    </xf>
    <xf numFmtId="170" fontId="17" fillId="4" borderId="38" xfId="0" applyNumberFormat="1" applyFont="1" applyFill="1" applyBorder="1"/>
    <xf numFmtId="170" fontId="4" fillId="4" borderId="39" xfId="0" applyNumberFormat="1" applyFont="1" applyFill="1" applyBorder="1"/>
    <xf numFmtId="170" fontId="4" fillId="4" borderId="40" xfId="0" applyNumberFormat="1" applyFont="1" applyFill="1" applyBorder="1" applyAlignment="1">
      <alignment horizontal="left"/>
    </xf>
    <xf numFmtId="170" fontId="17" fillId="4" borderId="0" xfId="0" applyNumberFormat="1" applyFont="1" applyFill="1" applyBorder="1"/>
    <xf numFmtId="170" fontId="4" fillId="4" borderId="41" xfId="0" applyNumberFormat="1" applyFont="1" applyFill="1" applyBorder="1"/>
    <xf numFmtId="170" fontId="4" fillId="4" borderId="42" xfId="0" applyNumberFormat="1" applyFont="1" applyFill="1" applyBorder="1" applyAlignment="1">
      <alignment horizontal="left"/>
    </xf>
    <xf numFmtId="170" fontId="17" fillId="4" borderId="43" xfId="0" applyNumberFormat="1" applyFont="1" applyFill="1" applyBorder="1"/>
    <xf numFmtId="170" fontId="4" fillId="4" borderId="44" xfId="0" applyNumberFormat="1" applyFont="1" applyFill="1" applyBorder="1"/>
    <xf numFmtId="170" fontId="42" fillId="4" borderId="0" xfId="0" applyNumberFormat="1" applyFont="1" applyFill="1" applyBorder="1"/>
    <xf numFmtId="0" fontId="0" fillId="4" borderId="37" xfId="0" applyFill="1" applyBorder="1"/>
    <xf numFmtId="0" fontId="0" fillId="4" borderId="38" xfId="0" applyFill="1" applyBorder="1"/>
    <xf numFmtId="44" fontId="17" fillId="4" borderId="38" xfId="0" applyNumberFormat="1" applyFont="1" applyFill="1" applyBorder="1"/>
    <xf numFmtId="44" fontId="17" fillId="4" borderId="39" xfId="0" applyNumberFormat="1" applyFont="1" applyFill="1" applyBorder="1"/>
    <xf numFmtId="0" fontId="0" fillId="4" borderId="40" xfId="0" applyFill="1" applyBorder="1"/>
    <xf numFmtId="0" fontId="0" fillId="4" borderId="0" xfId="0" applyFill="1" applyBorder="1"/>
    <xf numFmtId="0" fontId="16" fillId="4" borderId="0" xfId="0" applyFont="1" applyFill="1" applyBorder="1"/>
    <xf numFmtId="0" fontId="16" fillId="4" borderId="41" xfId="0" applyFont="1" applyFill="1" applyBorder="1"/>
    <xf numFmtId="164" fontId="17" fillId="4" borderId="0" xfId="0" applyNumberFormat="1" applyFont="1" applyFill="1" applyBorder="1"/>
    <xf numFmtId="164" fontId="17" fillId="4" borderId="41" xfId="0" applyNumberFormat="1" applyFont="1" applyFill="1" applyBorder="1"/>
    <xf numFmtId="0" fontId="0" fillId="4" borderId="42" xfId="0" applyFill="1" applyBorder="1"/>
    <xf numFmtId="0" fontId="0" fillId="4" borderId="43" xfId="0" applyFill="1" applyBorder="1"/>
    <xf numFmtId="44" fontId="17" fillId="4" borderId="43" xfId="0" applyNumberFormat="1" applyFont="1" applyFill="1" applyBorder="1"/>
    <xf numFmtId="44" fontId="17" fillId="4" borderId="44" xfId="0" applyNumberFormat="1" applyFont="1" applyFill="1" applyBorder="1"/>
    <xf numFmtId="3" fontId="11" fillId="4" borderId="38" xfId="0" applyNumberFormat="1" applyFont="1" applyFill="1" applyBorder="1"/>
    <xf numFmtId="3" fontId="4" fillId="4" borderId="38" xfId="0" applyNumberFormat="1" applyFont="1" applyFill="1" applyBorder="1"/>
    <xf numFmtId="3" fontId="6" fillId="4" borderId="0" xfId="0" applyNumberFormat="1" applyFont="1" applyFill="1" applyBorder="1"/>
    <xf numFmtId="3" fontId="0" fillId="4" borderId="0" xfId="0" applyNumberFormat="1" applyFill="1" applyBorder="1"/>
    <xf numFmtId="3" fontId="16" fillId="4" borderId="0" xfId="0" applyNumberFormat="1" applyFont="1" applyFill="1" applyBorder="1"/>
    <xf numFmtId="3" fontId="4" fillId="4" borderId="43" xfId="0" applyNumberFormat="1" applyFont="1" applyFill="1" applyBorder="1"/>
    <xf numFmtId="3" fontId="0" fillId="4" borderId="43" xfId="0" applyNumberFormat="1" applyFill="1" applyBorder="1"/>
    <xf numFmtId="0" fontId="0" fillId="4" borderId="25" xfId="0" applyFill="1" applyBorder="1"/>
    <xf numFmtId="0" fontId="0" fillId="4" borderId="26" xfId="0" applyFill="1" applyBorder="1"/>
    <xf numFmtId="3" fontId="11" fillId="4" borderId="26" xfId="0" applyNumberFormat="1" applyFont="1" applyFill="1" applyBorder="1"/>
    <xf numFmtId="3" fontId="4" fillId="4" borderId="26" xfId="0" applyNumberFormat="1" applyFont="1" applyFill="1" applyBorder="1"/>
    <xf numFmtId="42" fontId="0" fillId="4" borderId="38" xfId="0" applyNumberFormat="1" applyFill="1" applyBorder="1"/>
    <xf numFmtId="42" fontId="0" fillId="4" borderId="0" xfId="0" applyNumberFormat="1" applyFill="1" applyBorder="1"/>
    <xf numFmtId="42" fontId="0" fillId="4" borderId="45" xfId="0" applyNumberFormat="1" applyFill="1" applyBorder="1"/>
    <xf numFmtId="42" fontId="0" fillId="4" borderId="43" xfId="0" applyNumberFormat="1" applyFill="1" applyBorder="1"/>
    <xf numFmtId="42" fontId="0" fillId="4" borderId="44" xfId="0" applyNumberFormat="1" applyFill="1" applyBorder="1"/>
    <xf numFmtId="42" fontId="0" fillId="4" borderId="39" xfId="0" applyNumberFormat="1" applyFill="1" applyBorder="1"/>
    <xf numFmtId="42" fontId="0" fillId="4" borderId="41" xfId="0" applyNumberFormat="1" applyFill="1" applyBorder="1"/>
    <xf numFmtId="42" fontId="0" fillId="4" borderId="46" xfId="0" applyNumberFormat="1" applyFill="1" applyBorder="1"/>
    <xf numFmtId="164" fontId="42" fillId="4" borderId="0" xfId="0" applyNumberFormat="1" applyFont="1" applyFill="1" applyBorder="1"/>
    <xf numFmtId="3" fontId="42" fillId="4" borderId="0" xfId="0" applyNumberFormat="1" applyFont="1" applyFill="1" applyBorder="1"/>
    <xf numFmtId="42" fontId="42" fillId="4" borderId="0" xfId="0" applyNumberFormat="1" applyFont="1" applyFill="1" applyBorder="1"/>
    <xf numFmtId="0" fontId="4" fillId="4" borderId="37" xfId="0" applyFont="1" applyFill="1" applyBorder="1"/>
    <xf numFmtId="0" fontId="4" fillId="4" borderId="38" xfId="0" applyFont="1" applyFill="1" applyBorder="1"/>
    <xf numFmtId="0" fontId="1" fillId="4" borderId="38" xfId="0" applyFont="1" applyFill="1" applyBorder="1" applyAlignment="1">
      <alignment horizontal="right"/>
    </xf>
    <xf numFmtId="189" fontId="4" fillId="4" borderId="38" xfId="0" applyNumberFormat="1" applyFont="1" applyFill="1" applyBorder="1"/>
    <xf numFmtId="189" fontId="4" fillId="4" borderId="39" xfId="0" applyNumberFormat="1" applyFont="1" applyFill="1" applyBorder="1"/>
    <xf numFmtId="0" fontId="4" fillId="4" borderId="40" xfId="0" applyFont="1" applyFill="1" applyBorder="1"/>
    <xf numFmtId="0" fontId="4" fillId="4" borderId="0" xfId="0" applyFont="1" applyFill="1" applyBorder="1"/>
    <xf numFmtId="0" fontId="4" fillId="4" borderId="0" xfId="0" applyFont="1" applyFill="1" applyBorder="1" applyAlignment="1">
      <alignment horizontal="right"/>
    </xf>
    <xf numFmtId="189" fontId="17" fillId="4" borderId="0" xfId="0" applyNumberFormat="1" applyFont="1" applyFill="1" applyBorder="1"/>
    <xf numFmtId="189" fontId="4" fillId="4" borderId="0" xfId="0" applyNumberFormat="1" applyFont="1" applyFill="1" applyBorder="1"/>
    <xf numFmtId="189" fontId="4" fillId="4" borderId="41" xfId="0" applyNumberFormat="1" applyFont="1" applyFill="1" applyBorder="1"/>
    <xf numFmtId="189" fontId="17" fillId="4" borderId="45" xfId="0" applyNumberFormat="1" applyFont="1" applyFill="1" applyBorder="1"/>
    <xf numFmtId="189" fontId="4" fillId="4" borderId="45" xfId="0" applyNumberFormat="1" applyFont="1" applyFill="1" applyBorder="1"/>
    <xf numFmtId="189" fontId="4" fillId="4" borderId="46" xfId="0" applyNumberFormat="1" applyFont="1" applyFill="1" applyBorder="1"/>
    <xf numFmtId="0" fontId="4" fillId="4" borderId="42" xfId="0" applyFont="1" applyFill="1" applyBorder="1"/>
    <xf numFmtId="0" fontId="4" fillId="4" borderId="43" xfId="0" applyFont="1" applyFill="1" applyBorder="1"/>
    <xf numFmtId="0" fontId="4" fillId="4" borderId="43" xfId="0" applyFont="1" applyFill="1" applyBorder="1" applyAlignment="1">
      <alignment horizontal="right"/>
    </xf>
    <xf numFmtId="189" fontId="4" fillId="4" borderId="43" xfId="0" applyNumberFormat="1" applyFont="1" applyFill="1" applyBorder="1"/>
    <xf numFmtId="189" fontId="4" fillId="4" borderId="44" xfId="0" applyNumberFormat="1" applyFont="1" applyFill="1" applyBorder="1"/>
    <xf numFmtId="189" fontId="42" fillId="4" borderId="0" xfId="0" applyNumberFormat="1" applyFont="1" applyFill="1" applyBorder="1"/>
    <xf numFmtId="0" fontId="5" fillId="2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8080"/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8.xml"/><Relationship Id="rId21" Type="http://schemas.openxmlformats.org/officeDocument/2006/relationships/externalLink" Target="externalLinks/externalLink3.xml"/><Relationship Id="rId42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29.xml"/><Relationship Id="rId63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50.xml"/><Relationship Id="rId84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19.xml"/><Relationship Id="rId53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40.xml"/><Relationship Id="rId74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61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5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3.xml"/><Relationship Id="rId72" Type="http://schemas.openxmlformats.org/officeDocument/2006/relationships/externalLink" Target="externalLinks/externalLink54.xml"/><Relationship Id="rId80" Type="http://schemas.openxmlformats.org/officeDocument/2006/relationships/theme" Target="theme/theme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49.xml"/><Relationship Id="rId20" Type="http://schemas.openxmlformats.org/officeDocument/2006/relationships/externalLink" Target="externalLinks/externalLink2.xml"/><Relationship Id="rId41" Type="http://schemas.openxmlformats.org/officeDocument/2006/relationships/externalLink" Target="externalLinks/externalLink23.xml"/><Relationship Id="rId54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44.xml"/><Relationship Id="rId70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57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39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3.xml"/><Relationship Id="rId44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34.xml"/><Relationship Id="rId60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55.xml"/><Relationship Id="rId78" Type="http://schemas.openxmlformats.org/officeDocument/2006/relationships/externalLink" Target="externalLinks/externalLink60.xml"/><Relationship Id="rId81" Type="http://schemas.openxmlformats.org/officeDocument/2006/relationships/styles" Target="styles.xml"/><Relationship Id="rId86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1.xml"/><Relationship Id="rId34" Type="http://schemas.openxmlformats.org/officeDocument/2006/relationships/externalLink" Target="externalLinks/externalLink16.xml"/><Relationship Id="rId50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37.xml"/><Relationship Id="rId76" Type="http://schemas.openxmlformats.org/officeDocument/2006/relationships/externalLink" Target="externalLinks/externalLink5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1.xml"/><Relationship Id="rId24" Type="http://schemas.openxmlformats.org/officeDocument/2006/relationships/externalLink" Target="externalLinks/externalLink6.xml"/><Relationship Id="rId40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27.xml"/><Relationship Id="rId66" Type="http://schemas.openxmlformats.org/officeDocument/2006/relationships/externalLink" Target="externalLinks/externalLink48.xml"/><Relationship Id="rId87" Type="http://schemas.openxmlformats.org/officeDocument/2006/relationships/customXml" Target="../customXml/item4.xml"/><Relationship Id="rId61" Type="http://schemas.openxmlformats.org/officeDocument/2006/relationships/externalLink" Target="externalLinks/externalLink43.xml"/><Relationship Id="rId8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Home\JDyer\Unbilled%20Reasonableness\04-2013%20Gas%20Reasonableness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Tax%20Reform%20Filing%202018\Filed%203-30-18\Linked\Cost%20Of%20Service\2017%20Gas%20COSS%20September%20TY_Complianc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Tax%20Reform%20Filing%202018/Filed%203-30-18/Linked/Cost%20Of%20Service/2017%20Gas%20COSS%20September%20TY_Complianc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st%20of%20Service\Revenue%20Reqt%20and%20Rate%20Base\May%2016%20235%20pm\Gas%20Rev%20Req%20Model%202011%20GRC%20Orig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D6"/>
  <sheetViews>
    <sheetView tabSelected="1" workbookViewId="0">
      <selection activeCell="A8" sqref="A8"/>
    </sheetView>
  </sheetViews>
  <sheetFormatPr defaultColWidth="9.140625" defaultRowHeight="12.75" x14ac:dyDescent="0.2"/>
  <cols>
    <col min="1" max="16384" width="9.140625" style="125"/>
  </cols>
  <sheetData>
    <row r="2" spans="1:4" ht="15.75" x14ac:dyDescent="0.25">
      <c r="A2" s="700" t="s">
        <v>591</v>
      </c>
    </row>
    <row r="3" spans="1:4" x14ac:dyDescent="0.2">
      <c r="A3" s="126"/>
    </row>
    <row r="4" spans="1:4" x14ac:dyDescent="0.2">
      <c r="D4" s="924" t="s">
        <v>601</v>
      </c>
    </row>
    <row r="5" spans="1:4" x14ac:dyDescent="0.2">
      <c r="A5" s="126"/>
    </row>
    <row r="6" spans="1:4" x14ac:dyDescent="0.2">
      <c r="A6" s="126"/>
    </row>
  </sheetData>
  <phoneticPr fontId="9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U100"/>
  <sheetViews>
    <sheetView zoomScaleNormal="100" workbookViewId="0">
      <selection activeCell="S44" sqref="S44"/>
    </sheetView>
  </sheetViews>
  <sheetFormatPr defaultRowHeight="12.75" x14ac:dyDescent="0.2"/>
  <cols>
    <col min="1" max="1" width="2" customWidth="1"/>
    <col min="2" max="2" width="1.42578125" customWidth="1"/>
    <col min="3" max="3" width="32" customWidth="1"/>
    <col min="4" max="4" width="12" bestFit="1" customWidth="1"/>
    <col min="5" max="5" width="10.140625" customWidth="1"/>
    <col min="6" max="17" width="10.85546875" customWidth="1"/>
    <col min="18" max="18" width="12" customWidth="1"/>
    <col min="19" max="19" width="14.5703125" style="50" bestFit="1" customWidth="1"/>
    <col min="20" max="20" width="14.5703125" bestFit="1" customWidth="1"/>
  </cols>
  <sheetData>
    <row r="1" spans="2:18" x14ac:dyDescent="0.2">
      <c r="B1" s="846" t="s">
        <v>1</v>
      </c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  <c r="Q1" s="846"/>
      <c r="R1" s="846"/>
    </row>
    <row r="2" spans="2:18" x14ac:dyDescent="0.2">
      <c r="B2" s="846" t="s">
        <v>397</v>
      </c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  <c r="Q2" s="846"/>
      <c r="R2" s="846"/>
    </row>
    <row r="3" spans="2:18" x14ac:dyDescent="0.2">
      <c r="B3" s="846" t="s">
        <v>544</v>
      </c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  <c r="Q3" s="846"/>
      <c r="R3" s="846"/>
    </row>
    <row r="4" spans="2:18" x14ac:dyDescent="0.2">
      <c r="B4" s="846" t="s">
        <v>542</v>
      </c>
      <c r="C4" s="846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  <c r="P4" s="846"/>
      <c r="Q4" s="846"/>
      <c r="R4" s="846"/>
    </row>
    <row r="5" spans="2:18" x14ac:dyDescent="0.2">
      <c r="R5" s="15"/>
    </row>
    <row r="6" spans="2:18" x14ac:dyDescent="0.2">
      <c r="D6" s="16" t="s">
        <v>4</v>
      </c>
      <c r="E6" s="16" t="s">
        <v>2</v>
      </c>
      <c r="F6" s="198">
        <v>42917</v>
      </c>
      <c r="G6" s="198">
        <f>EDATE(F6,1)</f>
        <v>42948</v>
      </c>
      <c r="H6" s="198">
        <f t="shared" ref="H6:Q6" si="0">EDATE(G6,1)</f>
        <v>42979</v>
      </c>
      <c r="I6" s="198">
        <f t="shared" si="0"/>
        <v>43009</v>
      </c>
      <c r="J6" s="198">
        <f t="shared" si="0"/>
        <v>43040</v>
      </c>
      <c r="K6" s="198">
        <f t="shared" si="0"/>
        <v>43070</v>
      </c>
      <c r="L6" s="198">
        <f t="shared" si="0"/>
        <v>43101</v>
      </c>
      <c r="M6" s="198">
        <f t="shared" si="0"/>
        <v>43132</v>
      </c>
      <c r="N6" s="198">
        <f t="shared" si="0"/>
        <v>43160</v>
      </c>
      <c r="O6" s="198">
        <f t="shared" si="0"/>
        <v>43191</v>
      </c>
      <c r="P6" s="198">
        <f t="shared" si="0"/>
        <v>43221</v>
      </c>
      <c r="Q6" s="198">
        <f t="shared" si="0"/>
        <v>43252</v>
      </c>
      <c r="R6" s="16" t="s">
        <v>113</v>
      </c>
    </row>
    <row r="7" spans="2:18" x14ac:dyDescent="0.2">
      <c r="B7" s="15" t="s">
        <v>35</v>
      </c>
    </row>
    <row r="8" spans="2:18" x14ac:dyDescent="0.2">
      <c r="B8" s="15" t="s">
        <v>7</v>
      </c>
    </row>
    <row r="9" spans="2:18" x14ac:dyDescent="0.2">
      <c r="B9" t="s">
        <v>36</v>
      </c>
      <c r="D9">
        <v>71</v>
      </c>
      <c r="E9" t="s">
        <v>5</v>
      </c>
      <c r="F9" s="130">
        <f>'Rate Design Rental'!$I$14</f>
        <v>7.37</v>
      </c>
      <c r="G9" s="130">
        <f>'Rate Design Rental'!$I$14</f>
        <v>7.37</v>
      </c>
      <c r="H9" s="130">
        <f>'Rate Design Rental'!$I$14</f>
        <v>7.37</v>
      </c>
      <c r="I9" s="130">
        <f>'Rate Design Rental'!$I$14</f>
        <v>7.37</v>
      </c>
      <c r="J9" s="130">
        <f>'Rate Design Rental'!$I$14</f>
        <v>7.37</v>
      </c>
      <c r="K9" s="130">
        <f>'Rate Design Rental'!$I$14</f>
        <v>7.37</v>
      </c>
      <c r="L9" s="130">
        <f>'Rate Design Rental'!$I$14</f>
        <v>7.37</v>
      </c>
      <c r="M9" s="130">
        <f>'Rate Design Rental'!$I$14</f>
        <v>7.37</v>
      </c>
      <c r="N9" s="130">
        <f>'Rate Design Rental'!$I$14</f>
        <v>7.37</v>
      </c>
      <c r="O9" s="130">
        <f>'Rate Design Rental'!$I$14</f>
        <v>7.37</v>
      </c>
      <c r="P9" s="130">
        <f>'Rate Design Rental'!$I$14</f>
        <v>7.37</v>
      </c>
      <c r="Q9" s="130">
        <f>'Rate Design Rental'!$I$14</f>
        <v>7.37</v>
      </c>
    </row>
    <row r="10" spans="2:18" x14ac:dyDescent="0.2">
      <c r="B10" t="s">
        <v>37</v>
      </c>
      <c r="D10">
        <v>71</v>
      </c>
      <c r="E10" t="s">
        <v>5</v>
      </c>
      <c r="F10" s="130">
        <f>'Rate Design Rental'!$I$15</f>
        <v>12.09</v>
      </c>
      <c r="G10" s="130">
        <f>'Rate Design Rental'!$I$15</f>
        <v>12.09</v>
      </c>
      <c r="H10" s="130">
        <f>'Rate Design Rental'!$I$15</f>
        <v>12.09</v>
      </c>
      <c r="I10" s="130">
        <f>'Rate Design Rental'!$I$15</f>
        <v>12.09</v>
      </c>
      <c r="J10" s="130">
        <f>'Rate Design Rental'!$I$15</f>
        <v>12.09</v>
      </c>
      <c r="K10" s="130">
        <f>'Rate Design Rental'!$I$15</f>
        <v>12.09</v>
      </c>
      <c r="L10" s="130">
        <f>'Rate Design Rental'!$I$15</f>
        <v>12.09</v>
      </c>
      <c r="M10" s="130">
        <f>'Rate Design Rental'!$I$15</f>
        <v>12.09</v>
      </c>
      <c r="N10" s="130">
        <f>'Rate Design Rental'!$I$15</f>
        <v>12.09</v>
      </c>
      <c r="O10" s="130">
        <f>'Rate Design Rental'!$I$15</f>
        <v>12.09</v>
      </c>
      <c r="P10" s="130">
        <f>'Rate Design Rental'!$I$15</f>
        <v>12.09</v>
      </c>
      <c r="Q10" s="130">
        <f>'Rate Design Rental'!$I$15</f>
        <v>12.09</v>
      </c>
    </row>
    <row r="11" spans="2:18" x14ac:dyDescent="0.2">
      <c r="B11" t="s">
        <v>38</v>
      </c>
      <c r="D11">
        <v>71</v>
      </c>
      <c r="E11" t="s">
        <v>5</v>
      </c>
      <c r="F11" s="130">
        <f>'Rate Design Rental'!$I$16</f>
        <v>17.149999999999999</v>
      </c>
      <c r="G11" s="130">
        <f>'Rate Design Rental'!$I$16</f>
        <v>17.149999999999999</v>
      </c>
      <c r="H11" s="130">
        <f>'Rate Design Rental'!$I$16</f>
        <v>17.149999999999999</v>
      </c>
      <c r="I11" s="130">
        <f>'Rate Design Rental'!$I$16</f>
        <v>17.149999999999999</v>
      </c>
      <c r="J11" s="130">
        <f>'Rate Design Rental'!$I$16</f>
        <v>17.149999999999999</v>
      </c>
      <c r="K11" s="130">
        <f>'Rate Design Rental'!$I$16</f>
        <v>17.149999999999999</v>
      </c>
      <c r="L11" s="130">
        <f>'Rate Design Rental'!$I$16</f>
        <v>17.149999999999999</v>
      </c>
      <c r="M11" s="130">
        <f>'Rate Design Rental'!$I$16</f>
        <v>17.149999999999999</v>
      </c>
      <c r="N11" s="130">
        <f>'Rate Design Rental'!$I$16</f>
        <v>17.149999999999999</v>
      </c>
      <c r="O11" s="130">
        <f>'Rate Design Rental'!$I$16</f>
        <v>17.149999999999999</v>
      </c>
      <c r="P11" s="130">
        <f>'Rate Design Rental'!$I$16</f>
        <v>17.149999999999999</v>
      </c>
      <c r="Q11" s="130">
        <f>'Rate Design Rental'!$I$16</f>
        <v>17.149999999999999</v>
      </c>
    </row>
    <row r="12" spans="2:18" x14ac:dyDescent="0.2">
      <c r="B12" t="s">
        <v>39</v>
      </c>
      <c r="D12">
        <v>71</v>
      </c>
      <c r="E12" t="s">
        <v>5</v>
      </c>
      <c r="F12" s="130">
        <f>'Rate Design Rental'!$I$17</f>
        <v>16.78</v>
      </c>
      <c r="G12" s="130">
        <f>'Rate Design Rental'!$I$17</f>
        <v>16.78</v>
      </c>
      <c r="H12" s="130">
        <f>'Rate Design Rental'!$I$17</f>
        <v>16.78</v>
      </c>
      <c r="I12" s="130">
        <f>'Rate Design Rental'!$I$17</f>
        <v>16.78</v>
      </c>
      <c r="J12" s="130">
        <f>'Rate Design Rental'!$I$17</f>
        <v>16.78</v>
      </c>
      <c r="K12" s="130">
        <f>'Rate Design Rental'!$I$17</f>
        <v>16.78</v>
      </c>
      <c r="L12" s="130">
        <f>'Rate Design Rental'!$I$17</f>
        <v>16.78</v>
      </c>
      <c r="M12" s="130">
        <f>'Rate Design Rental'!$I$17</f>
        <v>16.78</v>
      </c>
      <c r="N12" s="130">
        <f>'Rate Design Rental'!$I$17</f>
        <v>16.78</v>
      </c>
      <c r="O12" s="130">
        <f>'Rate Design Rental'!$I$17</f>
        <v>16.78</v>
      </c>
      <c r="P12" s="130">
        <f>'Rate Design Rental'!$I$17</f>
        <v>16.78</v>
      </c>
      <c r="Q12" s="130">
        <f>'Rate Design Rental'!$I$17</f>
        <v>16.78</v>
      </c>
    </row>
    <row r="13" spans="2:18" x14ac:dyDescent="0.2">
      <c r="B13" t="s">
        <v>40</v>
      </c>
      <c r="D13">
        <v>71</v>
      </c>
      <c r="E13" t="s">
        <v>5</v>
      </c>
      <c r="F13" s="130">
        <f>'Rate Design Rental'!$I$18</f>
        <v>5.83</v>
      </c>
      <c r="G13" s="130">
        <f>'Rate Design Rental'!$I$18</f>
        <v>5.83</v>
      </c>
      <c r="H13" s="130">
        <f>'Rate Design Rental'!$I$18</f>
        <v>5.83</v>
      </c>
      <c r="I13" s="130">
        <f>'Rate Design Rental'!$I$18</f>
        <v>5.83</v>
      </c>
      <c r="J13" s="130">
        <f>'Rate Design Rental'!$I$18</f>
        <v>5.83</v>
      </c>
      <c r="K13" s="130">
        <f>'Rate Design Rental'!$I$18</f>
        <v>5.83</v>
      </c>
      <c r="L13" s="130">
        <f>'Rate Design Rental'!$I$18</f>
        <v>5.83</v>
      </c>
      <c r="M13" s="130">
        <f>'Rate Design Rental'!$I$18</f>
        <v>5.83</v>
      </c>
      <c r="N13" s="130">
        <f>'Rate Design Rental'!$I$18</f>
        <v>5.83</v>
      </c>
      <c r="O13" s="130">
        <f>'Rate Design Rental'!$I$18</f>
        <v>5.83</v>
      </c>
      <c r="P13" s="130">
        <f>'Rate Design Rental'!$I$18</f>
        <v>5.83</v>
      </c>
      <c r="Q13" s="130">
        <f>'Rate Design Rental'!$I$18</f>
        <v>5.83</v>
      </c>
    </row>
    <row r="14" spans="2:18" x14ac:dyDescent="0.2">
      <c r="B14" t="s">
        <v>41</v>
      </c>
      <c r="D14">
        <v>71</v>
      </c>
      <c r="E14" t="s">
        <v>5</v>
      </c>
      <c r="F14" s="130">
        <f>'Rate Design Rental'!$I$19</f>
        <v>10.57</v>
      </c>
      <c r="G14" s="130">
        <f>'Rate Design Rental'!$I$19</f>
        <v>10.57</v>
      </c>
      <c r="H14" s="130">
        <f>'Rate Design Rental'!$I$19</f>
        <v>10.57</v>
      </c>
      <c r="I14" s="130">
        <f>'Rate Design Rental'!$I$19</f>
        <v>10.57</v>
      </c>
      <c r="J14" s="130">
        <f>'Rate Design Rental'!$I$19</f>
        <v>10.57</v>
      </c>
      <c r="K14" s="130">
        <f>'Rate Design Rental'!$I$19</f>
        <v>10.57</v>
      </c>
      <c r="L14" s="130">
        <f>'Rate Design Rental'!$I$19</f>
        <v>10.57</v>
      </c>
      <c r="M14" s="130">
        <f>'Rate Design Rental'!$I$19</f>
        <v>10.57</v>
      </c>
      <c r="N14" s="130">
        <f>'Rate Design Rental'!$I$19</f>
        <v>10.57</v>
      </c>
      <c r="O14" s="130">
        <f>'Rate Design Rental'!$I$19</f>
        <v>10.57</v>
      </c>
      <c r="P14" s="130">
        <f>'Rate Design Rental'!$I$19</f>
        <v>10.57</v>
      </c>
      <c r="Q14" s="130">
        <f>'Rate Design Rental'!$I$19</f>
        <v>10.57</v>
      </c>
    </row>
    <row r="16" spans="2:18" x14ac:dyDescent="0.2">
      <c r="B16" s="15" t="s">
        <v>8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</row>
    <row r="17" spans="2:19" s="30" customFormat="1" ht="12.75" customHeight="1" x14ac:dyDescent="0.25">
      <c r="B17" s="30" t="s">
        <v>36</v>
      </c>
      <c r="E17" s="30" t="s">
        <v>69</v>
      </c>
      <c r="F17" s="179">
        <v>1085.1554347826088</v>
      </c>
      <c r="G17" s="179">
        <v>1095.271739130435</v>
      </c>
      <c r="H17" s="179">
        <v>1028.8304347826088</v>
      </c>
      <c r="I17" s="179">
        <v>1064.2445652173913</v>
      </c>
      <c r="J17" s="179">
        <v>1017.1434782608695</v>
      </c>
      <c r="K17" s="179">
        <v>1055.2872204071375</v>
      </c>
      <c r="L17" s="180">
        <v>1033.7757225433525</v>
      </c>
      <c r="M17" s="180">
        <v>945.84508670520233</v>
      </c>
      <c r="N17" s="180">
        <v>1078.1606936416185</v>
      </c>
      <c r="O17" s="184">
        <v>1042.8161849710982</v>
      </c>
      <c r="P17" s="184">
        <v>1040.7661428529932</v>
      </c>
      <c r="Q17" s="184">
        <v>993.1683417085427</v>
      </c>
      <c r="R17" s="46">
        <f>SUM(F17:Q17)</f>
        <v>12480.465045003857</v>
      </c>
      <c r="S17" s="31"/>
    </row>
    <row r="18" spans="2:19" s="30" customFormat="1" ht="12.75" customHeight="1" x14ac:dyDescent="0.25">
      <c r="B18" s="30" t="s">
        <v>37</v>
      </c>
      <c r="E18" s="30" t="s">
        <v>69</v>
      </c>
      <c r="F18" s="179">
        <v>16915.187327823693</v>
      </c>
      <c r="G18" s="179">
        <v>17070.690082644629</v>
      </c>
      <c r="H18" s="179">
        <v>15992.024104683196</v>
      </c>
      <c r="I18" s="179">
        <v>16515.414600550965</v>
      </c>
      <c r="J18" s="179">
        <v>15789.394628099175</v>
      </c>
      <c r="K18" s="179">
        <v>16300.663356438283</v>
      </c>
      <c r="L18" s="180">
        <v>16099.599706744868</v>
      </c>
      <c r="M18" s="180">
        <v>14678.629765395894</v>
      </c>
      <c r="N18" s="180">
        <v>16673.274926686216</v>
      </c>
      <c r="O18" s="184">
        <v>16173.826246334309</v>
      </c>
      <c r="P18" s="184">
        <v>16233.312189514972</v>
      </c>
      <c r="Q18" s="184">
        <v>15464.36593059937</v>
      </c>
      <c r="R18" s="46">
        <f t="shared" ref="R18:R22" si="1">SUM(F18:Q18)</f>
        <v>193906.38286551557</v>
      </c>
      <c r="S18" s="31"/>
    </row>
    <row r="19" spans="2:19" s="30" customFormat="1" ht="12.75" customHeight="1" x14ac:dyDescent="0.25">
      <c r="B19" s="30" t="s">
        <v>38</v>
      </c>
      <c r="E19" s="30" t="s">
        <v>69</v>
      </c>
      <c r="F19" s="179">
        <v>3184.9822046465647</v>
      </c>
      <c r="G19" s="179">
        <v>3215.2130499258528</v>
      </c>
      <c r="H19" s="179">
        <v>3013.5971329708354</v>
      </c>
      <c r="I19" s="179">
        <v>3126.019278299555</v>
      </c>
      <c r="J19" s="179">
        <v>2994.2886801779532</v>
      </c>
      <c r="K19" s="179">
        <v>3076.9092630323239</v>
      </c>
      <c r="L19" s="180">
        <v>3042.6304691618343</v>
      </c>
      <c r="M19" s="180">
        <v>2777.3674222456516</v>
      </c>
      <c r="N19" s="180">
        <v>3147.1560358460729</v>
      </c>
      <c r="O19" s="184">
        <v>3059.9393779652087</v>
      </c>
      <c r="P19" s="184">
        <v>3081.7409925717875</v>
      </c>
      <c r="Q19" s="184">
        <v>2920.3404735062009</v>
      </c>
      <c r="R19" s="46">
        <f t="shared" si="1"/>
        <v>36640.184380349841</v>
      </c>
      <c r="S19" s="31"/>
    </row>
    <row r="20" spans="2:19" s="30" customFormat="1" ht="12.75" customHeight="1" x14ac:dyDescent="0.25">
      <c r="B20" s="30" t="s">
        <v>39</v>
      </c>
      <c r="E20" s="30" t="s">
        <v>69</v>
      </c>
      <c r="F20" s="179">
        <v>721.73548712771333</v>
      </c>
      <c r="G20" s="179">
        <v>728.75012619888957</v>
      </c>
      <c r="H20" s="179">
        <v>678.68854114083797</v>
      </c>
      <c r="I20" s="179">
        <v>699.89500252397784</v>
      </c>
      <c r="J20" s="179">
        <v>667.3508329126704</v>
      </c>
      <c r="K20" s="179">
        <v>682.6099353215418</v>
      </c>
      <c r="L20" s="180">
        <v>674.62560516406677</v>
      </c>
      <c r="M20" s="180">
        <v>614.99300699300693</v>
      </c>
      <c r="N20" s="180">
        <v>696.23776223776224</v>
      </c>
      <c r="O20" s="184">
        <v>677.99731038192579</v>
      </c>
      <c r="P20" s="184">
        <v>680.11525501202652</v>
      </c>
      <c r="Q20" s="184">
        <v>643.05814622913067</v>
      </c>
      <c r="R20" s="46">
        <f t="shared" si="1"/>
        <v>8166.0570112435507</v>
      </c>
      <c r="S20" s="31"/>
    </row>
    <row r="21" spans="2:19" s="30" customFormat="1" ht="12.75" customHeight="1" x14ac:dyDescent="0.25">
      <c r="B21" s="30" t="s">
        <v>40</v>
      </c>
      <c r="E21" s="30" t="s">
        <v>69</v>
      </c>
      <c r="F21" s="179">
        <v>3555.6702412868631</v>
      </c>
      <c r="G21" s="179">
        <v>3601.2573726541555</v>
      </c>
      <c r="H21" s="179">
        <v>3377.5321715817695</v>
      </c>
      <c r="I21" s="179">
        <v>3485.516085790885</v>
      </c>
      <c r="J21" s="179">
        <v>3339.225201072386</v>
      </c>
      <c r="K21" s="179">
        <v>3457.5811829758713</v>
      </c>
      <c r="L21" s="180">
        <v>3394.727272727273</v>
      </c>
      <c r="M21" s="180">
        <v>3098.9715909090905</v>
      </c>
      <c r="N21" s="180">
        <v>3524.9573863636365</v>
      </c>
      <c r="O21" s="184">
        <v>3416.990056818182</v>
      </c>
      <c r="P21" s="184">
        <v>3438.2039082412916</v>
      </c>
      <c r="Q21" s="184">
        <v>3278.5747663551401</v>
      </c>
      <c r="R21" s="46">
        <f t="shared" si="1"/>
        <v>40969.207236776536</v>
      </c>
      <c r="S21" s="31"/>
    </row>
    <row r="22" spans="2:19" s="30" customFormat="1" ht="12.75" customHeight="1" x14ac:dyDescent="0.25">
      <c r="B22" s="30" t="s">
        <v>41</v>
      </c>
      <c r="E22" s="30" t="s">
        <v>69</v>
      </c>
      <c r="F22" s="179">
        <v>208.73692427790789</v>
      </c>
      <c r="G22" s="179">
        <v>209.17252146760342</v>
      </c>
      <c r="H22" s="179">
        <v>195.65573770491801</v>
      </c>
      <c r="I22" s="179">
        <v>202.91100702576111</v>
      </c>
      <c r="J22" s="179">
        <v>192.7166276346604</v>
      </c>
      <c r="K22" s="179">
        <v>199.79105320227924</v>
      </c>
      <c r="L22" s="180">
        <v>196.22028262676645</v>
      </c>
      <c r="M22" s="180">
        <v>178.50623441396507</v>
      </c>
      <c r="N22" s="180">
        <v>203.99833748960933</v>
      </c>
      <c r="O22" s="184">
        <v>198.78802992518706</v>
      </c>
      <c r="P22" s="184">
        <v>200.35938156401113</v>
      </c>
      <c r="Q22" s="184">
        <v>191.64605734767025</v>
      </c>
      <c r="R22" s="46">
        <f t="shared" si="1"/>
        <v>2378.5021946803395</v>
      </c>
      <c r="S22" s="31"/>
    </row>
    <row r="23" spans="2:19" x14ac:dyDescent="0.2">
      <c r="B23" t="s">
        <v>42</v>
      </c>
      <c r="F23" s="39">
        <f t="shared" ref="F23:K23" si="2">SUM(F17:F22)</f>
        <v>25671.46761994535</v>
      </c>
      <c r="G23" s="39">
        <f t="shared" si="2"/>
        <v>25920.354892021569</v>
      </c>
      <c r="H23" s="39">
        <f t="shared" si="2"/>
        <v>24286.328122864164</v>
      </c>
      <c r="I23" s="39">
        <f t="shared" si="2"/>
        <v>25094.000539408535</v>
      </c>
      <c r="J23" s="39">
        <f t="shared" si="2"/>
        <v>24000.119448157715</v>
      </c>
      <c r="K23" s="39">
        <f t="shared" si="2"/>
        <v>24772.842011377441</v>
      </c>
      <c r="L23" s="39">
        <f>SUM(L17:L22)</f>
        <v>24441.579058968164</v>
      </c>
      <c r="M23" s="39">
        <f>SUM(M17:M22)</f>
        <v>22294.313106662808</v>
      </c>
      <c r="N23" s="39">
        <f>SUM(N17:N22)</f>
        <v>25323.785142264915</v>
      </c>
      <c r="O23" s="39">
        <f t="shared" ref="O23:Q23" si="3">SUM(O17:O22)</f>
        <v>24570.357206395911</v>
      </c>
      <c r="P23" s="39">
        <f t="shared" si="3"/>
        <v>24674.497869757084</v>
      </c>
      <c r="Q23" s="39">
        <f t="shared" si="3"/>
        <v>23491.153715746052</v>
      </c>
      <c r="R23" s="39">
        <f>SUM(R17:R22)</f>
        <v>294540.79873356968</v>
      </c>
    </row>
    <row r="25" spans="2:19" x14ac:dyDescent="0.2">
      <c r="B25" s="15" t="s">
        <v>9</v>
      </c>
    </row>
    <row r="26" spans="2:19" x14ac:dyDescent="0.2">
      <c r="B26" t="s">
        <v>36</v>
      </c>
      <c r="D26">
        <v>71</v>
      </c>
      <c r="F26" s="23">
        <f t="shared" ref="F26:K26" si="4">F9*F17</f>
        <v>7997.5955543478276</v>
      </c>
      <c r="G26" s="23">
        <f t="shared" si="4"/>
        <v>8072.1527173913055</v>
      </c>
      <c r="H26" s="23">
        <f t="shared" si="4"/>
        <v>7582.4803043478269</v>
      </c>
      <c r="I26" s="23">
        <f t="shared" si="4"/>
        <v>7843.4824456521737</v>
      </c>
      <c r="J26" s="23">
        <f t="shared" si="4"/>
        <v>7496.3474347826086</v>
      </c>
      <c r="K26" s="23">
        <f t="shared" si="4"/>
        <v>7777.4668144006037</v>
      </c>
      <c r="L26" s="23">
        <f t="shared" ref="L26:N31" si="5">L9*L17</f>
        <v>7618.9270751445074</v>
      </c>
      <c r="M26" s="23">
        <f t="shared" si="5"/>
        <v>6970.8782890173416</v>
      </c>
      <c r="N26" s="23">
        <f t="shared" si="5"/>
        <v>7946.0443121387289</v>
      </c>
      <c r="O26" s="23">
        <f t="shared" ref="O26:Q26" si="6">O9*O17</f>
        <v>7685.555283236994</v>
      </c>
      <c r="P26" s="23">
        <f t="shared" si="6"/>
        <v>7670.4464728265602</v>
      </c>
      <c r="Q26" s="23">
        <f t="shared" si="6"/>
        <v>7319.6506783919594</v>
      </c>
      <c r="R26" s="23">
        <f>SUM(F26:Q26)</f>
        <v>91981.027381678447</v>
      </c>
    </row>
    <row r="27" spans="2:19" x14ac:dyDescent="0.2">
      <c r="B27" t="s">
        <v>37</v>
      </c>
      <c r="D27">
        <v>71</v>
      </c>
      <c r="F27" s="23">
        <f t="shared" ref="F27:K27" si="7">F10*F18</f>
        <v>204504.61479338843</v>
      </c>
      <c r="G27" s="23">
        <f t="shared" si="7"/>
        <v>206384.64309917355</v>
      </c>
      <c r="H27" s="23">
        <f t="shared" si="7"/>
        <v>193343.57142561983</v>
      </c>
      <c r="I27" s="23">
        <f t="shared" si="7"/>
        <v>199671.36252066115</v>
      </c>
      <c r="J27" s="23">
        <f t="shared" si="7"/>
        <v>190893.78105371902</v>
      </c>
      <c r="K27" s="23">
        <f t="shared" si="7"/>
        <v>197075.01997933883</v>
      </c>
      <c r="L27" s="23">
        <f t="shared" si="5"/>
        <v>194644.16045454546</v>
      </c>
      <c r="M27" s="23">
        <f t="shared" si="5"/>
        <v>177464.63386363635</v>
      </c>
      <c r="N27" s="23">
        <f t="shared" si="5"/>
        <v>201579.89386363633</v>
      </c>
      <c r="O27" s="23">
        <f t="shared" ref="O27:Q27" si="8">O10*O18</f>
        <v>195541.5593181818</v>
      </c>
      <c r="P27" s="23">
        <f t="shared" si="8"/>
        <v>196260.74437123601</v>
      </c>
      <c r="Q27" s="23">
        <f t="shared" si="8"/>
        <v>186964.18410094638</v>
      </c>
      <c r="R27" s="23">
        <f t="shared" ref="R27:R31" si="9">SUM(F27:Q27)</f>
        <v>2344328.1688440829</v>
      </c>
    </row>
    <row r="28" spans="2:19" x14ac:dyDescent="0.2">
      <c r="B28" t="s">
        <v>38</v>
      </c>
      <c r="D28">
        <v>71</v>
      </c>
      <c r="F28" s="23">
        <f t="shared" ref="F28:K28" si="10">F11*F19</f>
        <v>54622.444809688583</v>
      </c>
      <c r="G28" s="23">
        <f t="shared" si="10"/>
        <v>55140.903806228373</v>
      </c>
      <c r="H28" s="23">
        <f t="shared" si="10"/>
        <v>51683.190830449821</v>
      </c>
      <c r="I28" s="23">
        <f t="shared" si="10"/>
        <v>53611.230622837364</v>
      </c>
      <c r="J28" s="23">
        <f t="shared" si="10"/>
        <v>51352.050865051897</v>
      </c>
      <c r="K28" s="23">
        <f t="shared" si="10"/>
        <v>52768.993861004354</v>
      </c>
      <c r="L28" s="23">
        <f t="shared" si="5"/>
        <v>52181.112546125456</v>
      </c>
      <c r="M28" s="23">
        <f t="shared" si="5"/>
        <v>47631.851291512918</v>
      </c>
      <c r="N28" s="23">
        <f t="shared" si="5"/>
        <v>53973.726014760148</v>
      </c>
      <c r="O28" s="23">
        <f t="shared" ref="O28:Q28" si="11">O11*O19</f>
        <v>52477.960332103321</v>
      </c>
      <c r="P28" s="23">
        <f t="shared" si="11"/>
        <v>52851.858022606153</v>
      </c>
      <c r="Q28" s="23">
        <f t="shared" si="11"/>
        <v>50083.839120631339</v>
      </c>
      <c r="R28" s="23">
        <f t="shared" si="9"/>
        <v>628379.16212299967</v>
      </c>
    </row>
    <row r="29" spans="2:19" x14ac:dyDescent="0.2">
      <c r="B29" t="s">
        <v>39</v>
      </c>
      <c r="D29">
        <v>71</v>
      </c>
      <c r="F29" s="23">
        <f t="shared" ref="F29:K29" si="12">F12*F20</f>
        <v>12110.72147400303</v>
      </c>
      <c r="G29" s="23">
        <f t="shared" si="12"/>
        <v>12228.427117617368</v>
      </c>
      <c r="H29" s="23">
        <f t="shared" si="12"/>
        <v>11388.393720343262</v>
      </c>
      <c r="I29" s="23">
        <f t="shared" si="12"/>
        <v>11744.238142352349</v>
      </c>
      <c r="J29" s="23">
        <f t="shared" si="12"/>
        <v>11198.146976274609</v>
      </c>
      <c r="K29" s="23">
        <f t="shared" si="12"/>
        <v>11454.194714695472</v>
      </c>
      <c r="L29" s="23">
        <f t="shared" si="5"/>
        <v>11320.217654653041</v>
      </c>
      <c r="M29" s="23">
        <f t="shared" si="5"/>
        <v>10319.582657342657</v>
      </c>
      <c r="N29" s="23">
        <f t="shared" si="5"/>
        <v>11682.86965034965</v>
      </c>
      <c r="O29" s="23">
        <f t="shared" ref="O29:Q29" si="13">O12*O20</f>
        <v>11376.794868208715</v>
      </c>
      <c r="P29" s="23">
        <f t="shared" si="13"/>
        <v>11412.333979101806</v>
      </c>
      <c r="Q29" s="23">
        <f t="shared" si="13"/>
        <v>10790.515693724814</v>
      </c>
      <c r="R29" s="23">
        <f t="shared" si="9"/>
        <v>137026.43664866677</v>
      </c>
    </row>
    <row r="30" spans="2:19" x14ac:dyDescent="0.2">
      <c r="B30" t="s">
        <v>40</v>
      </c>
      <c r="D30">
        <v>71</v>
      </c>
      <c r="F30" s="23">
        <f t="shared" ref="F30:K30" si="14">F13*F21</f>
        <v>20729.557506702411</v>
      </c>
      <c r="G30" s="23">
        <f t="shared" si="14"/>
        <v>20995.330482573725</v>
      </c>
      <c r="H30" s="23">
        <f t="shared" si="14"/>
        <v>19691.012560321717</v>
      </c>
      <c r="I30" s="23">
        <f t="shared" si="14"/>
        <v>20320.55878016086</v>
      </c>
      <c r="J30" s="23">
        <f t="shared" si="14"/>
        <v>19467.68292225201</v>
      </c>
      <c r="K30" s="23">
        <f t="shared" si="14"/>
        <v>20157.698296749331</v>
      </c>
      <c r="L30" s="23">
        <f t="shared" si="5"/>
        <v>19791.260000000002</v>
      </c>
      <c r="M30" s="23">
        <f t="shared" si="5"/>
        <v>18067.004374999997</v>
      </c>
      <c r="N30" s="23">
        <f t="shared" si="5"/>
        <v>20550.501562500001</v>
      </c>
      <c r="O30" s="23">
        <f t="shared" ref="O30:Q30" si="15">O13*O21</f>
        <v>19921.052031250001</v>
      </c>
      <c r="P30" s="23">
        <f t="shared" si="15"/>
        <v>20044.728785046729</v>
      </c>
      <c r="Q30" s="23">
        <f t="shared" si="15"/>
        <v>19114.090887850467</v>
      </c>
      <c r="R30" s="23">
        <f t="shared" si="9"/>
        <v>238850.47819040724</v>
      </c>
    </row>
    <row r="31" spans="2:19" x14ac:dyDescent="0.2">
      <c r="B31" t="s">
        <v>41</v>
      </c>
      <c r="D31">
        <v>71</v>
      </c>
      <c r="F31" s="23">
        <f t="shared" ref="F31:K31" si="16">F14*F22</f>
        <v>2206.3492896174866</v>
      </c>
      <c r="G31" s="23">
        <f t="shared" si="16"/>
        <v>2210.9535519125684</v>
      </c>
      <c r="H31" s="23">
        <f t="shared" si="16"/>
        <v>2068.0811475409832</v>
      </c>
      <c r="I31" s="23">
        <f t="shared" si="16"/>
        <v>2144.7693442622949</v>
      </c>
      <c r="J31" s="23">
        <f t="shared" si="16"/>
        <v>2037.0147540983605</v>
      </c>
      <c r="K31" s="23">
        <f t="shared" si="16"/>
        <v>2111.7914323480918</v>
      </c>
      <c r="L31" s="23">
        <f t="shared" si="5"/>
        <v>2074.0483873649214</v>
      </c>
      <c r="M31" s="23">
        <f t="shared" si="5"/>
        <v>1886.810897755611</v>
      </c>
      <c r="N31" s="23">
        <f t="shared" si="5"/>
        <v>2156.2624272651706</v>
      </c>
      <c r="O31" s="23">
        <f t="shared" ref="O31:Q31" si="17">O14*O22</f>
        <v>2101.1894763092273</v>
      </c>
      <c r="P31" s="23">
        <f t="shared" si="17"/>
        <v>2117.7986631315976</v>
      </c>
      <c r="Q31" s="23">
        <f t="shared" si="17"/>
        <v>2025.6988261648746</v>
      </c>
      <c r="R31" s="23">
        <f t="shared" si="9"/>
        <v>25140.768197771187</v>
      </c>
    </row>
    <row r="32" spans="2:19" x14ac:dyDescent="0.2">
      <c r="B32" t="s">
        <v>24</v>
      </c>
      <c r="F32" s="24">
        <f t="shared" ref="F32:K32" si="18">SUM(F26:F31)</f>
        <v>302171.28342774784</v>
      </c>
      <c r="G32" s="24">
        <f t="shared" si="18"/>
        <v>305032.41077489691</v>
      </c>
      <c r="H32" s="24">
        <f t="shared" si="18"/>
        <v>285756.72998862341</v>
      </c>
      <c r="I32" s="24">
        <f t="shared" si="18"/>
        <v>295335.64185592619</v>
      </c>
      <c r="J32" s="24">
        <f t="shared" si="18"/>
        <v>282445.02400617849</v>
      </c>
      <c r="K32" s="24">
        <f t="shared" si="18"/>
        <v>291345.16509853664</v>
      </c>
      <c r="L32" s="24">
        <f>SUM(L26:L31)</f>
        <v>287629.72611783346</v>
      </c>
      <c r="M32" s="24">
        <f>SUM(M26:M31)</f>
        <v>262340.76137426484</v>
      </c>
      <c r="N32" s="24">
        <f>SUM(N26:N31)</f>
        <v>297889.29783065006</v>
      </c>
      <c r="O32" s="24">
        <f t="shared" ref="O32:Q32" si="19">SUM(O26:O31)</f>
        <v>289104.11130929005</v>
      </c>
      <c r="P32" s="24">
        <f t="shared" si="19"/>
        <v>290357.91029394884</v>
      </c>
      <c r="Q32" s="24">
        <f t="shared" si="19"/>
        <v>276297.97930770984</v>
      </c>
      <c r="R32" s="24">
        <f>SUM(R26:R31)</f>
        <v>3465706.0413856064</v>
      </c>
    </row>
    <row r="33" spans="2:19" x14ac:dyDescent="0.2"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</row>
    <row r="34" spans="2:19" x14ac:dyDescent="0.2">
      <c r="B34" s="15" t="s">
        <v>43</v>
      </c>
    </row>
    <row r="35" spans="2:19" x14ac:dyDescent="0.2">
      <c r="B35" s="15" t="s">
        <v>7</v>
      </c>
    </row>
    <row r="36" spans="2:19" x14ac:dyDescent="0.2">
      <c r="B36" t="s">
        <v>44</v>
      </c>
      <c r="D36">
        <v>72</v>
      </c>
      <c r="E36" t="s">
        <v>5</v>
      </c>
      <c r="F36" s="130">
        <f>'Rate Design Rental'!$I$20</f>
        <v>14.9</v>
      </c>
      <c r="G36" s="130">
        <f>'Rate Design Rental'!$I$20</f>
        <v>14.9</v>
      </c>
      <c r="H36" s="130">
        <f>'Rate Design Rental'!$I$20</f>
        <v>14.9</v>
      </c>
      <c r="I36" s="130">
        <f>'Rate Design Rental'!$I$20</f>
        <v>14.9</v>
      </c>
      <c r="J36" s="130">
        <f>'Rate Design Rental'!$I$20</f>
        <v>14.9</v>
      </c>
      <c r="K36" s="130">
        <f>'Rate Design Rental'!$I$20</f>
        <v>14.9</v>
      </c>
      <c r="L36" s="130">
        <f>'Rate Design Rental'!$I$20</f>
        <v>14.9</v>
      </c>
      <c r="M36" s="130">
        <f>'Rate Design Rental'!$I$20</f>
        <v>14.9</v>
      </c>
      <c r="N36" s="130">
        <f>'Rate Design Rental'!$I$20</f>
        <v>14.9</v>
      </c>
      <c r="O36" s="130">
        <f>'Rate Design Rental'!$I$20</f>
        <v>14.9</v>
      </c>
      <c r="P36" s="130">
        <f>'Rate Design Rental'!$I$20</f>
        <v>14.9</v>
      </c>
      <c r="Q36" s="130">
        <f>'Rate Design Rental'!$I$20</f>
        <v>14.9</v>
      </c>
    </row>
    <row r="37" spans="2:19" x14ac:dyDescent="0.2">
      <c r="B37" t="s">
        <v>45</v>
      </c>
      <c r="D37">
        <v>72</v>
      </c>
      <c r="E37" t="s">
        <v>5</v>
      </c>
      <c r="F37" s="130">
        <f>'Rate Design Rental'!$I$21</f>
        <v>19.600000000000001</v>
      </c>
      <c r="G37" s="130">
        <f>'Rate Design Rental'!$I$21</f>
        <v>19.600000000000001</v>
      </c>
      <c r="H37" s="130">
        <f>'Rate Design Rental'!$I$21</f>
        <v>19.600000000000001</v>
      </c>
      <c r="I37" s="130">
        <f>'Rate Design Rental'!$I$21</f>
        <v>19.600000000000001</v>
      </c>
      <c r="J37" s="130">
        <f>'Rate Design Rental'!$I$21</f>
        <v>19.600000000000001</v>
      </c>
      <c r="K37" s="130">
        <f>'Rate Design Rental'!$I$21</f>
        <v>19.600000000000001</v>
      </c>
      <c r="L37" s="130">
        <f>'Rate Design Rental'!$I$21</f>
        <v>19.600000000000001</v>
      </c>
      <c r="M37" s="130">
        <f>'Rate Design Rental'!$I$21</f>
        <v>19.600000000000001</v>
      </c>
      <c r="N37" s="130">
        <f>'Rate Design Rental'!$I$21</f>
        <v>19.600000000000001</v>
      </c>
      <c r="O37" s="130">
        <f>'Rate Design Rental'!$I$21</f>
        <v>19.600000000000001</v>
      </c>
      <c r="P37" s="130">
        <f>'Rate Design Rental'!$I$21</f>
        <v>19.600000000000001</v>
      </c>
      <c r="Q37" s="130">
        <f>'Rate Design Rental'!$I$21</f>
        <v>19.600000000000001</v>
      </c>
    </row>
    <row r="38" spans="2:19" x14ac:dyDescent="0.2">
      <c r="B38" t="s">
        <v>46</v>
      </c>
      <c r="D38">
        <v>72</v>
      </c>
      <c r="E38" t="s">
        <v>5</v>
      </c>
      <c r="F38" s="130">
        <f>'Rate Design Rental'!$I$22</f>
        <v>19.600000000000001</v>
      </c>
      <c r="G38" s="130">
        <f>'Rate Design Rental'!$I$22</f>
        <v>19.600000000000001</v>
      </c>
      <c r="H38" s="130">
        <f>'Rate Design Rental'!$I$22</f>
        <v>19.600000000000001</v>
      </c>
      <c r="I38" s="130">
        <f>'Rate Design Rental'!$I$22</f>
        <v>19.600000000000001</v>
      </c>
      <c r="J38" s="130">
        <f>'Rate Design Rental'!$I$22</f>
        <v>19.600000000000001</v>
      </c>
      <c r="K38" s="130">
        <f>'Rate Design Rental'!$I$22</f>
        <v>19.600000000000001</v>
      </c>
      <c r="L38" s="130">
        <f>'Rate Design Rental'!$I$22</f>
        <v>19.600000000000001</v>
      </c>
      <c r="M38" s="130">
        <f>'Rate Design Rental'!$I$22</f>
        <v>19.600000000000001</v>
      </c>
      <c r="N38" s="130">
        <f>'Rate Design Rental'!$I$22</f>
        <v>19.600000000000001</v>
      </c>
      <c r="O38" s="130">
        <f>'Rate Design Rental'!$I$22</f>
        <v>19.600000000000001</v>
      </c>
      <c r="P38" s="130">
        <f>'Rate Design Rental'!$I$22</f>
        <v>19.600000000000001</v>
      </c>
      <c r="Q38" s="130">
        <f>'Rate Design Rental'!$I$22</f>
        <v>19.600000000000001</v>
      </c>
    </row>
    <row r="39" spans="2:19" x14ac:dyDescent="0.2">
      <c r="B39" t="s">
        <v>47</v>
      </c>
      <c r="D39">
        <v>72</v>
      </c>
      <c r="E39" t="s">
        <v>5</v>
      </c>
      <c r="F39" s="130">
        <f>'Rate Design Rental'!$I$23</f>
        <v>30.95</v>
      </c>
      <c r="G39" s="130">
        <f>'Rate Design Rental'!$I$23</f>
        <v>30.95</v>
      </c>
      <c r="H39" s="130">
        <f>'Rate Design Rental'!$I$23</f>
        <v>30.95</v>
      </c>
      <c r="I39" s="130">
        <f>'Rate Design Rental'!$I$23</f>
        <v>30.95</v>
      </c>
      <c r="J39" s="130">
        <f>'Rate Design Rental'!$I$23</f>
        <v>30.95</v>
      </c>
      <c r="K39" s="130">
        <f>'Rate Design Rental'!$I$23</f>
        <v>30.95</v>
      </c>
      <c r="L39" s="130">
        <f>'Rate Design Rental'!$I$23</f>
        <v>30.95</v>
      </c>
      <c r="M39" s="130">
        <f>'Rate Design Rental'!$I$23</f>
        <v>30.95</v>
      </c>
      <c r="N39" s="130">
        <f>'Rate Design Rental'!$I$23</f>
        <v>30.95</v>
      </c>
      <c r="O39" s="130">
        <f>'Rate Design Rental'!$I$23</f>
        <v>30.95</v>
      </c>
      <c r="P39" s="130">
        <f>'Rate Design Rental'!$I$23</f>
        <v>30.95</v>
      </c>
      <c r="Q39" s="130">
        <f>'Rate Design Rental'!$I$23</f>
        <v>30.95</v>
      </c>
    </row>
    <row r="40" spans="2:19" x14ac:dyDescent="0.2">
      <c r="B40" t="s">
        <v>48</v>
      </c>
      <c r="D40">
        <v>72</v>
      </c>
      <c r="E40" t="s">
        <v>5</v>
      </c>
      <c r="F40" s="130">
        <f>'Rate Design Rental'!$I$24</f>
        <v>40.51</v>
      </c>
      <c r="G40" s="130">
        <f>'Rate Design Rental'!$I$24</f>
        <v>40.51</v>
      </c>
      <c r="H40" s="130">
        <f>'Rate Design Rental'!$I$24</f>
        <v>40.51</v>
      </c>
      <c r="I40" s="130">
        <f>'Rate Design Rental'!$I$24</f>
        <v>40.51</v>
      </c>
      <c r="J40" s="130">
        <f>'Rate Design Rental'!$I$24</f>
        <v>40.51</v>
      </c>
      <c r="K40" s="130">
        <f>'Rate Design Rental'!$I$24</f>
        <v>40.51</v>
      </c>
      <c r="L40" s="130">
        <f>'Rate Design Rental'!$I$24</f>
        <v>40.51</v>
      </c>
      <c r="M40" s="130">
        <f>'Rate Design Rental'!$I$24</f>
        <v>40.51</v>
      </c>
      <c r="N40" s="130">
        <f>'Rate Design Rental'!$I$24</f>
        <v>40.51</v>
      </c>
      <c r="O40" s="130">
        <f>'Rate Design Rental'!$I$24</f>
        <v>40.51</v>
      </c>
      <c r="P40" s="130">
        <f>'Rate Design Rental'!$I$24</f>
        <v>40.51</v>
      </c>
      <c r="Q40" s="130">
        <f>'Rate Design Rental'!$I$24</f>
        <v>40.51</v>
      </c>
    </row>
    <row r="41" spans="2:19" x14ac:dyDescent="0.2">
      <c r="B41" t="s">
        <v>49</v>
      </c>
      <c r="D41">
        <v>72</v>
      </c>
      <c r="E41" t="s">
        <v>5</v>
      </c>
      <c r="F41" s="130">
        <f>'Rate Design Rental'!$I$25</f>
        <v>54.25</v>
      </c>
      <c r="G41" s="130">
        <f>'Rate Design Rental'!$I$25</f>
        <v>54.25</v>
      </c>
      <c r="H41" s="130">
        <f>'Rate Design Rental'!$I$25</f>
        <v>54.25</v>
      </c>
      <c r="I41" s="130">
        <f>'Rate Design Rental'!$I$25</f>
        <v>54.25</v>
      </c>
      <c r="J41" s="130">
        <f>'Rate Design Rental'!$I$25</f>
        <v>54.25</v>
      </c>
      <c r="K41" s="130">
        <f>'Rate Design Rental'!$I$25</f>
        <v>54.25</v>
      </c>
      <c r="L41" s="130">
        <f>'Rate Design Rental'!$I$25</f>
        <v>54.25</v>
      </c>
      <c r="M41" s="130">
        <f>'Rate Design Rental'!$I$25</f>
        <v>54.25</v>
      </c>
      <c r="N41" s="130">
        <f>'Rate Design Rental'!$I$25</f>
        <v>54.25</v>
      </c>
      <c r="O41" s="130">
        <f>'Rate Design Rental'!$I$25</f>
        <v>54.25</v>
      </c>
      <c r="P41" s="130">
        <f>'Rate Design Rental'!$I$25</f>
        <v>54.25</v>
      </c>
      <c r="Q41" s="130">
        <f>'Rate Design Rental'!$I$25</f>
        <v>54.25</v>
      </c>
    </row>
    <row r="42" spans="2:19" x14ac:dyDescent="0.2">
      <c r="B42" t="s">
        <v>50</v>
      </c>
      <c r="D42">
        <v>72</v>
      </c>
      <c r="E42" t="s">
        <v>5</v>
      </c>
      <c r="F42" s="130">
        <f>'Rate Design Rental'!$I$26</f>
        <v>63.09</v>
      </c>
      <c r="G42" s="130">
        <f>'Rate Design Rental'!$I$26</f>
        <v>63.09</v>
      </c>
      <c r="H42" s="130">
        <f>'Rate Design Rental'!$I$26</f>
        <v>63.09</v>
      </c>
      <c r="I42" s="130">
        <f>'Rate Design Rental'!$I$26</f>
        <v>63.09</v>
      </c>
      <c r="J42" s="130">
        <f>'Rate Design Rental'!$I$26</f>
        <v>63.09</v>
      </c>
      <c r="K42" s="130">
        <f>'Rate Design Rental'!$I$26</f>
        <v>63.09</v>
      </c>
      <c r="L42" s="130">
        <f>'Rate Design Rental'!$I$26</f>
        <v>63.09</v>
      </c>
      <c r="M42" s="130">
        <f>'Rate Design Rental'!$I$26</f>
        <v>63.09</v>
      </c>
      <c r="N42" s="130">
        <f>'Rate Design Rental'!$I$26</f>
        <v>63.09</v>
      </c>
      <c r="O42" s="130">
        <f>'Rate Design Rental'!$I$26</f>
        <v>63.09</v>
      </c>
      <c r="P42" s="130">
        <f>'Rate Design Rental'!$I$26</f>
        <v>63.09</v>
      </c>
      <c r="Q42" s="130">
        <f>'Rate Design Rental'!$I$26</f>
        <v>63.09</v>
      </c>
    </row>
    <row r="44" spans="2:19" x14ac:dyDescent="0.2">
      <c r="B44" s="15" t="s">
        <v>8</v>
      </c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</row>
    <row r="45" spans="2:19" s="30" customFormat="1" ht="12.75" customHeight="1" x14ac:dyDescent="0.25">
      <c r="B45" s="30" t="s">
        <v>44</v>
      </c>
      <c r="E45" s="30" t="s">
        <v>69</v>
      </c>
      <c r="F45" s="179">
        <v>119.81165158371041</v>
      </c>
      <c r="G45" s="179">
        <v>121.00339366515838</v>
      </c>
      <c r="H45" s="179">
        <v>115.11877828054298</v>
      </c>
      <c r="I45" s="179">
        <v>118.77205882352941</v>
      </c>
      <c r="J45" s="179">
        <v>111.72794117647058</v>
      </c>
      <c r="K45" s="179">
        <v>115.58367188160562</v>
      </c>
      <c r="L45" s="180">
        <v>114.13321277878241</v>
      </c>
      <c r="M45" s="180">
        <v>104.43821579264618</v>
      </c>
      <c r="N45" s="180">
        <v>119.22242314647379</v>
      </c>
      <c r="O45" s="184">
        <v>116.44665461121157</v>
      </c>
      <c r="P45" s="184">
        <v>116.83931767213754</v>
      </c>
      <c r="Q45" s="184">
        <v>112.28276307295029</v>
      </c>
      <c r="R45" s="46">
        <f>SUM(F45:Q45)</f>
        <v>1385.380082485219</v>
      </c>
      <c r="S45" s="31"/>
    </row>
    <row r="46" spans="2:19" s="30" customFormat="1" ht="12.75" customHeight="1" x14ac:dyDescent="0.25">
      <c r="B46" s="30" t="s">
        <v>45</v>
      </c>
      <c r="E46" s="30" t="s">
        <v>69</v>
      </c>
      <c r="F46" s="179">
        <v>89.358539765319421</v>
      </c>
      <c r="G46" s="179">
        <v>89.996523250760546</v>
      </c>
      <c r="H46" s="179">
        <v>85.253802694480655</v>
      </c>
      <c r="I46" s="179">
        <v>88.504997827031715</v>
      </c>
      <c r="J46" s="179">
        <v>84.224250325945235</v>
      </c>
      <c r="K46" s="179">
        <v>87.802691457049804</v>
      </c>
      <c r="L46" s="180">
        <v>87.45779220779221</v>
      </c>
      <c r="M46" s="180">
        <v>79.320500927643792</v>
      </c>
      <c r="N46" s="180">
        <v>89.946196660482386</v>
      </c>
      <c r="O46" s="184">
        <v>86.881725417439711</v>
      </c>
      <c r="P46" s="184">
        <v>85.684886895457893</v>
      </c>
      <c r="Q46" s="184">
        <v>83.126300148588399</v>
      </c>
      <c r="R46" s="46">
        <f t="shared" ref="R46:R51" si="20">SUM(F46:Q46)</f>
        <v>1037.5582075779919</v>
      </c>
      <c r="S46" s="31"/>
    </row>
    <row r="47" spans="2:19" s="30" customFormat="1" ht="12.75" customHeight="1" x14ac:dyDescent="0.25">
      <c r="B47" s="30" t="s">
        <v>46</v>
      </c>
      <c r="E47" s="30" t="s">
        <v>69</v>
      </c>
      <c r="F47" s="179">
        <v>241.72316384180789</v>
      </c>
      <c r="G47" s="179">
        <v>243.94654498044326</v>
      </c>
      <c r="H47" s="179">
        <v>230.81790525858321</v>
      </c>
      <c r="I47" s="179">
        <v>237.77183833116035</v>
      </c>
      <c r="J47" s="179">
        <v>226.77879182963929</v>
      </c>
      <c r="K47" s="179">
        <v>233.77839110042498</v>
      </c>
      <c r="L47" s="180">
        <v>232.46382189239333</v>
      </c>
      <c r="M47" s="180">
        <v>211.23423005565863</v>
      </c>
      <c r="N47" s="180">
        <v>236.86456400742117</v>
      </c>
      <c r="O47" s="184">
        <v>229.18877551020412</v>
      </c>
      <c r="P47" s="184">
        <v>230.01569091772868</v>
      </c>
      <c r="Q47" s="184">
        <v>217.35661218424963</v>
      </c>
      <c r="R47" s="46">
        <f t="shared" si="20"/>
        <v>2771.9403299097144</v>
      </c>
      <c r="S47" s="31"/>
    </row>
    <row r="48" spans="2:19" s="30" customFormat="1" ht="12.75" customHeight="1" x14ac:dyDescent="0.25">
      <c r="B48" s="30" t="s">
        <v>47</v>
      </c>
      <c r="E48" s="30" t="s">
        <v>69</v>
      </c>
      <c r="F48" s="179">
        <v>13.316568873987148</v>
      </c>
      <c r="G48" s="179">
        <v>13.436714165968148</v>
      </c>
      <c r="H48" s="179">
        <v>12.781782620843812</v>
      </c>
      <c r="I48" s="179">
        <v>13.176306230790724</v>
      </c>
      <c r="J48" s="179">
        <v>12.522771723945237</v>
      </c>
      <c r="K48" s="179">
        <v>13.209126172347609</v>
      </c>
      <c r="L48" s="180">
        <v>13.094542201014017</v>
      </c>
      <c r="M48" s="180">
        <v>11.847002684163435</v>
      </c>
      <c r="N48" s="180">
        <v>13.679391589621234</v>
      </c>
      <c r="O48" s="184">
        <v>13.234118699671935</v>
      </c>
      <c r="P48" s="184">
        <v>13.267633297091864</v>
      </c>
      <c r="Q48" s="184">
        <v>12.857641090678502</v>
      </c>
      <c r="R48" s="46">
        <f t="shared" si="20"/>
        <v>156.42359935012365</v>
      </c>
      <c r="S48" s="31"/>
    </row>
    <row r="49" spans="2:19" s="30" customFormat="1" ht="12.75" customHeight="1" x14ac:dyDescent="0.25">
      <c r="B49" s="30" t="s">
        <v>48</v>
      </c>
      <c r="E49" s="30" t="s">
        <v>69</v>
      </c>
      <c r="F49" s="179">
        <v>577.36504187245009</v>
      </c>
      <c r="G49" s="179">
        <v>581.67275069787411</v>
      </c>
      <c r="H49" s="179">
        <v>550.9944170066567</v>
      </c>
      <c r="I49" s="179">
        <v>564.87975091260466</v>
      </c>
      <c r="J49" s="179">
        <v>538.88490444492163</v>
      </c>
      <c r="K49" s="179">
        <v>560.78133148080269</v>
      </c>
      <c r="L49" s="180">
        <v>553.85946813388352</v>
      </c>
      <c r="M49" s="180">
        <v>503.65910132966536</v>
      </c>
      <c r="N49" s="180">
        <v>571.99426868408989</v>
      </c>
      <c r="O49" s="184">
        <v>555.40829894543788</v>
      </c>
      <c r="P49" s="184">
        <v>558.05272074351478</v>
      </c>
      <c r="Q49" s="184">
        <v>535.53892944038932</v>
      </c>
      <c r="R49" s="46">
        <f t="shared" si="20"/>
        <v>6653.0909836922901</v>
      </c>
      <c r="S49" s="31"/>
    </row>
    <row r="50" spans="2:19" s="30" customFormat="1" ht="12.75" customHeight="1" x14ac:dyDescent="0.25">
      <c r="B50" s="30" t="s">
        <v>49</v>
      </c>
      <c r="E50" s="30" t="s">
        <v>69</v>
      </c>
      <c r="F50" s="179">
        <v>389.67493556701032</v>
      </c>
      <c r="G50" s="179">
        <v>392.11082474226805</v>
      </c>
      <c r="H50" s="179">
        <v>369.97309922680415</v>
      </c>
      <c r="I50" s="179">
        <v>379.37113402061857</v>
      </c>
      <c r="J50" s="179">
        <v>363.68073453608247</v>
      </c>
      <c r="K50" s="179">
        <v>378.20374964850703</v>
      </c>
      <c r="L50" s="180">
        <v>373.6085011185682</v>
      </c>
      <c r="M50" s="180">
        <v>340.57683703321283</v>
      </c>
      <c r="N50" s="180">
        <v>386.75253828945102</v>
      </c>
      <c r="O50" s="184">
        <v>375.70108415074861</v>
      </c>
      <c r="P50" s="184">
        <v>378.61723041300604</v>
      </c>
      <c r="Q50" s="184">
        <v>364.7448942377826</v>
      </c>
      <c r="R50" s="46">
        <f t="shared" si="20"/>
        <v>4493.0155629840601</v>
      </c>
      <c r="S50" s="31"/>
    </row>
    <row r="51" spans="2:19" s="30" customFormat="1" ht="12.75" customHeight="1" x14ac:dyDescent="0.25">
      <c r="B51" s="30" t="s">
        <v>50</v>
      </c>
      <c r="E51" s="30" t="s">
        <v>69</v>
      </c>
      <c r="F51" s="179">
        <v>1116.8391394864677</v>
      </c>
      <c r="G51" s="179">
        <v>1128.0147120055519</v>
      </c>
      <c r="H51" s="179">
        <v>1066.6023594725884</v>
      </c>
      <c r="I51" s="179">
        <v>1094.7529493407355</v>
      </c>
      <c r="J51" s="179">
        <v>1047.997918112422</v>
      </c>
      <c r="K51" s="179">
        <v>1093.5556146960353</v>
      </c>
      <c r="L51" s="180">
        <v>1087.2295373665479</v>
      </c>
      <c r="M51" s="180">
        <v>986.3290332147094</v>
      </c>
      <c r="N51" s="180">
        <v>1124.0837781731911</v>
      </c>
      <c r="O51" s="184">
        <v>1088.1192170818506</v>
      </c>
      <c r="P51" s="184">
        <v>1093.9170118460033</v>
      </c>
      <c r="Q51" s="184">
        <v>1052.2836055276382</v>
      </c>
      <c r="R51" s="46">
        <f t="shared" si="20"/>
        <v>12979.72487632374</v>
      </c>
      <c r="S51" s="31"/>
    </row>
    <row r="52" spans="2:19" x14ac:dyDescent="0.2">
      <c r="B52" t="s">
        <v>42</v>
      </c>
      <c r="F52" s="39">
        <f t="shared" ref="F52:R52" si="21">SUM(F45:F51)</f>
        <v>2548.0890409907533</v>
      </c>
      <c r="G52" s="39">
        <f t="shared" si="21"/>
        <v>2570.1814635080245</v>
      </c>
      <c r="H52" s="39">
        <f t="shared" si="21"/>
        <v>2431.5421445604998</v>
      </c>
      <c r="I52" s="39">
        <f t="shared" si="21"/>
        <v>2497.2290354864708</v>
      </c>
      <c r="J52" s="39">
        <f t="shared" si="21"/>
        <v>2385.8173121494265</v>
      </c>
      <c r="K52" s="39">
        <f t="shared" si="21"/>
        <v>2482.9145764367731</v>
      </c>
      <c r="L52" s="39">
        <f t="shared" si="21"/>
        <v>2461.8468756989814</v>
      </c>
      <c r="M52" s="39">
        <f t="shared" si="21"/>
        <v>2237.4049210376998</v>
      </c>
      <c r="N52" s="39">
        <f t="shared" si="21"/>
        <v>2542.5431605507306</v>
      </c>
      <c r="O52" s="39">
        <f t="shared" si="21"/>
        <v>2464.9798744165646</v>
      </c>
      <c r="P52" s="39">
        <f t="shared" si="21"/>
        <v>2476.3944917849403</v>
      </c>
      <c r="Q52" s="39">
        <f t="shared" si="21"/>
        <v>2378.1907457022771</v>
      </c>
      <c r="R52" s="39">
        <f t="shared" si="21"/>
        <v>29477.133642323141</v>
      </c>
    </row>
    <row r="54" spans="2:19" x14ac:dyDescent="0.2">
      <c r="B54" s="15" t="s">
        <v>9</v>
      </c>
    </row>
    <row r="55" spans="2:19" x14ac:dyDescent="0.2">
      <c r="B55" t="s">
        <v>44</v>
      </c>
      <c r="D55">
        <v>72</v>
      </c>
      <c r="F55" s="23">
        <f t="shared" ref="F55:N55" si="22">F36*F45</f>
        <v>1785.1936085972852</v>
      </c>
      <c r="G55" s="23">
        <f t="shared" si="22"/>
        <v>1802.9505656108599</v>
      </c>
      <c r="H55" s="23">
        <f t="shared" si="22"/>
        <v>1715.2697963800904</v>
      </c>
      <c r="I55" s="23">
        <f t="shared" si="22"/>
        <v>1769.7036764705881</v>
      </c>
      <c r="J55" s="23">
        <f t="shared" si="22"/>
        <v>1664.7463235294117</v>
      </c>
      <c r="K55" s="23">
        <f t="shared" si="22"/>
        <v>1722.196711035924</v>
      </c>
      <c r="L55" s="23">
        <f t="shared" si="22"/>
        <v>1700.5848704038578</v>
      </c>
      <c r="M55" s="23">
        <f t="shared" si="22"/>
        <v>1556.1294153104282</v>
      </c>
      <c r="N55" s="23">
        <f t="shared" si="22"/>
        <v>1776.4141048824595</v>
      </c>
      <c r="O55" s="23">
        <f t="shared" ref="O55:Q55" si="23">O36*O45</f>
        <v>1735.0551537070523</v>
      </c>
      <c r="P55" s="23">
        <f t="shared" si="23"/>
        <v>1740.9058333148494</v>
      </c>
      <c r="Q55" s="23">
        <f t="shared" si="23"/>
        <v>1673.0131697869595</v>
      </c>
      <c r="R55" s="23">
        <f>SUM(F55:Q55)</f>
        <v>20642.163229029764</v>
      </c>
    </row>
    <row r="56" spans="2:19" x14ac:dyDescent="0.2">
      <c r="B56" t="s">
        <v>45</v>
      </c>
      <c r="D56">
        <v>72</v>
      </c>
      <c r="F56" s="23">
        <f t="shared" ref="F56:N56" si="24">F37*F46</f>
        <v>1751.4273794002609</v>
      </c>
      <c r="G56" s="23">
        <f t="shared" si="24"/>
        <v>1763.9318557149068</v>
      </c>
      <c r="H56" s="23">
        <f t="shared" si="24"/>
        <v>1670.9745328118211</v>
      </c>
      <c r="I56" s="23">
        <f t="shared" si="24"/>
        <v>1734.6979574098218</v>
      </c>
      <c r="J56" s="23">
        <f t="shared" si="24"/>
        <v>1650.7953063885268</v>
      </c>
      <c r="K56" s="23">
        <f t="shared" si="24"/>
        <v>1720.9327525581762</v>
      </c>
      <c r="L56" s="23">
        <f t="shared" si="24"/>
        <v>1714.1727272727273</v>
      </c>
      <c r="M56" s="23">
        <f t="shared" si="24"/>
        <v>1554.6818181818185</v>
      </c>
      <c r="N56" s="23">
        <f t="shared" si="24"/>
        <v>1762.9454545454548</v>
      </c>
      <c r="O56" s="23">
        <f t="shared" ref="O56:Q56" si="25">O37*O46</f>
        <v>1702.8818181818185</v>
      </c>
      <c r="P56" s="23">
        <f t="shared" si="25"/>
        <v>1679.4237831509749</v>
      </c>
      <c r="Q56" s="23">
        <f t="shared" si="25"/>
        <v>1629.2754829123328</v>
      </c>
      <c r="R56" s="23">
        <f t="shared" ref="R56:R61" si="26">SUM(F56:Q56)</f>
        <v>20336.140868528641</v>
      </c>
    </row>
    <row r="57" spans="2:19" x14ac:dyDescent="0.2">
      <c r="B57" t="s">
        <v>46</v>
      </c>
      <c r="D57">
        <v>72</v>
      </c>
      <c r="F57" s="23">
        <f t="shared" ref="F57:N57" si="27">F38*F47</f>
        <v>4737.7740112994352</v>
      </c>
      <c r="G57" s="23">
        <f t="shared" si="27"/>
        <v>4781.3522816166887</v>
      </c>
      <c r="H57" s="23">
        <f t="shared" si="27"/>
        <v>4524.030943068231</v>
      </c>
      <c r="I57" s="23">
        <f t="shared" si="27"/>
        <v>4660.3280312907436</v>
      </c>
      <c r="J57" s="23">
        <f t="shared" si="27"/>
        <v>4444.8643198609307</v>
      </c>
      <c r="K57" s="23">
        <f t="shared" si="27"/>
        <v>4582.0564655683302</v>
      </c>
      <c r="L57" s="23">
        <f t="shared" si="27"/>
        <v>4556.2909090909097</v>
      </c>
      <c r="M57" s="23">
        <f t="shared" si="27"/>
        <v>4140.1909090909094</v>
      </c>
      <c r="N57" s="23">
        <f t="shared" si="27"/>
        <v>4642.545454545455</v>
      </c>
      <c r="O57" s="23">
        <f t="shared" ref="O57:Q57" si="28">O38*O47</f>
        <v>4492.1000000000013</v>
      </c>
      <c r="P57" s="23">
        <f t="shared" si="28"/>
        <v>4508.3075419874822</v>
      </c>
      <c r="Q57" s="23">
        <f t="shared" si="28"/>
        <v>4260.1895988112929</v>
      </c>
      <c r="R57" s="23">
        <f t="shared" si="26"/>
        <v>54330.030466230412</v>
      </c>
    </row>
    <row r="58" spans="2:19" x14ac:dyDescent="0.2">
      <c r="B58" t="s">
        <v>47</v>
      </c>
      <c r="D58">
        <v>72</v>
      </c>
      <c r="F58" s="23">
        <f t="shared" ref="F58:N58" si="29">F39*F48</f>
        <v>412.14780664990224</v>
      </c>
      <c r="G58" s="23">
        <f t="shared" si="29"/>
        <v>415.86630343671419</v>
      </c>
      <c r="H58" s="23">
        <f t="shared" si="29"/>
        <v>395.59617211511596</v>
      </c>
      <c r="I58" s="23">
        <f t="shared" si="29"/>
        <v>407.80667784297287</v>
      </c>
      <c r="J58" s="23">
        <f t="shared" si="29"/>
        <v>387.57978485610505</v>
      </c>
      <c r="K58" s="23">
        <f t="shared" si="29"/>
        <v>408.82245503415851</v>
      </c>
      <c r="L58" s="23">
        <f t="shared" si="29"/>
        <v>405.27608112138381</v>
      </c>
      <c r="M58" s="23">
        <f t="shared" si="29"/>
        <v>366.6647330748583</v>
      </c>
      <c r="N58" s="23">
        <f t="shared" si="29"/>
        <v>423.37716969877721</v>
      </c>
      <c r="O58" s="23">
        <f t="shared" ref="O58:Q58" si="30">O39*O48</f>
        <v>409.5959737548464</v>
      </c>
      <c r="P58" s="23">
        <f t="shared" si="30"/>
        <v>410.63325054499319</v>
      </c>
      <c r="Q58" s="23">
        <f t="shared" si="30"/>
        <v>397.94399175649966</v>
      </c>
      <c r="R58" s="23">
        <f t="shared" si="26"/>
        <v>4841.310399886328</v>
      </c>
    </row>
    <row r="59" spans="2:19" x14ac:dyDescent="0.2">
      <c r="B59" t="s">
        <v>48</v>
      </c>
      <c r="D59">
        <v>72</v>
      </c>
      <c r="F59" s="23">
        <f t="shared" ref="F59:N59" si="31">F40*F49</f>
        <v>23389.057846252952</v>
      </c>
      <c r="G59" s="23">
        <f t="shared" si="31"/>
        <v>23563.563130770879</v>
      </c>
      <c r="H59" s="23">
        <f t="shared" si="31"/>
        <v>22320.783832939662</v>
      </c>
      <c r="I59" s="23">
        <f t="shared" si="31"/>
        <v>22883.278709469614</v>
      </c>
      <c r="J59" s="23">
        <f t="shared" si="31"/>
        <v>21830.227479063775</v>
      </c>
      <c r="K59" s="23">
        <f t="shared" si="31"/>
        <v>22717.251738287316</v>
      </c>
      <c r="L59" s="23">
        <f t="shared" si="31"/>
        <v>22436.847054103622</v>
      </c>
      <c r="M59" s="23">
        <f t="shared" si="31"/>
        <v>20403.230194864744</v>
      </c>
      <c r="N59" s="23">
        <f t="shared" si="31"/>
        <v>23171.48782439248</v>
      </c>
      <c r="O59" s="23">
        <f t="shared" ref="O59:Q59" si="32">O40*O49</f>
        <v>22499.590190279687</v>
      </c>
      <c r="P59" s="23">
        <f t="shared" si="32"/>
        <v>22606.715717319781</v>
      </c>
      <c r="Q59" s="23">
        <f t="shared" si="32"/>
        <v>21694.682031630171</v>
      </c>
      <c r="R59" s="23">
        <f t="shared" si="26"/>
        <v>269516.71574937465</v>
      </c>
    </row>
    <row r="60" spans="2:19" x14ac:dyDescent="0.2">
      <c r="B60" t="s">
        <v>49</v>
      </c>
      <c r="D60">
        <v>72</v>
      </c>
      <c r="F60" s="23">
        <f t="shared" ref="F60:N60" si="33">F41*F50</f>
        <v>21139.86525451031</v>
      </c>
      <c r="G60" s="23">
        <f t="shared" si="33"/>
        <v>21272.012242268043</v>
      </c>
      <c r="H60" s="23">
        <f t="shared" si="33"/>
        <v>20071.040633054126</v>
      </c>
      <c r="I60" s="23">
        <f t="shared" si="33"/>
        <v>20580.884020618556</v>
      </c>
      <c r="J60" s="23">
        <f t="shared" si="33"/>
        <v>19729.679848582473</v>
      </c>
      <c r="K60" s="23">
        <f t="shared" si="33"/>
        <v>20517.553418431507</v>
      </c>
      <c r="L60" s="23">
        <f t="shared" si="33"/>
        <v>20268.261185682324</v>
      </c>
      <c r="M60" s="23">
        <f t="shared" si="33"/>
        <v>18476.293409051796</v>
      </c>
      <c r="N60" s="23">
        <f t="shared" si="33"/>
        <v>20981.325202202719</v>
      </c>
      <c r="O60" s="23">
        <f t="shared" ref="O60:Q60" si="34">O41*O50</f>
        <v>20381.783815178111</v>
      </c>
      <c r="P60" s="23">
        <f t="shared" si="34"/>
        <v>20539.98474990558</v>
      </c>
      <c r="Q60" s="23">
        <f t="shared" si="34"/>
        <v>19787.410512399707</v>
      </c>
      <c r="R60" s="23">
        <f t="shared" si="26"/>
        <v>243746.09429188527</v>
      </c>
    </row>
    <row r="61" spans="2:19" x14ac:dyDescent="0.2">
      <c r="B61" t="s">
        <v>50</v>
      </c>
      <c r="D61">
        <v>72</v>
      </c>
      <c r="F61" s="23">
        <f t="shared" ref="F61:N61" si="35">F42*F51</f>
        <v>70461.38131020125</v>
      </c>
      <c r="G61" s="23">
        <f t="shared" si="35"/>
        <v>71166.448180430278</v>
      </c>
      <c r="H61" s="23">
        <f t="shared" si="35"/>
        <v>67291.942859125615</v>
      </c>
      <c r="I61" s="23">
        <f t="shared" si="35"/>
        <v>69067.963573907007</v>
      </c>
      <c r="J61" s="23">
        <f t="shared" si="35"/>
        <v>66118.188653712714</v>
      </c>
      <c r="K61" s="23">
        <f t="shared" si="35"/>
        <v>68992.423731172865</v>
      </c>
      <c r="L61" s="23">
        <f t="shared" si="35"/>
        <v>68593.311512455504</v>
      </c>
      <c r="M61" s="23">
        <f t="shared" si="35"/>
        <v>62227.498705516016</v>
      </c>
      <c r="N61" s="23">
        <f t="shared" si="35"/>
        <v>70918.44556494664</v>
      </c>
      <c r="O61" s="23">
        <f t="shared" ref="O61:Q61" si="36">O42*O51</f>
        <v>68649.441405693957</v>
      </c>
      <c r="P61" s="23">
        <f t="shared" si="36"/>
        <v>69015.224277364352</v>
      </c>
      <c r="Q61" s="23">
        <f t="shared" si="36"/>
        <v>66388.572672738694</v>
      </c>
      <c r="R61" s="23">
        <f t="shared" si="26"/>
        <v>818890.84244726493</v>
      </c>
    </row>
    <row r="62" spans="2:19" x14ac:dyDescent="0.2">
      <c r="B62" t="s">
        <v>24</v>
      </c>
      <c r="F62" s="24">
        <f t="shared" ref="F62:R62" si="37">SUM(F55:F61)</f>
        <v>123676.8472169114</v>
      </c>
      <c r="G62" s="24">
        <f t="shared" si="37"/>
        <v>124766.12455984837</v>
      </c>
      <c r="H62" s="24">
        <f t="shared" si="37"/>
        <v>117989.63876949466</v>
      </c>
      <c r="I62" s="24">
        <f t="shared" si="37"/>
        <v>121104.6626470093</v>
      </c>
      <c r="J62" s="24">
        <f t="shared" si="37"/>
        <v>115826.08171599393</v>
      </c>
      <c r="K62" s="24">
        <f t="shared" si="37"/>
        <v>120661.23727208827</v>
      </c>
      <c r="L62" s="24">
        <f t="shared" si="37"/>
        <v>119674.74434013033</v>
      </c>
      <c r="M62" s="24">
        <f t="shared" si="37"/>
        <v>108724.68918509057</v>
      </c>
      <c r="N62" s="24">
        <f t="shared" si="37"/>
        <v>123676.54077521399</v>
      </c>
      <c r="O62" s="24">
        <f t="shared" ref="O62:Q62" si="38">SUM(O55:O61)</f>
        <v>119870.44835679547</v>
      </c>
      <c r="P62" s="24">
        <f t="shared" si="38"/>
        <v>120501.19515358801</v>
      </c>
      <c r="Q62" s="24">
        <f t="shared" si="38"/>
        <v>115831.08746003566</v>
      </c>
      <c r="R62" s="24">
        <f t="shared" si="37"/>
        <v>1432303.2974522</v>
      </c>
    </row>
    <row r="63" spans="2:19" x14ac:dyDescent="0.2"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</row>
    <row r="64" spans="2:19" x14ac:dyDescent="0.2">
      <c r="B64" s="15" t="s">
        <v>51</v>
      </c>
    </row>
    <row r="65" spans="2:19" x14ac:dyDescent="0.2">
      <c r="B65" s="15" t="s">
        <v>7</v>
      </c>
    </row>
    <row r="66" spans="2:19" x14ac:dyDescent="0.2">
      <c r="B66" t="s">
        <v>52</v>
      </c>
      <c r="E66" t="s">
        <v>5</v>
      </c>
      <c r="F66" s="130">
        <f>'Rate Design Rental'!$I$27</f>
        <v>10.16</v>
      </c>
      <c r="G66" s="130">
        <f>'Rate Design Rental'!$I$27</f>
        <v>10.16</v>
      </c>
      <c r="H66" s="130">
        <f>'Rate Design Rental'!$I$27</f>
        <v>10.16</v>
      </c>
      <c r="I66" s="130">
        <f>'Rate Design Rental'!$I$27</f>
        <v>10.16</v>
      </c>
      <c r="J66" s="130">
        <f>'Rate Design Rental'!$I$27</f>
        <v>10.16</v>
      </c>
      <c r="K66" s="130">
        <f>'Rate Design Rental'!$I$27</f>
        <v>10.16</v>
      </c>
      <c r="L66" s="130">
        <f>'Rate Design Rental'!$I$27</f>
        <v>10.16</v>
      </c>
      <c r="M66" s="130">
        <f>'Rate Design Rental'!$I$27</f>
        <v>10.16</v>
      </c>
      <c r="N66" s="130">
        <f>'Rate Design Rental'!$I$27</f>
        <v>10.16</v>
      </c>
      <c r="O66" s="130">
        <f>'Rate Design Rental'!$I$27</f>
        <v>10.16</v>
      </c>
      <c r="P66" s="130">
        <f>'Rate Design Rental'!$I$27</f>
        <v>10.16</v>
      </c>
      <c r="Q66" s="130">
        <f>'Rate Design Rental'!$I$27</f>
        <v>10.16</v>
      </c>
      <c r="R66" s="19"/>
    </row>
    <row r="67" spans="2:19" x14ac:dyDescent="0.2">
      <c r="B67" t="s">
        <v>54</v>
      </c>
      <c r="E67" t="s">
        <v>5</v>
      </c>
      <c r="F67" s="130">
        <f>'Rate Design Rental'!$I$28</f>
        <v>27.71</v>
      </c>
      <c r="G67" s="130">
        <f>'Rate Design Rental'!$I$28</f>
        <v>27.71</v>
      </c>
      <c r="H67" s="130">
        <f>'Rate Design Rental'!$I$28</f>
        <v>27.71</v>
      </c>
      <c r="I67" s="130">
        <f>'Rate Design Rental'!$I$28</f>
        <v>27.71</v>
      </c>
      <c r="J67" s="130">
        <f>'Rate Design Rental'!$I$28</f>
        <v>27.71</v>
      </c>
      <c r="K67" s="130">
        <f>'Rate Design Rental'!$I$28</f>
        <v>27.71</v>
      </c>
      <c r="L67" s="130">
        <f>'Rate Design Rental'!$I$28</f>
        <v>27.71</v>
      </c>
      <c r="M67" s="130">
        <f>'Rate Design Rental'!$I$28</f>
        <v>27.71</v>
      </c>
      <c r="N67" s="130">
        <f>'Rate Design Rental'!$I$28</f>
        <v>27.71</v>
      </c>
      <c r="O67" s="130">
        <f>'Rate Design Rental'!$I$28</f>
        <v>27.71</v>
      </c>
      <c r="P67" s="130">
        <f>'Rate Design Rental'!$I$28</f>
        <v>27.71</v>
      </c>
      <c r="Q67" s="130">
        <f>'Rate Design Rental'!$I$28</f>
        <v>27.71</v>
      </c>
      <c r="R67" s="19"/>
    </row>
    <row r="68" spans="2:19" x14ac:dyDescent="0.2">
      <c r="B68" t="s">
        <v>55</v>
      </c>
      <c r="E68" t="s">
        <v>5</v>
      </c>
      <c r="F68" s="130">
        <f>'Rate Design Rental'!$I$29</f>
        <v>37.58</v>
      </c>
      <c r="G68" s="130">
        <f>'Rate Design Rental'!$I$29</f>
        <v>37.58</v>
      </c>
      <c r="H68" s="130">
        <f>'Rate Design Rental'!$I$29</f>
        <v>37.58</v>
      </c>
      <c r="I68" s="130">
        <f>'Rate Design Rental'!$I$29</f>
        <v>37.58</v>
      </c>
      <c r="J68" s="130">
        <f>'Rate Design Rental'!$I$29</f>
        <v>37.58</v>
      </c>
      <c r="K68" s="130">
        <f>'Rate Design Rental'!$I$29</f>
        <v>37.58</v>
      </c>
      <c r="L68" s="130">
        <f>'Rate Design Rental'!$I$29</f>
        <v>37.58</v>
      </c>
      <c r="M68" s="130">
        <f>'Rate Design Rental'!$I$29</f>
        <v>37.58</v>
      </c>
      <c r="N68" s="130">
        <f>'Rate Design Rental'!$I$29</f>
        <v>37.58</v>
      </c>
      <c r="O68" s="130">
        <f>'Rate Design Rental'!$I$29</f>
        <v>37.58</v>
      </c>
      <c r="P68" s="130">
        <f>'Rate Design Rental'!$I$29</f>
        <v>37.58</v>
      </c>
      <c r="Q68" s="130">
        <f>'Rate Design Rental'!$I$29</f>
        <v>37.58</v>
      </c>
      <c r="R68" s="19"/>
    </row>
    <row r="69" spans="2:19" x14ac:dyDescent="0.2">
      <c r="B69" t="s">
        <v>53</v>
      </c>
      <c r="E69" t="s">
        <v>5</v>
      </c>
      <c r="F69" s="130">
        <f>'Rate Design Rental'!$I$30</f>
        <v>15.51</v>
      </c>
      <c r="G69" s="130">
        <f>'Rate Design Rental'!$I$30</f>
        <v>15.51</v>
      </c>
      <c r="H69" s="130">
        <f>'Rate Design Rental'!$I$30</f>
        <v>15.51</v>
      </c>
      <c r="I69" s="130">
        <f>'Rate Design Rental'!$I$30</f>
        <v>15.51</v>
      </c>
      <c r="J69" s="130">
        <f>'Rate Design Rental'!$I$30</f>
        <v>15.51</v>
      </c>
      <c r="K69" s="130">
        <f>'Rate Design Rental'!$I$30</f>
        <v>15.51</v>
      </c>
      <c r="L69" s="130">
        <f>'Rate Design Rental'!$I$30</f>
        <v>15.51</v>
      </c>
      <c r="M69" s="130">
        <f>'Rate Design Rental'!$I$30</f>
        <v>15.51</v>
      </c>
      <c r="N69" s="130">
        <f>'Rate Design Rental'!$I$30</f>
        <v>15.51</v>
      </c>
      <c r="O69" s="130">
        <f>'Rate Design Rental'!$I$30</f>
        <v>15.51</v>
      </c>
      <c r="P69" s="130">
        <f>'Rate Design Rental'!$I$30</f>
        <v>15.51</v>
      </c>
      <c r="Q69" s="130">
        <f>'Rate Design Rental'!$I$30</f>
        <v>15.51</v>
      </c>
      <c r="R69" s="19"/>
    </row>
    <row r="70" spans="2:19" x14ac:dyDescent="0.2">
      <c r="F70" s="30"/>
      <c r="G70" s="30"/>
      <c r="H70" s="30"/>
      <c r="I70" s="30"/>
    </row>
    <row r="71" spans="2:19" x14ac:dyDescent="0.2">
      <c r="B71" s="15" t="s">
        <v>8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</row>
    <row r="72" spans="2:19" s="30" customFormat="1" ht="12.75" customHeight="1" x14ac:dyDescent="0.25">
      <c r="B72" s="30" t="s">
        <v>52</v>
      </c>
      <c r="E72" s="30" t="s">
        <v>68</v>
      </c>
      <c r="F72" s="179">
        <v>1052.3862348178138</v>
      </c>
      <c r="G72" s="179">
        <v>1055.6639676113361</v>
      </c>
      <c r="H72" s="179">
        <v>991.00161943319847</v>
      </c>
      <c r="I72" s="179">
        <v>1013.4566801619434</v>
      </c>
      <c r="J72" s="179">
        <v>969.88582995951424</v>
      </c>
      <c r="K72" s="179">
        <v>984.75416375820191</v>
      </c>
      <c r="L72" s="180">
        <v>973.20517241379321</v>
      </c>
      <c r="M72" s="180">
        <v>888.79224137931033</v>
      </c>
      <c r="N72" s="180">
        <v>1009.196551724138</v>
      </c>
      <c r="O72" s="184">
        <v>976.72241379310344</v>
      </c>
      <c r="P72" s="184">
        <v>979.85421010425034</v>
      </c>
      <c r="Q72" s="184">
        <v>931.993488372093</v>
      </c>
      <c r="R72" s="46">
        <f>SUM(F72:Q72)</f>
        <v>11826.912573528694</v>
      </c>
      <c r="S72" s="31"/>
    </row>
    <row r="73" spans="2:19" s="30" customFormat="1" ht="12.75" customHeight="1" x14ac:dyDescent="0.25">
      <c r="B73" s="30" t="s">
        <v>54</v>
      </c>
      <c r="E73" s="30" t="s">
        <v>68</v>
      </c>
      <c r="F73" s="179">
        <v>72.595208462974483</v>
      </c>
      <c r="G73" s="179">
        <v>73.464530180460486</v>
      </c>
      <c r="H73" s="179">
        <v>70.158058494088365</v>
      </c>
      <c r="I73" s="179">
        <v>71.00560049782203</v>
      </c>
      <c r="J73" s="179">
        <v>68.061294337274418</v>
      </c>
      <c r="K73" s="179">
        <v>70.558293480299909</v>
      </c>
      <c r="L73" s="180">
        <v>70.18658698539177</v>
      </c>
      <c r="M73" s="180">
        <v>64.407038512616197</v>
      </c>
      <c r="N73" s="180">
        <v>73.05511288180611</v>
      </c>
      <c r="O73" s="184">
        <v>71.342297476759626</v>
      </c>
      <c r="P73" s="184">
        <v>71.807372160357403</v>
      </c>
      <c r="Q73" s="184">
        <v>69.021554770318019</v>
      </c>
      <c r="R73" s="46">
        <f t="shared" ref="R73:R75" si="39">SUM(F73:Q73)</f>
        <v>845.66294824016904</v>
      </c>
      <c r="S73" s="31"/>
    </row>
    <row r="74" spans="2:19" s="30" customFormat="1" ht="12.75" customHeight="1" x14ac:dyDescent="0.25">
      <c r="B74" s="30" t="s">
        <v>55</v>
      </c>
      <c r="E74" s="30" t="s">
        <v>68</v>
      </c>
      <c r="F74" s="179">
        <v>46.607027276930189</v>
      </c>
      <c r="G74" s="179">
        <v>46.817845584835879</v>
      </c>
      <c r="H74" s="179">
        <v>44.730929264909847</v>
      </c>
      <c r="I74" s="179">
        <v>45.026121128062876</v>
      </c>
      <c r="J74" s="179">
        <v>43.791030975497002</v>
      </c>
      <c r="K74" s="179">
        <v>44.375569816437064</v>
      </c>
      <c r="L74" s="180">
        <v>44.235874660745125</v>
      </c>
      <c r="M74" s="180">
        <v>40.671107821366888</v>
      </c>
      <c r="N74" s="180">
        <v>45.754502837404395</v>
      </c>
      <c r="O74" s="184">
        <v>44.633851468048356</v>
      </c>
      <c r="P74" s="184">
        <v>45.26855857555713</v>
      </c>
      <c r="Q74" s="184">
        <v>43.597065758449041</v>
      </c>
      <c r="R74" s="46">
        <f t="shared" si="39"/>
        <v>535.50948516824371</v>
      </c>
      <c r="S74" s="31"/>
    </row>
    <row r="75" spans="2:19" s="30" customFormat="1" ht="12.75" customHeight="1" x14ac:dyDescent="0.25">
      <c r="B75" s="30" t="s">
        <v>53</v>
      </c>
      <c r="E75" s="30" t="s">
        <v>68</v>
      </c>
      <c r="F75" s="179">
        <v>1709.8026101141925</v>
      </c>
      <c r="G75" s="179">
        <v>1722.1386623164763</v>
      </c>
      <c r="H75" s="179">
        <v>1615.3442088091354</v>
      </c>
      <c r="I75" s="179">
        <v>1663.2131593257204</v>
      </c>
      <c r="J75" s="179">
        <v>1595.9869494290376</v>
      </c>
      <c r="K75" s="179">
        <v>1641.6552928103647</v>
      </c>
      <c r="L75" s="180">
        <v>1623.6892753623188</v>
      </c>
      <c r="M75" s="180">
        <v>1473.6950724637682</v>
      </c>
      <c r="N75" s="180">
        <v>1670.1843478260869</v>
      </c>
      <c r="O75" s="184">
        <v>1621.919420289855</v>
      </c>
      <c r="P75" s="184">
        <v>1626.9458385093164</v>
      </c>
      <c r="Q75" s="184">
        <v>1547.8161490683228</v>
      </c>
      <c r="R75" s="46">
        <f t="shared" si="39"/>
        <v>19512.390986324594</v>
      </c>
      <c r="S75" s="31"/>
    </row>
    <row r="76" spans="2:19" x14ac:dyDescent="0.2">
      <c r="B76" t="s">
        <v>42</v>
      </c>
      <c r="F76" s="39">
        <f t="shared" ref="F76:K76" si="40">SUM(F72:F75)</f>
        <v>2881.3910806719114</v>
      </c>
      <c r="G76" s="39">
        <f t="shared" si="40"/>
        <v>2898.0850056931085</v>
      </c>
      <c r="H76" s="39">
        <f t="shared" si="40"/>
        <v>2721.2348160013321</v>
      </c>
      <c r="I76" s="39">
        <f t="shared" si="40"/>
        <v>2792.7015611135485</v>
      </c>
      <c r="J76" s="39">
        <f t="shared" si="40"/>
        <v>2677.7251047013233</v>
      </c>
      <c r="K76" s="39">
        <f t="shared" si="40"/>
        <v>2741.3433198653038</v>
      </c>
      <c r="L76" s="39">
        <f>SUM(L72:L75)</f>
        <v>2711.316909422249</v>
      </c>
      <c r="M76" s="39">
        <f>SUM(M72:M75)</f>
        <v>2467.5654601770616</v>
      </c>
      <c r="N76" s="39">
        <f>SUM(N72:N75)</f>
        <v>2798.1905152694353</v>
      </c>
      <c r="O76" s="39">
        <f t="shared" ref="O76:Q76" si="41">SUM(O72:O75)</f>
        <v>2714.6179830277661</v>
      </c>
      <c r="P76" s="39">
        <f t="shared" si="41"/>
        <v>2723.875979349481</v>
      </c>
      <c r="Q76" s="39">
        <f t="shared" si="41"/>
        <v>2592.4282579691826</v>
      </c>
      <c r="R76" s="39">
        <f>SUM(R72:R75)</f>
        <v>32720.475993261702</v>
      </c>
    </row>
    <row r="78" spans="2:19" x14ac:dyDescent="0.2">
      <c r="B78" s="15" t="s">
        <v>9</v>
      </c>
    </row>
    <row r="79" spans="2:19" x14ac:dyDescent="0.2">
      <c r="B79" t="s">
        <v>52</v>
      </c>
      <c r="E79" t="s">
        <v>5</v>
      </c>
      <c r="F79" s="23">
        <f t="shared" ref="F79:K79" si="42">F66*F72</f>
        <v>10692.244145748989</v>
      </c>
      <c r="G79" s="23">
        <f t="shared" si="42"/>
        <v>10725.545910931176</v>
      </c>
      <c r="H79" s="23">
        <f t="shared" si="42"/>
        <v>10068.576453441297</v>
      </c>
      <c r="I79" s="23">
        <f t="shared" si="42"/>
        <v>10296.719870445346</v>
      </c>
      <c r="J79" s="23">
        <f t="shared" si="42"/>
        <v>9854.0400323886643</v>
      </c>
      <c r="K79" s="23">
        <f t="shared" si="42"/>
        <v>10005.102303783331</v>
      </c>
      <c r="L79" s="23">
        <f t="shared" ref="L79:N82" si="43">L66*L72</f>
        <v>9887.7645517241399</v>
      </c>
      <c r="M79" s="23">
        <f t="shared" si="43"/>
        <v>9030.1291724137936</v>
      </c>
      <c r="N79" s="23">
        <f t="shared" si="43"/>
        <v>10253.436965517241</v>
      </c>
      <c r="O79" s="23">
        <f t="shared" ref="O79:Q79" si="44">O66*O72</f>
        <v>9923.4997241379315</v>
      </c>
      <c r="P79" s="23">
        <f t="shared" si="44"/>
        <v>9955.318774659183</v>
      </c>
      <c r="Q79" s="23">
        <f t="shared" si="44"/>
        <v>9469.0538418604647</v>
      </c>
      <c r="R79" s="23">
        <f>SUM(F79:Q79)</f>
        <v>120161.43174705158</v>
      </c>
    </row>
    <row r="80" spans="2:19" x14ac:dyDescent="0.2">
      <c r="B80" t="s">
        <v>54</v>
      </c>
      <c r="E80" t="s">
        <v>5</v>
      </c>
      <c r="F80" s="23">
        <f t="shared" ref="F80:K80" si="45">F67*F73</f>
        <v>2011.613226509023</v>
      </c>
      <c r="G80" s="23">
        <f t="shared" si="45"/>
        <v>2035.70213130056</v>
      </c>
      <c r="H80" s="23">
        <f t="shared" si="45"/>
        <v>1944.0798008711886</v>
      </c>
      <c r="I80" s="23">
        <f t="shared" si="45"/>
        <v>1967.5651897946484</v>
      </c>
      <c r="J80" s="23">
        <f t="shared" si="45"/>
        <v>1885.9784660858743</v>
      </c>
      <c r="K80" s="23">
        <f t="shared" si="45"/>
        <v>1955.1703123391105</v>
      </c>
      <c r="L80" s="23">
        <f t="shared" si="43"/>
        <v>1944.8703253652061</v>
      </c>
      <c r="M80" s="23">
        <f t="shared" si="43"/>
        <v>1784.7190371845948</v>
      </c>
      <c r="N80" s="23">
        <f t="shared" si="43"/>
        <v>2024.3571779548474</v>
      </c>
      <c r="O80" s="23">
        <f t="shared" ref="O80:Q80" si="46">O67*O73</f>
        <v>1976.8950630810093</v>
      </c>
      <c r="P80" s="23">
        <f t="shared" si="46"/>
        <v>1989.7822825635037</v>
      </c>
      <c r="Q80" s="23">
        <f t="shared" si="46"/>
        <v>1912.5872826855123</v>
      </c>
      <c r="R80" s="23">
        <f t="shared" ref="R80:R82" si="47">SUM(F80:Q80)</f>
        <v>23433.32029573508</v>
      </c>
    </row>
    <row r="81" spans="2:20" x14ac:dyDescent="0.2">
      <c r="B81" t="s">
        <v>55</v>
      </c>
      <c r="E81" t="s">
        <v>5</v>
      </c>
      <c r="F81" s="23">
        <f t="shared" ref="F81:K81" si="48">F68*F74</f>
        <v>1751.4920850670364</v>
      </c>
      <c r="G81" s="23">
        <f t="shared" si="48"/>
        <v>1759.4146370781323</v>
      </c>
      <c r="H81" s="23">
        <f t="shared" si="48"/>
        <v>1680.988321775312</v>
      </c>
      <c r="I81" s="23">
        <f t="shared" si="48"/>
        <v>1692.0816319926028</v>
      </c>
      <c r="J81" s="23">
        <f t="shared" si="48"/>
        <v>1645.6669440591772</v>
      </c>
      <c r="K81" s="23">
        <f t="shared" si="48"/>
        <v>1667.6339137017048</v>
      </c>
      <c r="L81" s="23">
        <f t="shared" si="43"/>
        <v>1662.3841697508017</v>
      </c>
      <c r="M81" s="23">
        <f t="shared" si="43"/>
        <v>1528.4202319269675</v>
      </c>
      <c r="N81" s="23">
        <f t="shared" si="43"/>
        <v>1719.4542166296571</v>
      </c>
      <c r="O81" s="23">
        <f t="shared" ref="O81:Q81" si="49">O68*O74</f>
        <v>1677.3401381692572</v>
      </c>
      <c r="P81" s="23">
        <f t="shared" si="49"/>
        <v>1701.1924312694368</v>
      </c>
      <c r="Q81" s="23">
        <f t="shared" si="49"/>
        <v>1638.377731202515</v>
      </c>
      <c r="R81" s="23">
        <f t="shared" si="47"/>
        <v>20124.4464526226</v>
      </c>
    </row>
    <row r="82" spans="2:20" x14ac:dyDescent="0.2">
      <c r="B82" t="s">
        <v>53</v>
      </c>
      <c r="E82" t="s">
        <v>5</v>
      </c>
      <c r="F82" s="23">
        <f t="shared" ref="F82:K82" si="50">F69*F75</f>
        <v>26519.038482871125</v>
      </c>
      <c r="G82" s="23">
        <f t="shared" si="50"/>
        <v>26710.370652528545</v>
      </c>
      <c r="H82" s="23">
        <f t="shared" si="50"/>
        <v>25053.988678629688</v>
      </c>
      <c r="I82" s="23">
        <f t="shared" si="50"/>
        <v>25796.436101141924</v>
      </c>
      <c r="J82" s="23">
        <f t="shared" si="50"/>
        <v>24753.757585644373</v>
      </c>
      <c r="K82" s="23">
        <f t="shared" si="50"/>
        <v>25462.073591488755</v>
      </c>
      <c r="L82" s="23">
        <f t="shared" si="43"/>
        <v>25183.420660869564</v>
      </c>
      <c r="M82" s="23">
        <f t="shared" si="43"/>
        <v>22857.010573913045</v>
      </c>
      <c r="N82" s="23">
        <f t="shared" si="43"/>
        <v>25904.559234782606</v>
      </c>
      <c r="O82" s="23">
        <f t="shared" ref="O82:Q82" si="51">O69*O75</f>
        <v>25155.970208695649</v>
      </c>
      <c r="P82" s="23">
        <f t="shared" si="51"/>
        <v>25233.929955279498</v>
      </c>
      <c r="Q82" s="23">
        <f t="shared" si="51"/>
        <v>24006.628472049688</v>
      </c>
      <c r="R82" s="23">
        <f t="shared" si="47"/>
        <v>302637.18419789447</v>
      </c>
    </row>
    <row r="83" spans="2:20" x14ac:dyDescent="0.2">
      <c r="B83" t="s">
        <v>24</v>
      </c>
      <c r="F83" s="24">
        <f t="shared" ref="F83:K83" si="52">SUM(F79:F82)</f>
        <v>40974.387940196175</v>
      </c>
      <c r="G83" s="24">
        <f t="shared" si="52"/>
        <v>41231.033331838415</v>
      </c>
      <c r="H83" s="24">
        <f t="shared" si="52"/>
        <v>38747.633254717482</v>
      </c>
      <c r="I83" s="24">
        <f t="shared" si="52"/>
        <v>39752.802793374518</v>
      </c>
      <c r="J83" s="24">
        <f t="shared" si="52"/>
        <v>38139.443028178088</v>
      </c>
      <c r="K83" s="24">
        <f t="shared" si="52"/>
        <v>39089.980121312903</v>
      </c>
      <c r="L83" s="24">
        <f>SUM(L79:L82)</f>
        <v>38678.439707709709</v>
      </c>
      <c r="M83" s="24">
        <f>SUM(M79:M82)</f>
        <v>35200.279015438398</v>
      </c>
      <c r="N83" s="24">
        <f>SUM(N79:N82)</f>
        <v>39901.807594884354</v>
      </c>
      <c r="O83" s="24">
        <f t="shared" ref="O83:Q83" si="53">SUM(O79:O82)</f>
        <v>38733.705134083844</v>
      </c>
      <c r="P83" s="24">
        <f t="shared" si="53"/>
        <v>38880.223443771625</v>
      </c>
      <c r="Q83" s="24">
        <f t="shared" si="53"/>
        <v>37026.647327798179</v>
      </c>
      <c r="R83" s="24">
        <f>SUM(R79:R82)</f>
        <v>466356.38269330375</v>
      </c>
    </row>
    <row r="84" spans="2:20" x14ac:dyDescent="0.2"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</row>
    <row r="85" spans="2:20" x14ac:dyDescent="0.2">
      <c r="B85" s="15" t="s">
        <v>77</v>
      </c>
    </row>
    <row r="86" spans="2:20" x14ac:dyDescent="0.2">
      <c r="B86" s="15" t="s">
        <v>66</v>
      </c>
    </row>
    <row r="87" spans="2:20" x14ac:dyDescent="0.2">
      <c r="B87" t="s">
        <v>76</v>
      </c>
      <c r="D87">
        <v>71</v>
      </c>
      <c r="F87" s="22">
        <f t="shared" ref="F87:K87" si="54">F23</f>
        <v>25671.46761994535</v>
      </c>
      <c r="G87" s="22">
        <f t="shared" si="54"/>
        <v>25920.354892021569</v>
      </c>
      <c r="H87" s="22">
        <f t="shared" si="54"/>
        <v>24286.328122864164</v>
      </c>
      <c r="I87" s="22">
        <f t="shared" si="54"/>
        <v>25094.000539408535</v>
      </c>
      <c r="J87" s="22">
        <f t="shared" si="54"/>
        <v>24000.119448157715</v>
      </c>
      <c r="K87" s="22">
        <f t="shared" si="54"/>
        <v>24772.842011377441</v>
      </c>
      <c r="L87" s="22">
        <f>L23</f>
        <v>24441.579058968164</v>
      </c>
      <c r="M87" s="22">
        <f>M23</f>
        <v>22294.313106662808</v>
      </c>
      <c r="N87" s="22">
        <f>N23</f>
        <v>25323.785142264915</v>
      </c>
      <c r="O87" s="22">
        <f t="shared" ref="O87:Q87" si="55">O23</f>
        <v>24570.357206395911</v>
      </c>
      <c r="P87" s="22">
        <f t="shared" si="55"/>
        <v>24674.497869757084</v>
      </c>
      <c r="Q87" s="22">
        <f t="shared" si="55"/>
        <v>23491.153715746052</v>
      </c>
      <c r="R87" s="22">
        <f>R23</f>
        <v>294540.79873356968</v>
      </c>
    </row>
    <row r="88" spans="2:20" x14ac:dyDescent="0.2">
      <c r="B88" t="s">
        <v>78</v>
      </c>
      <c r="D88">
        <v>72</v>
      </c>
      <c r="F88" s="22">
        <f t="shared" ref="F88:K88" si="56">F52</f>
        <v>2548.0890409907533</v>
      </c>
      <c r="G88" s="22">
        <f t="shared" si="56"/>
        <v>2570.1814635080245</v>
      </c>
      <c r="H88" s="22">
        <f t="shared" si="56"/>
        <v>2431.5421445604998</v>
      </c>
      <c r="I88" s="22">
        <f t="shared" si="56"/>
        <v>2497.2290354864708</v>
      </c>
      <c r="J88" s="22">
        <f t="shared" si="56"/>
        <v>2385.8173121494265</v>
      </c>
      <c r="K88" s="22">
        <f t="shared" si="56"/>
        <v>2482.9145764367731</v>
      </c>
      <c r="L88" s="22">
        <f>L52</f>
        <v>2461.8468756989814</v>
      </c>
      <c r="M88" s="22">
        <f>M52</f>
        <v>2237.4049210376998</v>
      </c>
      <c r="N88" s="22">
        <f>N52</f>
        <v>2542.5431605507306</v>
      </c>
      <c r="O88" s="22">
        <f t="shared" ref="O88:Q88" si="57">O52</f>
        <v>2464.9798744165646</v>
      </c>
      <c r="P88" s="22">
        <f t="shared" si="57"/>
        <v>2476.3944917849403</v>
      </c>
      <c r="Q88" s="22">
        <f t="shared" si="57"/>
        <v>2378.1907457022771</v>
      </c>
      <c r="R88" s="22">
        <f>R52</f>
        <v>29477.133642323141</v>
      </c>
    </row>
    <row r="89" spans="2:20" x14ac:dyDescent="0.2">
      <c r="B89" t="s">
        <v>82</v>
      </c>
      <c r="D89">
        <v>74</v>
      </c>
      <c r="F89" s="22">
        <f t="shared" ref="F89:K89" si="58">F76</f>
        <v>2881.3910806719114</v>
      </c>
      <c r="G89" s="22">
        <f t="shared" si="58"/>
        <v>2898.0850056931085</v>
      </c>
      <c r="H89" s="22">
        <f t="shared" si="58"/>
        <v>2721.2348160013321</v>
      </c>
      <c r="I89" s="22">
        <f t="shared" si="58"/>
        <v>2792.7015611135485</v>
      </c>
      <c r="J89" s="22">
        <f t="shared" si="58"/>
        <v>2677.7251047013233</v>
      </c>
      <c r="K89" s="22">
        <f t="shared" si="58"/>
        <v>2741.3433198653038</v>
      </c>
      <c r="L89" s="22">
        <f>L76</f>
        <v>2711.316909422249</v>
      </c>
      <c r="M89" s="22">
        <f>M76</f>
        <v>2467.5654601770616</v>
      </c>
      <c r="N89" s="22">
        <f>N76</f>
        <v>2798.1905152694353</v>
      </c>
      <c r="O89" s="22">
        <f t="shared" ref="O89:Q89" si="59">O76</f>
        <v>2714.6179830277661</v>
      </c>
      <c r="P89" s="22">
        <f t="shared" si="59"/>
        <v>2723.875979349481</v>
      </c>
      <c r="Q89" s="22">
        <f t="shared" si="59"/>
        <v>2592.4282579691826</v>
      </c>
      <c r="R89" s="22">
        <f>R76</f>
        <v>32720.475993261702</v>
      </c>
    </row>
    <row r="90" spans="2:20" x14ac:dyDescent="0.2">
      <c r="B90" t="s">
        <v>83</v>
      </c>
      <c r="F90" s="39">
        <f t="shared" ref="F90:K90" si="60">SUM(F87:F89)</f>
        <v>31100.947741608015</v>
      </c>
      <c r="G90" s="39">
        <f t="shared" si="60"/>
        <v>31388.6213612227</v>
      </c>
      <c r="H90" s="39">
        <f t="shared" si="60"/>
        <v>29439.105083425995</v>
      </c>
      <c r="I90" s="39">
        <f t="shared" si="60"/>
        <v>30383.931136008556</v>
      </c>
      <c r="J90" s="39">
        <f t="shared" si="60"/>
        <v>29063.661865008464</v>
      </c>
      <c r="K90" s="39">
        <f t="shared" si="60"/>
        <v>29997.099907679516</v>
      </c>
      <c r="L90" s="39">
        <f>SUM(L87:L89)</f>
        <v>29614.742844089396</v>
      </c>
      <c r="M90" s="39">
        <f>SUM(M87:M89)</f>
        <v>26999.283487877572</v>
      </c>
      <c r="N90" s="39">
        <f>SUM(N87:N89)</f>
        <v>30664.518818085078</v>
      </c>
      <c r="O90" s="39">
        <f t="shared" ref="O90:Q90" si="61">SUM(O87:O89)</f>
        <v>29749.95506384024</v>
      </c>
      <c r="P90" s="39">
        <f t="shared" si="61"/>
        <v>29874.768340891504</v>
      </c>
      <c r="Q90" s="39">
        <f t="shared" si="61"/>
        <v>28461.772719417513</v>
      </c>
      <c r="R90" s="39">
        <f>SUM(R87:R89)</f>
        <v>356738.40836915455</v>
      </c>
    </row>
    <row r="92" spans="2:20" x14ac:dyDescent="0.2">
      <c r="B92" s="15" t="s">
        <v>70</v>
      </c>
    </row>
    <row r="93" spans="2:20" x14ac:dyDescent="0.2">
      <c r="B93" t="s">
        <v>76</v>
      </c>
      <c r="D93">
        <v>71</v>
      </c>
      <c r="E93" s="23"/>
      <c r="F93" s="23">
        <f t="shared" ref="F93:K93" si="62">F32</f>
        <v>302171.28342774784</v>
      </c>
      <c r="G93" s="23">
        <f t="shared" si="62"/>
        <v>305032.41077489691</v>
      </c>
      <c r="H93" s="23">
        <f t="shared" si="62"/>
        <v>285756.72998862341</v>
      </c>
      <c r="I93" s="23">
        <f t="shared" si="62"/>
        <v>295335.64185592619</v>
      </c>
      <c r="J93" s="23">
        <f t="shared" si="62"/>
        <v>282445.02400617849</v>
      </c>
      <c r="K93" s="23">
        <f t="shared" si="62"/>
        <v>291345.16509853664</v>
      </c>
      <c r="L93" s="23">
        <f>L32</f>
        <v>287629.72611783346</v>
      </c>
      <c r="M93" s="23">
        <f>M32</f>
        <v>262340.76137426484</v>
      </c>
      <c r="N93" s="23">
        <f>N32</f>
        <v>297889.29783065006</v>
      </c>
      <c r="O93" s="23">
        <f t="shared" ref="O93:Q93" si="63">O32</f>
        <v>289104.11130929005</v>
      </c>
      <c r="P93" s="23">
        <f t="shared" si="63"/>
        <v>290357.91029394884</v>
      </c>
      <c r="Q93" s="23">
        <f t="shared" si="63"/>
        <v>276297.97930770984</v>
      </c>
      <c r="R93" s="23">
        <f>SUM(F93:Q93)</f>
        <v>3465706.0413856069</v>
      </c>
      <c r="S93" s="40"/>
      <c r="T93" s="23"/>
    </row>
    <row r="94" spans="2:20" x14ac:dyDescent="0.2">
      <c r="B94" t="s">
        <v>78</v>
      </c>
      <c r="D94">
        <v>72</v>
      </c>
      <c r="E94" s="23"/>
      <c r="F94" s="23">
        <f t="shared" ref="F94:K94" si="64">F62</f>
        <v>123676.8472169114</v>
      </c>
      <c r="G94" s="23">
        <f t="shared" si="64"/>
        <v>124766.12455984837</v>
      </c>
      <c r="H94" s="23">
        <f t="shared" si="64"/>
        <v>117989.63876949466</v>
      </c>
      <c r="I94" s="23">
        <f t="shared" si="64"/>
        <v>121104.6626470093</v>
      </c>
      <c r="J94" s="23">
        <f t="shared" si="64"/>
        <v>115826.08171599393</v>
      </c>
      <c r="K94" s="23">
        <f t="shared" si="64"/>
        <v>120661.23727208827</v>
      </c>
      <c r="L94" s="23">
        <f>L62</f>
        <v>119674.74434013033</v>
      </c>
      <c r="M94" s="23">
        <f>M62</f>
        <v>108724.68918509057</v>
      </c>
      <c r="N94" s="23">
        <f>N62</f>
        <v>123676.54077521399</v>
      </c>
      <c r="O94" s="23">
        <f t="shared" ref="O94:Q94" si="65">O62</f>
        <v>119870.44835679547</v>
      </c>
      <c r="P94" s="23">
        <f t="shared" si="65"/>
        <v>120501.19515358801</v>
      </c>
      <c r="Q94" s="23">
        <f t="shared" si="65"/>
        <v>115831.08746003566</v>
      </c>
      <c r="R94" s="23">
        <f t="shared" ref="R94:R95" si="66">SUM(F94:Q94)</f>
        <v>1432303.2974522</v>
      </c>
      <c r="S94" s="40"/>
      <c r="T94" s="23"/>
    </row>
    <row r="95" spans="2:20" x14ac:dyDescent="0.2">
      <c r="B95" t="s">
        <v>79</v>
      </c>
      <c r="D95">
        <v>74</v>
      </c>
      <c r="E95" s="23"/>
      <c r="F95" s="23">
        <f t="shared" ref="F95:K95" si="67">F83</f>
        <v>40974.387940196175</v>
      </c>
      <c r="G95" s="23">
        <f t="shared" si="67"/>
        <v>41231.033331838415</v>
      </c>
      <c r="H95" s="23">
        <f t="shared" si="67"/>
        <v>38747.633254717482</v>
      </c>
      <c r="I95" s="23">
        <f t="shared" si="67"/>
        <v>39752.802793374518</v>
      </c>
      <c r="J95" s="23">
        <f t="shared" si="67"/>
        <v>38139.443028178088</v>
      </c>
      <c r="K95" s="23">
        <f t="shared" si="67"/>
        <v>39089.980121312903</v>
      </c>
      <c r="L95" s="23">
        <f>L83</f>
        <v>38678.439707709709</v>
      </c>
      <c r="M95" s="23">
        <f>M83</f>
        <v>35200.279015438398</v>
      </c>
      <c r="N95" s="23">
        <f>N83</f>
        <v>39901.807594884354</v>
      </c>
      <c r="O95" s="23">
        <f t="shared" ref="O95:Q95" si="68">O83</f>
        <v>38733.705134083844</v>
      </c>
      <c r="P95" s="23">
        <f t="shared" si="68"/>
        <v>38880.223443771625</v>
      </c>
      <c r="Q95" s="23">
        <f t="shared" si="68"/>
        <v>37026.647327798179</v>
      </c>
      <c r="R95" s="23">
        <f t="shared" si="66"/>
        <v>466356.38269330375</v>
      </c>
      <c r="S95" s="40"/>
      <c r="T95" s="23"/>
    </row>
    <row r="96" spans="2:20" x14ac:dyDescent="0.2">
      <c r="B96" t="s">
        <v>80</v>
      </c>
      <c r="E96" s="40"/>
      <c r="F96" s="24">
        <f t="shared" ref="F96:K96" si="69">SUM(F93:F95)</f>
        <v>466822.51858485537</v>
      </c>
      <c r="G96" s="24">
        <f t="shared" si="69"/>
        <v>471029.56866658374</v>
      </c>
      <c r="H96" s="24">
        <f t="shared" si="69"/>
        <v>442494.00201283558</v>
      </c>
      <c r="I96" s="24">
        <f t="shared" si="69"/>
        <v>456193.10729631002</v>
      </c>
      <c r="J96" s="24">
        <f t="shared" si="69"/>
        <v>436410.54875035048</v>
      </c>
      <c r="K96" s="24">
        <f t="shared" si="69"/>
        <v>451096.38249193784</v>
      </c>
      <c r="L96" s="24">
        <f>SUM(L93:L95)</f>
        <v>445982.91016567347</v>
      </c>
      <c r="M96" s="24">
        <f>SUM(M93:M95)</f>
        <v>406265.72957479383</v>
      </c>
      <c r="N96" s="24">
        <f>SUM(N93:N95)</f>
        <v>461467.64620074839</v>
      </c>
      <c r="O96" s="24">
        <f t="shared" ref="O96:Q96" si="70">SUM(O93:O95)</f>
        <v>447708.26480016939</v>
      </c>
      <c r="P96" s="24">
        <f t="shared" si="70"/>
        <v>449739.32889130851</v>
      </c>
      <c r="Q96" s="24">
        <f t="shared" si="70"/>
        <v>429155.71409554372</v>
      </c>
      <c r="R96" s="24">
        <f>SUM(R93:R95)</f>
        <v>5364365.7215311108</v>
      </c>
      <c r="S96" s="40"/>
      <c r="T96" s="23"/>
    </row>
    <row r="97" spans="3:21" x14ac:dyDescent="0.2"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</row>
    <row r="98" spans="3:21" s="30" customFormat="1" x14ac:dyDescent="0.2">
      <c r="C98" t="s">
        <v>543</v>
      </c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1"/>
      <c r="T98" s="34"/>
      <c r="U98" s="34"/>
    </row>
    <row r="99" spans="3:21" x14ac:dyDescent="0.2"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</row>
    <row r="100" spans="3:21" x14ac:dyDescent="0.2">
      <c r="E100" s="56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</row>
  </sheetData>
  <mergeCells count="4">
    <mergeCell ref="B1:R1"/>
    <mergeCell ref="B2:R2"/>
    <mergeCell ref="B3:R3"/>
    <mergeCell ref="B4:R4"/>
  </mergeCells>
  <phoneticPr fontId="9" type="noConversion"/>
  <printOptions horizontalCentered="1"/>
  <pageMargins left="0.5" right="0.5" top="1" bottom="1" header="0.5" footer="0.5"/>
  <pageSetup scale="65" fitToHeight="2" orientation="landscape" blackAndWhite="1" horizontalDpi="300" verticalDpi="300" r:id="rId1"/>
  <headerFooter alignWithMargins="0">
    <oddFooter>&amp;L&amp;F  
&amp;A&amp;C&amp;P&amp;R&amp;D</oddFooter>
  </headerFooter>
  <rowBreaks count="1" manualBreakCount="1">
    <brk id="62" min="1" max="1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"/>
  <sheetViews>
    <sheetView workbookViewId="0">
      <selection activeCell="E33" sqref="E33"/>
    </sheetView>
  </sheetViews>
  <sheetFormatPr defaultRowHeight="12.75" x14ac:dyDescent="0.2"/>
  <cols>
    <col min="1" max="1" width="2.5703125" style="207" customWidth="1"/>
    <col min="2" max="2" width="32.28515625" style="212" customWidth="1"/>
    <col min="3" max="3" width="9.85546875" style="212" bestFit="1" customWidth="1"/>
    <col min="4" max="4" width="12.140625" style="213" bestFit="1" customWidth="1"/>
    <col min="5" max="5" width="10.5703125" style="213" customWidth="1"/>
    <col min="6" max="6" width="15.5703125" style="212" customWidth="1"/>
    <col min="7" max="7" width="3.28515625" style="214" customWidth="1"/>
    <col min="8" max="8" width="10.42578125" style="207" bestFit="1" customWidth="1"/>
    <col min="9" max="9" width="14.85546875" style="215" customWidth="1"/>
    <col min="10" max="10" width="3" style="216" customWidth="1"/>
    <col min="11" max="11" width="13.7109375" style="207" bestFit="1" customWidth="1"/>
    <col min="12" max="12" width="11.140625" style="217" bestFit="1" customWidth="1"/>
    <col min="13" max="13" width="2.42578125" style="217" customWidth="1"/>
    <col min="14" max="14" width="1.5703125" style="217" customWidth="1"/>
    <col min="15" max="15" width="14" style="207" customWidth="1"/>
    <col min="16" max="16" width="3" style="207" customWidth="1"/>
    <col min="17" max="17" width="10.140625" style="220" bestFit="1" customWidth="1"/>
    <col min="18" max="16384" width="9.140625" style="207"/>
  </cols>
  <sheetData>
    <row r="1" spans="2:26" x14ac:dyDescent="0.2">
      <c r="B1" s="199"/>
      <c r="C1" s="199"/>
      <c r="D1" s="200"/>
      <c r="E1" s="200"/>
      <c r="F1" s="199"/>
      <c r="G1" s="201"/>
      <c r="H1" s="202"/>
      <c r="I1" s="203"/>
      <c r="J1" s="204"/>
      <c r="K1" s="202"/>
      <c r="L1" s="205"/>
      <c r="M1" s="205"/>
      <c r="N1" s="205"/>
      <c r="O1" s="202"/>
      <c r="P1" s="202"/>
      <c r="Q1" s="206"/>
    </row>
    <row r="2" spans="2:26" x14ac:dyDescent="0.2">
      <c r="B2" s="199" t="s">
        <v>1</v>
      </c>
      <c r="C2" s="199"/>
      <c r="D2" s="208"/>
      <c r="E2" s="208"/>
      <c r="F2" s="199"/>
      <c r="G2" s="199"/>
      <c r="H2" s="199"/>
      <c r="I2" s="199"/>
      <c r="J2" s="199"/>
      <c r="K2" s="199"/>
      <c r="L2" s="199"/>
      <c r="M2" s="205"/>
      <c r="N2" s="205"/>
      <c r="O2" s="202"/>
      <c r="P2" s="202"/>
      <c r="Q2" s="206"/>
    </row>
    <row r="3" spans="2:26" x14ac:dyDescent="0.2">
      <c r="B3" s="697" t="s">
        <v>540</v>
      </c>
      <c r="C3" s="199"/>
      <c r="D3" s="208"/>
      <c r="E3" s="208"/>
      <c r="F3" s="199"/>
      <c r="G3" s="199"/>
      <c r="H3" s="199"/>
      <c r="I3" s="199"/>
      <c r="J3" s="199"/>
      <c r="K3" s="199"/>
      <c r="L3" s="199"/>
      <c r="M3" s="205"/>
      <c r="N3" s="205"/>
      <c r="O3" s="202"/>
      <c r="P3" s="202"/>
      <c r="Q3" s="206"/>
    </row>
    <row r="4" spans="2:26" x14ac:dyDescent="0.2">
      <c r="B4" s="697" t="s">
        <v>531</v>
      </c>
      <c r="C4" s="199"/>
      <c r="D4" s="208"/>
      <c r="E4" s="208"/>
      <c r="F4" s="199"/>
      <c r="G4" s="199"/>
      <c r="H4" s="199"/>
      <c r="I4" s="199"/>
      <c r="J4" s="199"/>
      <c r="K4" s="199"/>
      <c r="L4" s="199"/>
      <c r="M4" s="205"/>
      <c r="N4" s="205"/>
      <c r="O4" s="202"/>
      <c r="P4" s="202"/>
      <c r="Q4" s="206"/>
    </row>
    <row r="5" spans="2:26" x14ac:dyDescent="0.2">
      <c r="B5" s="209" t="s">
        <v>408</v>
      </c>
      <c r="C5" s="199"/>
      <c r="D5" s="208"/>
      <c r="E5" s="208"/>
      <c r="F5" s="199"/>
      <c r="G5" s="199"/>
      <c r="H5" s="199"/>
      <c r="I5" s="199"/>
      <c r="J5" s="199"/>
      <c r="K5" s="199"/>
      <c r="L5" s="199"/>
      <c r="M5" s="205"/>
      <c r="N5" s="210"/>
      <c r="O5" s="211"/>
      <c r="P5" s="202"/>
      <c r="Q5" s="206"/>
    </row>
    <row r="6" spans="2:26" x14ac:dyDescent="0.2">
      <c r="N6" s="218"/>
      <c r="O6" s="219"/>
    </row>
    <row r="7" spans="2:26" ht="15" customHeight="1" x14ac:dyDescent="0.2">
      <c r="B7" s="221"/>
      <c r="C7" s="222"/>
      <c r="D7" s="223" t="s">
        <v>409</v>
      </c>
      <c r="E7" s="224" t="s">
        <v>410</v>
      </c>
      <c r="F7" s="225"/>
      <c r="G7" s="226"/>
      <c r="H7" s="227" t="s">
        <v>411</v>
      </c>
      <c r="I7" s="225"/>
      <c r="J7" s="228"/>
      <c r="K7" s="225" t="s">
        <v>412</v>
      </c>
      <c r="L7" s="229"/>
      <c r="M7" s="230"/>
      <c r="N7" s="230"/>
      <c r="O7" s="231" t="s">
        <v>413</v>
      </c>
      <c r="Q7" s="232" t="s">
        <v>414</v>
      </c>
    </row>
    <row r="8" spans="2:26" x14ac:dyDescent="0.2">
      <c r="B8" s="233" t="s">
        <v>116</v>
      </c>
      <c r="C8" s="234" t="s">
        <v>2</v>
      </c>
      <c r="D8" s="235" t="s">
        <v>415</v>
      </c>
      <c r="E8" s="235" t="s">
        <v>7</v>
      </c>
      <c r="F8" s="236" t="s">
        <v>416</v>
      </c>
      <c r="G8" s="234"/>
      <c r="H8" s="234" t="s">
        <v>7</v>
      </c>
      <c r="I8" s="236" t="s">
        <v>416</v>
      </c>
      <c r="J8" s="236"/>
      <c r="K8" s="236" t="s">
        <v>417</v>
      </c>
      <c r="L8" s="237" t="s">
        <v>418</v>
      </c>
      <c r="M8" s="238"/>
      <c r="N8" s="238"/>
      <c r="O8" s="239" t="s">
        <v>419</v>
      </c>
      <c r="Q8" s="240" t="s">
        <v>420</v>
      </c>
    </row>
    <row r="9" spans="2:26" x14ac:dyDescent="0.2">
      <c r="B9" s="219"/>
      <c r="C9" s="219"/>
      <c r="D9" s="241"/>
      <c r="E9" s="241"/>
      <c r="F9" s="219"/>
      <c r="H9" s="219"/>
      <c r="I9" s="216"/>
      <c r="K9" s="219"/>
      <c r="L9" s="218"/>
      <c r="M9" s="218"/>
      <c r="N9" s="218"/>
      <c r="O9" s="219"/>
    </row>
    <row r="10" spans="2:26" x14ac:dyDescent="0.2">
      <c r="B10" s="242" t="s">
        <v>421</v>
      </c>
      <c r="C10" s="243"/>
      <c r="D10" s="244"/>
      <c r="E10" s="244"/>
      <c r="F10" s="245"/>
      <c r="G10" s="246"/>
      <c r="H10" s="244"/>
      <c r="I10" s="247"/>
      <c r="J10" s="247"/>
      <c r="K10" s="247"/>
      <c r="L10" s="248"/>
      <c r="M10" s="218"/>
      <c r="N10" s="218"/>
      <c r="O10" s="219"/>
    </row>
    <row r="11" spans="2:26" x14ac:dyDescent="0.2">
      <c r="B11" s="249"/>
      <c r="C11" s="219"/>
      <c r="D11" s="241"/>
      <c r="E11" s="241"/>
      <c r="F11" s="219"/>
      <c r="G11" s="250"/>
      <c r="H11" s="241"/>
      <c r="I11" s="251"/>
      <c r="J11" s="251"/>
      <c r="K11" s="251"/>
      <c r="L11" s="252"/>
      <c r="M11" s="218"/>
      <c r="N11" s="218"/>
      <c r="O11" s="253" t="s">
        <v>422</v>
      </c>
      <c r="P11" s="219"/>
    </row>
    <row r="12" spans="2:26" x14ac:dyDescent="0.2">
      <c r="B12" s="254" t="s">
        <v>423</v>
      </c>
      <c r="C12" s="255" t="s">
        <v>22</v>
      </c>
      <c r="D12" s="256">
        <v>9046017.5601524524</v>
      </c>
      <c r="E12" s="257">
        <v>10.34</v>
      </c>
      <c r="F12" s="251">
        <f>SUM(+D12*E12)</f>
        <v>93535821.571976364</v>
      </c>
      <c r="H12" s="258">
        <v>11</v>
      </c>
      <c r="I12" s="251">
        <f>SUM(+D12*H12)</f>
        <v>99506193.161676973</v>
      </c>
      <c r="J12" s="251"/>
      <c r="K12" s="251">
        <f>I12-F12</f>
        <v>5970371.5897006094</v>
      </c>
      <c r="L12" s="259">
        <f>ROUND(K12/F12,5)</f>
        <v>6.3829999999999998E-2</v>
      </c>
      <c r="M12" s="218"/>
      <c r="N12" s="218"/>
      <c r="O12" s="260">
        <v>-4940805.2914509522</v>
      </c>
      <c r="P12" s="219"/>
      <c r="Q12" s="261">
        <f>H12/E12-1</f>
        <v>6.3829787234042534E-2</v>
      </c>
    </row>
    <row r="13" spans="2:26" x14ac:dyDescent="0.2">
      <c r="B13" s="249" t="s">
        <v>424</v>
      </c>
      <c r="C13" s="219" t="s">
        <v>10</v>
      </c>
      <c r="D13" s="262">
        <v>577531151.08299994</v>
      </c>
      <c r="E13" s="263">
        <v>0.36492000000000002</v>
      </c>
      <c r="F13" s="251">
        <f>ROUND(D13*E13,2)</f>
        <v>210752667.65000001</v>
      </c>
      <c r="H13" s="264">
        <f>ROUND(E13*(1+$O$16),5)</f>
        <v>0.34603</v>
      </c>
      <c r="I13" s="251">
        <f>ROUND(D13*H13,2)</f>
        <v>199843104.21000001</v>
      </c>
      <c r="J13" s="251"/>
      <c r="K13" s="251">
        <f>I13-F13</f>
        <v>-10909563.439999998</v>
      </c>
      <c r="L13" s="259">
        <f>ROUND(K13/F13,5)</f>
        <v>-5.176E-2</v>
      </c>
      <c r="M13" s="219"/>
      <c r="N13" s="219"/>
      <c r="O13" s="265" t="s">
        <v>425</v>
      </c>
      <c r="P13" s="219"/>
      <c r="Q13" s="261">
        <f>H13/E13-1</f>
        <v>-5.1764770360626988E-2</v>
      </c>
    </row>
    <row r="14" spans="2:26" x14ac:dyDescent="0.2">
      <c r="B14" s="266"/>
      <c r="C14" s="267"/>
      <c r="D14" s="268"/>
      <c r="E14" s="269"/>
      <c r="F14" s="247">
        <f>SUM(F12:F13)</f>
        <v>304288489.2219764</v>
      </c>
      <c r="H14" s="241"/>
      <c r="I14" s="247">
        <f>SUM(I12:I13)</f>
        <v>299349297.37167698</v>
      </c>
      <c r="J14" s="251"/>
      <c r="K14" s="247">
        <f>SUM(K12:K13)</f>
        <v>-4939191.8502993882</v>
      </c>
      <c r="L14" s="270">
        <f>ROUND(K14/F14,5)</f>
        <v>-1.6230000000000001E-2</v>
      </c>
      <c r="M14" s="219"/>
      <c r="N14" s="219"/>
      <c r="O14" s="271">
        <f>(K14+K26)-O12</f>
        <v>1617.3111515641212</v>
      </c>
      <c r="P14" s="219"/>
      <c r="Q14" s="272"/>
    </row>
    <row r="15" spans="2:26" x14ac:dyDescent="0.2">
      <c r="B15" s="266"/>
      <c r="C15" s="273"/>
      <c r="D15" s="241"/>
      <c r="E15" s="263"/>
      <c r="F15" s="274"/>
      <c r="H15" s="241"/>
      <c r="I15" s="251"/>
      <c r="J15" s="251"/>
      <c r="K15" s="251"/>
      <c r="L15" s="252"/>
      <c r="M15" s="261"/>
      <c r="N15" s="261"/>
      <c r="O15" s="275"/>
      <c r="Q15" s="276"/>
    </row>
    <row r="16" spans="2:26" x14ac:dyDescent="0.2">
      <c r="B16" s="249" t="s">
        <v>426</v>
      </c>
      <c r="C16" s="219" t="s">
        <v>10</v>
      </c>
      <c r="D16" s="268">
        <f>D13</f>
        <v>577531151.08299994</v>
      </c>
      <c r="E16" s="263">
        <v>0.4173</v>
      </c>
      <c r="F16" s="247">
        <f>E16*D16</f>
        <v>241003749.34693587</v>
      </c>
      <c r="G16" s="219"/>
      <c r="H16" s="263">
        <v>0.40933000000000003</v>
      </c>
      <c r="I16" s="247">
        <f>H16*D16</f>
        <v>236400826.07280439</v>
      </c>
      <c r="J16" s="251"/>
      <c r="K16" s="247">
        <f>I16-F16</f>
        <v>-4602923.2741314769</v>
      </c>
      <c r="L16" s="270">
        <f>ROUND(K16/F16,5)</f>
        <v>-1.9099999999999999E-2</v>
      </c>
      <c r="M16" s="261"/>
      <c r="N16" s="261"/>
      <c r="O16" s="277">
        <v>-5.1767237933664494E-2</v>
      </c>
      <c r="P16" s="278"/>
      <c r="Q16" s="279"/>
      <c r="R16" s="219"/>
      <c r="Z16" s="219"/>
    </row>
    <row r="17" spans="1:26" ht="14.25" customHeight="1" x14ac:dyDescent="0.2">
      <c r="B17" s="249"/>
      <c r="C17" s="219"/>
      <c r="D17" s="241"/>
      <c r="E17" s="241"/>
      <c r="F17" s="251"/>
      <c r="H17" s="280"/>
      <c r="I17" s="251"/>
      <c r="J17" s="251"/>
      <c r="K17" s="251"/>
      <c r="L17" s="252"/>
      <c r="M17" s="219"/>
      <c r="N17" s="219"/>
      <c r="O17" s="278"/>
      <c r="P17" s="278"/>
      <c r="Q17" s="278"/>
      <c r="R17" s="219"/>
      <c r="Z17" s="219"/>
    </row>
    <row r="18" spans="1:26" x14ac:dyDescent="0.2">
      <c r="B18" s="281" t="s">
        <v>427</v>
      </c>
      <c r="C18" s="267"/>
      <c r="D18" s="282"/>
      <c r="E18" s="241"/>
      <c r="F18" s="247">
        <f>F14+F16</f>
        <v>545292238.56891227</v>
      </c>
      <c r="H18" s="241"/>
      <c r="I18" s="247">
        <f>I14+I16</f>
        <v>535750123.44448137</v>
      </c>
      <c r="J18" s="251"/>
      <c r="K18" s="247">
        <f>K14+K16</f>
        <v>-9542115.124430865</v>
      </c>
      <c r="L18" s="270">
        <f>ROUND(K18/F18,5)</f>
        <v>-1.7500000000000002E-2</v>
      </c>
      <c r="M18" s="261"/>
      <c r="N18" s="261"/>
      <c r="O18" s="261"/>
      <c r="P18" s="283"/>
      <c r="Q18" s="232"/>
      <c r="R18" s="219"/>
      <c r="Z18" s="219"/>
    </row>
    <row r="19" spans="1:26" x14ac:dyDescent="0.2">
      <c r="B19" s="281"/>
      <c r="C19" s="267"/>
      <c r="D19" s="284"/>
      <c r="E19" s="241"/>
      <c r="F19" s="285"/>
      <c r="H19" s="241"/>
      <c r="I19" s="251"/>
      <c r="J19" s="251"/>
      <c r="K19" s="286"/>
      <c r="L19" s="259"/>
      <c r="M19" s="261"/>
      <c r="N19" s="218"/>
      <c r="O19" s="219"/>
      <c r="Q19" s="276"/>
      <c r="R19" s="219"/>
      <c r="Z19" s="219"/>
    </row>
    <row r="20" spans="1:26" s="213" customFormat="1" x14ac:dyDescent="0.2">
      <c r="B20" s="287"/>
      <c r="C20" s="288"/>
      <c r="D20" s="288"/>
      <c r="E20" s="288"/>
      <c r="F20" s="289"/>
      <c r="G20" s="290"/>
      <c r="H20" s="288"/>
      <c r="I20" s="289"/>
      <c r="J20" s="289"/>
      <c r="K20" s="289"/>
      <c r="L20" s="291"/>
      <c r="M20" s="241"/>
      <c r="N20" s="241"/>
      <c r="Q20" s="241"/>
      <c r="R20" s="241"/>
      <c r="Z20" s="241"/>
    </row>
    <row r="21" spans="1:26" s="213" customFormat="1" x14ac:dyDescent="0.2">
      <c r="B21" s="241"/>
      <c r="C21" s="241"/>
      <c r="D21" s="241"/>
      <c r="F21" s="292"/>
      <c r="G21" s="268"/>
      <c r="H21" s="241"/>
      <c r="I21" s="285"/>
      <c r="J21" s="285"/>
      <c r="K21" s="285"/>
      <c r="L21" s="293"/>
      <c r="M21" s="241"/>
      <c r="N21" s="241"/>
      <c r="O21" s="241"/>
      <c r="Q21" s="241"/>
      <c r="R21" s="241"/>
      <c r="Z21" s="241"/>
    </row>
    <row r="22" spans="1:26" x14ac:dyDescent="0.2">
      <c r="A22" s="213"/>
      <c r="B22" s="294" t="s">
        <v>428</v>
      </c>
      <c r="C22" s="295"/>
      <c r="D22" s="244"/>
      <c r="E22" s="296"/>
      <c r="F22" s="297"/>
      <c r="G22" s="246"/>
      <c r="H22" s="244"/>
      <c r="I22" s="247"/>
      <c r="J22" s="247"/>
      <c r="K22" s="247"/>
      <c r="L22" s="270"/>
      <c r="M22" s="219"/>
      <c r="N22" s="219"/>
      <c r="O22" s="219"/>
      <c r="Q22" s="276"/>
      <c r="R22" s="219"/>
      <c r="Z22" s="219"/>
    </row>
    <row r="23" spans="1:26" s="213" customFormat="1" x14ac:dyDescent="0.2">
      <c r="B23" s="298"/>
      <c r="C23" s="241"/>
      <c r="D23" s="241"/>
      <c r="E23" s="241"/>
      <c r="F23" s="285"/>
      <c r="G23" s="299"/>
      <c r="H23" s="241"/>
      <c r="I23" s="285"/>
      <c r="J23" s="285"/>
      <c r="K23" s="285"/>
      <c r="L23" s="300"/>
      <c r="M23" s="301"/>
      <c r="N23" s="301"/>
      <c r="O23" s="278"/>
      <c r="P23" s="241"/>
      <c r="Q23" s="302"/>
      <c r="R23" s="241"/>
      <c r="Z23" s="241"/>
    </row>
    <row r="24" spans="1:26" s="213" customFormat="1" ht="13.5" customHeight="1" x14ac:dyDescent="0.2">
      <c r="B24" s="254" t="s">
        <v>423</v>
      </c>
      <c r="C24" s="255" t="s">
        <v>22</v>
      </c>
      <c r="D24" s="256">
        <v>13.000000000000002</v>
      </c>
      <c r="E24" s="257">
        <v>10.34</v>
      </c>
      <c r="F24" s="285">
        <f>SUM(+D24*E24)</f>
        <v>134.42000000000002</v>
      </c>
      <c r="G24" s="268"/>
      <c r="H24" s="303">
        <f>H12</f>
        <v>11</v>
      </c>
      <c r="I24" s="285">
        <f>SUM(+D24*H24)</f>
        <v>143.00000000000003</v>
      </c>
      <c r="J24" s="285"/>
      <c r="K24" s="285">
        <f>I24-F24</f>
        <v>8.5800000000000125</v>
      </c>
      <c r="L24" s="300"/>
      <c r="M24" s="301"/>
      <c r="N24" s="301"/>
      <c r="O24" s="304"/>
      <c r="P24" s="241"/>
      <c r="Q24" s="261">
        <f>H24/E24-1</f>
        <v>6.3829787234042534E-2</v>
      </c>
      <c r="R24" s="241"/>
      <c r="Z24" s="241"/>
    </row>
    <row r="25" spans="1:26" s="213" customFormat="1" ht="13.5" customHeight="1" x14ac:dyDescent="0.2">
      <c r="B25" s="249" t="s">
        <v>424</v>
      </c>
      <c r="C25" s="219" t="s">
        <v>10</v>
      </c>
      <c r="D25" s="256">
        <v>249.405</v>
      </c>
      <c r="E25" s="263">
        <v>0.36492000000000002</v>
      </c>
      <c r="F25" s="285">
        <f>ROUND(D25*E25,2)</f>
        <v>91.01</v>
      </c>
      <c r="G25" s="268"/>
      <c r="H25" s="264">
        <f>H13</f>
        <v>0.34603</v>
      </c>
      <c r="I25" s="285">
        <f>ROUND(D25*H25,2)</f>
        <v>86.3</v>
      </c>
      <c r="J25" s="285"/>
      <c r="K25" s="285">
        <f>I25-F25</f>
        <v>-4.710000000000008</v>
      </c>
      <c r="L25" s="305"/>
      <c r="M25" s="301"/>
      <c r="N25" s="301"/>
      <c r="O25" s="306"/>
      <c r="P25" s="241"/>
      <c r="Q25" s="261">
        <f>H25/E25-1</f>
        <v>-5.1764770360626988E-2</v>
      </c>
      <c r="R25" s="241"/>
      <c r="Z25" s="241"/>
    </row>
    <row r="26" spans="1:26" s="213" customFormat="1" ht="13.5" customHeight="1" x14ac:dyDescent="0.2">
      <c r="B26" s="281" t="s">
        <v>429</v>
      </c>
      <c r="C26" s="255"/>
      <c r="D26" s="268"/>
      <c r="E26" s="241"/>
      <c r="F26" s="247">
        <f>SUM(F24:F25)</f>
        <v>225.43</v>
      </c>
      <c r="G26" s="268"/>
      <c r="H26" s="241"/>
      <c r="I26" s="247">
        <f>SUM(I24:I25)</f>
        <v>229.3</v>
      </c>
      <c r="J26" s="285"/>
      <c r="K26" s="247">
        <f>SUM(K24:K25)</f>
        <v>3.8700000000000045</v>
      </c>
      <c r="L26" s="270">
        <f>ROUND(K26/F26,5)</f>
        <v>1.7170000000000001E-2</v>
      </c>
      <c r="M26" s="241"/>
      <c r="N26" s="241"/>
      <c r="O26" s="306"/>
      <c r="P26" s="241"/>
      <c r="Q26" s="272"/>
      <c r="R26" s="241"/>
      <c r="Z26" s="241"/>
    </row>
    <row r="27" spans="1:26" s="213" customFormat="1" ht="13.5" customHeight="1" x14ac:dyDescent="0.2">
      <c r="B27" s="307"/>
      <c r="C27" s="308"/>
      <c r="D27" s="241"/>
      <c r="E27" s="241"/>
      <c r="F27" s="309"/>
      <c r="G27" s="268"/>
      <c r="H27" s="241"/>
      <c r="I27" s="285"/>
      <c r="J27" s="285"/>
      <c r="K27" s="285"/>
      <c r="L27" s="300"/>
      <c r="M27" s="241"/>
      <c r="N27" s="241"/>
      <c r="O27" s="310"/>
      <c r="Q27" s="302"/>
      <c r="R27" s="241"/>
      <c r="Z27" s="241"/>
    </row>
    <row r="28" spans="1:26" s="213" customFormat="1" ht="13.5" customHeight="1" x14ac:dyDescent="0.2">
      <c r="B28" s="249" t="s">
        <v>162</v>
      </c>
      <c r="C28" s="219" t="s">
        <v>10</v>
      </c>
      <c r="D28" s="268">
        <f>D25</f>
        <v>249.405</v>
      </c>
      <c r="E28" s="263">
        <v>4.0064099999999998</v>
      </c>
      <c r="F28" s="247">
        <f>E28*D28</f>
        <v>999.21868604999997</v>
      </c>
      <c r="G28" s="241"/>
      <c r="H28" s="264">
        <f>E28</f>
        <v>4.0064099999999998</v>
      </c>
      <c r="I28" s="247">
        <f>F28</f>
        <v>999.21868604999997</v>
      </c>
      <c r="J28" s="285"/>
      <c r="K28" s="247">
        <f>I28-F28</f>
        <v>0</v>
      </c>
      <c r="L28" s="270">
        <f>ROUND(K28/F28,5)</f>
        <v>0</v>
      </c>
      <c r="M28" s="301"/>
      <c r="N28" s="301"/>
      <c r="O28" s="311"/>
      <c r="P28" s="278"/>
      <c r="Q28" s="278"/>
      <c r="R28" s="241"/>
      <c r="Z28" s="241"/>
    </row>
    <row r="29" spans="1:26" s="213" customFormat="1" ht="13.5" customHeight="1" x14ac:dyDescent="0.2">
      <c r="B29" s="298"/>
      <c r="C29" s="241"/>
      <c r="D29" s="241"/>
      <c r="E29" s="312"/>
      <c r="F29" s="285"/>
      <c r="G29" s="268"/>
      <c r="H29" s="280"/>
      <c r="I29" s="285"/>
      <c r="J29" s="285"/>
      <c r="K29" s="285"/>
      <c r="L29" s="305"/>
      <c r="M29" s="313"/>
      <c r="N29" s="313"/>
      <c r="O29" s="310"/>
      <c r="P29" s="278"/>
      <c r="Q29" s="278"/>
      <c r="R29" s="241"/>
      <c r="Z29" s="241"/>
    </row>
    <row r="30" spans="1:26" s="213" customFormat="1" ht="13.5" customHeight="1" x14ac:dyDescent="0.2">
      <c r="B30" s="254" t="s">
        <v>427</v>
      </c>
      <c r="C30" s="255"/>
      <c r="D30" s="241"/>
      <c r="E30" s="241"/>
      <c r="F30" s="247">
        <f>F26+F28</f>
        <v>1224.6486860499999</v>
      </c>
      <c r="G30" s="268"/>
      <c r="H30" s="241"/>
      <c r="I30" s="247">
        <f>I26+I28</f>
        <v>1228.51868605</v>
      </c>
      <c r="J30" s="285"/>
      <c r="K30" s="247">
        <f>K26+K28</f>
        <v>3.8700000000000045</v>
      </c>
      <c r="L30" s="270">
        <f>ROUND(K30/F30,5)</f>
        <v>3.16E-3</v>
      </c>
      <c r="M30" s="241"/>
      <c r="N30" s="241"/>
      <c r="O30" s="314"/>
      <c r="P30" s="278"/>
      <c r="Q30" s="272"/>
      <c r="R30" s="241"/>
      <c r="Z30" s="241"/>
    </row>
    <row r="31" spans="1:26" s="213" customFormat="1" ht="13.5" customHeight="1" x14ac:dyDescent="0.2">
      <c r="B31" s="298"/>
      <c r="C31" s="241"/>
      <c r="D31" s="241"/>
      <c r="E31" s="241"/>
      <c r="F31" s="315"/>
      <c r="G31" s="268"/>
      <c r="H31" s="241"/>
      <c r="I31" s="285"/>
      <c r="J31" s="285"/>
      <c r="K31" s="285"/>
      <c r="L31" s="305"/>
      <c r="M31" s="313"/>
      <c r="N31" s="313"/>
      <c r="P31" s="278"/>
      <c r="Q31" s="241"/>
      <c r="R31" s="241"/>
      <c r="Z31" s="241"/>
    </row>
    <row r="32" spans="1:26" s="213" customFormat="1" ht="13.5" customHeight="1" x14ac:dyDescent="0.2">
      <c r="B32" s="287"/>
      <c r="C32" s="288"/>
      <c r="D32" s="288"/>
      <c r="E32" s="288"/>
      <c r="F32" s="289"/>
      <c r="G32" s="288"/>
      <c r="H32" s="288"/>
      <c r="I32" s="289"/>
      <c r="J32" s="289"/>
      <c r="K32" s="289"/>
      <c r="L32" s="291"/>
      <c r="M32" s="241"/>
      <c r="N32" s="241"/>
      <c r="P32" s="278"/>
      <c r="Q32" s="302"/>
      <c r="R32" s="241"/>
      <c r="Z32" s="241"/>
    </row>
    <row r="33" spans="2:26" s="213" customFormat="1" ht="13.5" customHeight="1" x14ac:dyDescent="0.2">
      <c r="B33" s="241"/>
      <c r="C33" s="241"/>
      <c r="D33" s="241"/>
      <c r="E33" s="316"/>
      <c r="F33" s="315"/>
      <c r="G33" s="268"/>
      <c r="H33" s="241"/>
      <c r="I33" s="285"/>
      <c r="J33" s="285"/>
      <c r="K33" s="285"/>
      <c r="L33" s="293"/>
      <c r="M33" s="241"/>
      <c r="N33" s="241"/>
      <c r="P33" s="278"/>
      <c r="Q33" s="302"/>
      <c r="R33" s="241"/>
      <c r="Z33" s="241"/>
    </row>
    <row r="34" spans="2:26" s="213" customFormat="1" ht="13.5" customHeight="1" x14ac:dyDescent="0.2">
      <c r="B34" s="241"/>
      <c r="C34" s="241"/>
      <c r="D34" s="241"/>
      <c r="E34" s="316"/>
      <c r="F34" s="315"/>
      <c r="G34" s="268"/>
      <c r="H34" s="241"/>
      <c r="I34" s="285"/>
      <c r="J34" s="285"/>
      <c r="K34" s="285"/>
      <c r="L34" s="293"/>
      <c r="M34" s="241"/>
      <c r="N34" s="241"/>
      <c r="P34" s="278"/>
      <c r="Q34" s="302"/>
      <c r="R34" s="241"/>
      <c r="Z34" s="241"/>
    </row>
    <row r="35" spans="2:26" ht="13.5" customHeight="1" x14ac:dyDescent="0.2">
      <c r="B35" s="294" t="s">
        <v>430</v>
      </c>
      <c r="C35" s="243"/>
      <c r="D35" s="244"/>
      <c r="E35" s="296"/>
      <c r="F35" s="297"/>
      <c r="G35" s="246"/>
      <c r="H35" s="245"/>
      <c r="I35" s="247"/>
      <c r="J35" s="247"/>
      <c r="K35" s="247"/>
      <c r="L35" s="270"/>
      <c r="M35" s="219"/>
      <c r="N35" s="219"/>
      <c r="P35" s="278"/>
      <c r="Q35" s="276"/>
      <c r="R35" s="219"/>
      <c r="Z35" s="219"/>
    </row>
    <row r="36" spans="2:26" ht="13.5" customHeight="1" x14ac:dyDescent="0.2">
      <c r="B36" s="266"/>
      <c r="C36" s="273"/>
      <c r="D36" s="241"/>
      <c r="E36" s="241"/>
      <c r="F36" s="251"/>
      <c r="G36" s="317"/>
      <c r="H36" s="219"/>
      <c r="I36" s="251"/>
      <c r="J36" s="251"/>
      <c r="K36" s="251"/>
      <c r="L36" s="252"/>
      <c r="M36" s="218"/>
      <c r="N36" s="218"/>
      <c r="O36" s="318" t="s">
        <v>431</v>
      </c>
      <c r="P36" s="278"/>
      <c r="Q36" s="276"/>
      <c r="R36" s="219"/>
      <c r="Z36" s="219"/>
    </row>
    <row r="37" spans="2:26" ht="13.5" customHeight="1" x14ac:dyDescent="0.2">
      <c r="B37" s="298" t="s">
        <v>432</v>
      </c>
      <c r="C37" s="319" t="s">
        <v>11</v>
      </c>
      <c r="D37" s="256">
        <v>509.99942105263153</v>
      </c>
      <c r="E37" s="257">
        <v>9.85</v>
      </c>
      <c r="F37" s="251">
        <f>ROUND(D37*E37,2)</f>
        <v>5023.49</v>
      </c>
      <c r="H37" s="303">
        <f>ROUND(E37*(1+$O$41),2)</f>
        <v>9.69</v>
      </c>
      <c r="I37" s="251">
        <f>ROUND(D37*H37,2)</f>
        <v>4941.8900000000003</v>
      </c>
      <c r="J37" s="251"/>
      <c r="K37" s="251">
        <f>I37-F37</f>
        <v>-81.599999999999454</v>
      </c>
      <c r="L37" s="259">
        <f>ROUND(K37/F37,5)</f>
        <v>-1.6240000000000001E-2</v>
      </c>
      <c r="M37" s="320"/>
      <c r="N37" s="320"/>
      <c r="O37" s="260">
        <v>-82.898261263035238</v>
      </c>
      <c r="P37" s="278"/>
      <c r="Q37" s="261">
        <f>H37/E37-1</f>
        <v>-1.624365482233503E-2</v>
      </c>
      <c r="R37" s="219"/>
      <c r="Z37" s="219"/>
    </row>
    <row r="38" spans="2:26" ht="13.5" customHeight="1" x14ac:dyDescent="0.2">
      <c r="B38" s="249"/>
      <c r="C38" s="219"/>
      <c r="D38" s="269"/>
      <c r="E38" s="269"/>
      <c r="F38" s="251"/>
      <c r="G38" s="219"/>
      <c r="H38" s="219"/>
      <c r="I38" s="251"/>
      <c r="J38" s="251"/>
      <c r="K38" s="251"/>
      <c r="L38" s="259"/>
      <c r="M38" s="320"/>
      <c r="N38" s="320"/>
      <c r="O38" s="265" t="s">
        <v>425</v>
      </c>
      <c r="P38" s="278"/>
      <c r="Q38" s="261"/>
      <c r="R38" s="219"/>
      <c r="Z38" s="219"/>
    </row>
    <row r="39" spans="2:26" ht="13.5" customHeight="1" x14ac:dyDescent="0.2">
      <c r="B39" s="281" t="s">
        <v>433</v>
      </c>
      <c r="C39" s="267"/>
      <c r="D39" s="256">
        <v>9689.9889999999996</v>
      </c>
      <c r="E39" s="256"/>
      <c r="F39" s="274"/>
      <c r="H39" s="219"/>
      <c r="I39" s="251"/>
      <c r="J39" s="251"/>
      <c r="K39" s="251"/>
      <c r="L39" s="252"/>
      <c r="M39" s="320"/>
      <c r="N39" s="320"/>
      <c r="O39" s="271">
        <f>K37-O37</f>
        <v>1.2982612630357835</v>
      </c>
      <c r="P39" s="278"/>
      <c r="Q39" s="261"/>
      <c r="R39" s="219"/>
      <c r="Z39" s="219"/>
    </row>
    <row r="40" spans="2:26" ht="13.5" customHeight="1" x14ac:dyDescent="0.2">
      <c r="B40" s="249"/>
      <c r="C40" s="219"/>
      <c r="D40" s="241"/>
      <c r="E40" s="241"/>
      <c r="F40" s="321"/>
      <c r="G40" s="268"/>
      <c r="H40" s="241"/>
      <c r="I40" s="285"/>
      <c r="J40" s="251"/>
      <c r="K40" s="251"/>
      <c r="L40" s="252"/>
      <c r="M40" s="261"/>
      <c r="N40" s="261"/>
      <c r="P40" s="278"/>
      <c r="Q40" s="261"/>
      <c r="R40" s="219"/>
      <c r="Z40" s="219"/>
    </row>
    <row r="41" spans="2:26" ht="13.5" customHeight="1" x14ac:dyDescent="0.2">
      <c r="B41" s="249" t="s">
        <v>426</v>
      </c>
      <c r="C41" s="267"/>
      <c r="D41" s="268">
        <f>D39</f>
        <v>9689.9889999999996</v>
      </c>
      <c r="E41" s="263">
        <v>0.41737000000000002</v>
      </c>
      <c r="F41" s="247">
        <f>D41*E41</f>
        <v>4044.3107089300001</v>
      </c>
      <c r="G41" s="322"/>
      <c r="H41" s="323">
        <f>ROUND(7.77/19,5)</f>
        <v>0.40894999999999998</v>
      </c>
      <c r="I41" s="247">
        <f>D41*H41</f>
        <v>3962.7210015499995</v>
      </c>
      <c r="J41" s="251"/>
      <c r="K41" s="247">
        <f>I41-F41</f>
        <v>-81.589707380000618</v>
      </c>
      <c r="L41" s="270">
        <f>ROUND(K41/F41,5)</f>
        <v>-2.017E-2</v>
      </c>
      <c r="M41" s="219"/>
      <c r="N41" s="219"/>
      <c r="O41" s="277">
        <v>-1.6155942202292047E-2</v>
      </c>
      <c r="P41" s="278"/>
      <c r="Q41" s="278"/>
      <c r="R41" s="219"/>
      <c r="Z41" s="219"/>
    </row>
    <row r="42" spans="2:26" ht="13.5" customHeight="1" x14ac:dyDescent="0.2">
      <c r="B42" s="249"/>
      <c r="C42" s="219"/>
      <c r="D42" s="241"/>
      <c r="E42" s="241"/>
      <c r="F42" s="251"/>
      <c r="H42" s="219"/>
      <c r="I42" s="251"/>
      <c r="J42" s="251"/>
      <c r="K42" s="251"/>
      <c r="L42" s="324"/>
      <c r="O42" s="311"/>
      <c r="P42" s="278"/>
      <c r="Q42" s="278"/>
      <c r="R42" s="219"/>
      <c r="Z42" s="219"/>
    </row>
    <row r="43" spans="2:26" ht="13.5" customHeight="1" x14ac:dyDescent="0.2">
      <c r="B43" s="249" t="s">
        <v>427</v>
      </c>
      <c r="C43" s="219"/>
      <c r="D43" s="241"/>
      <c r="E43" s="241"/>
      <c r="F43" s="247">
        <f>F37+F41</f>
        <v>9067.8007089300008</v>
      </c>
      <c r="H43" s="219"/>
      <c r="I43" s="247">
        <f>I37+I41</f>
        <v>8904.6110015499999</v>
      </c>
      <c r="J43" s="251"/>
      <c r="K43" s="247">
        <f>K37+K41</f>
        <v>-163.18970738000007</v>
      </c>
      <c r="L43" s="270">
        <f>ROUND(K43/F43,5)</f>
        <v>-1.7999999999999999E-2</v>
      </c>
      <c r="M43" s="218"/>
      <c r="N43" s="218"/>
      <c r="O43" s="278"/>
      <c r="P43" s="278"/>
      <c r="Q43" s="278"/>
      <c r="R43" s="219"/>
      <c r="Z43" s="219"/>
    </row>
    <row r="44" spans="2:26" ht="13.5" customHeight="1" x14ac:dyDescent="0.2">
      <c r="B44" s="249"/>
      <c r="C44" s="219"/>
      <c r="D44" s="241"/>
      <c r="E44" s="241"/>
      <c r="F44" s="285"/>
      <c r="H44" s="219"/>
      <c r="I44" s="251"/>
      <c r="J44" s="251"/>
      <c r="K44" s="251"/>
      <c r="L44" s="324"/>
      <c r="M44" s="261"/>
      <c r="N44" s="261"/>
      <c r="O44" s="325"/>
      <c r="P44" s="326"/>
      <c r="Q44" s="232"/>
      <c r="R44" s="219"/>
      <c r="Z44" s="219"/>
    </row>
    <row r="45" spans="2:26" ht="13.5" customHeight="1" x14ac:dyDescent="0.2">
      <c r="B45" s="327"/>
      <c r="C45" s="328"/>
      <c r="D45" s="288"/>
      <c r="E45" s="288"/>
      <c r="F45" s="329"/>
      <c r="G45" s="330"/>
      <c r="H45" s="331"/>
      <c r="I45" s="332"/>
      <c r="J45" s="332"/>
      <c r="K45" s="331"/>
      <c r="L45" s="333"/>
      <c r="M45" s="306"/>
      <c r="N45" s="306"/>
      <c r="Q45" s="276"/>
      <c r="R45" s="219"/>
      <c r="Z45" s="219"/>
    </row>
    <row r="46" spans="2:26" ht="13.5" customHeight="1" x14ac:dyDescent="0.2">
      <c r="B46" s="207"/>
      <c r="K46" s="219"/>
      <c r="M46" s="261"/>
      <c r="N46" s="261"/>
      <c r="Q46" s="276"/>
      <c r="R46" s="219"/>
      <c r="Z46" s="219"/>
    </row>
    <row r="47" spans="2:26" x14ac:dyDescent="0.2">
      <c r="B47" s="212" t="s">
        <v>434</v>
      </c>
      <c r="K47" s="219"/>
      <c r="M47" s="306"/>
      <c r="N47" s="306"/>
      <c r="Q47" s="276"/>
      <c r="R47" s="219"/>
      <c r="Z47" s="219"/>
    </row>
    <row r="48" spans="2:26" x14ac:dyDescent="0.2">
      <c r="B48" s="207"/>
      <c r="D48" s="334" t="s">
        <v>10</v>
      </c>
      <c r="F48" s="234" t="s">
        <v>410</v>
      </c>
      <c r="I48" s="236" t="s">
        <v>411</v>
      </c>
      <c r="K48" s="236" t="s">
        <v>281</v>
      </c>
      <c r="Q48" s="276"/>
      <c r="R48" s="219"/>
      <c r="Z48" s="219"/>
    </row>
    <row r="49" spans="2:26" x14ac:dyDescent="0.2">
      <c r="B49" s="207" t="s">
        <v>435</v>
      </c>
      <c r="F49" s="335">
        <f>F16+F28+F41</f>
        <v>241008792.87633085</v>
      </c>
      <c r="I49" s="335">
        <f>I16+I28+I41</f>
        <v>236405788.01249197</v>
      </c>
      <c r="J49" s="335"/>
      <c r="K49" s="251">
        <f>I49-F49</f>
        <v>-4603004.8638388813</v>
      </c>
      <c r="Q49" s="276"/>
      <c r="R49" s="219"/>
      <c r="Z49" s="219"/>
    </row>
    <row r="50" spans="2:26" x14ac:dyDescent="0.2">
      <c r="B50" s="207" t="s">
        <v>436</v>
      </c>
      <c r="F50" s="335">
        <f>F14+F26+F37</f>
        <v>304293738.14197642</v>
      </c>
      <c r="G50" s="335"/>
      <c r="H50" s="335"/>
      <c r="I50" s="335">
        <f>I14+I26+I37</f>
        <v>299354468.56167698</v>
      </c>
      <c r="J50" s="335"/>
      <c r="K50" s="251">
        <f>I50-F50</f>
        <v>-4939269.580299437</v>
      </c>
      <c r="L50" s="336">
        <f>K50/F50</f>
        <v>-1.6231913316582573E-2</v>
      </c>
    </row>
    <row r="51" spans="2:26" x14ac:dyDescent="0.2">
      <c r="B51" s="207" t="s">
        <v>437</v>
      </c>
      <c r="D51" s="337">
        <f>D13+D25+D39</f>
        <v>577541090.47699988</v>
      </c>
      <c r="F51" s="247">
        <f>F49+F50</f>
        <v>545302531.01830721</v>
      </c>
      <c r="I51" s="247">
        <f>I49+I50</f>
        <v>535760256.57416892</v>
      </c>
      <c r="K51" s="247">
        <f>K49+K50</f>
        <v>-9542274.4441383183</v>
      </c>
      <c r="L51" s="336">
        <f>K51/F51</f>
        <v>-1.7499046678398709E-2</v>
      </c>
    </row>
    <row r="52" spans="2:26" x14ac:dyDescent="0.2">
      <c r="B52" s="207"/>
      <c r="F52" s="335"/>
      <c r="I52" s="335"/>
      <c r="K52" s="251"/>
    </row>
    <row r="53" spans="2:26" x14ac:dyDescent="0.2">
      <c r="B53" s="207" t="s">
        <v>438</v>
      </c>
      <c r="F53" s="338"/>
      <c r="K53" s="219"/>
      <c r="O53" s="339"/>
      <c r="P53" s="335"/>
    </row>
    <row r="54" spans="2:26" x14ac:dyDescent="0.2">
      <c r="B54" s="207"/>
      <c r="F54" s="207"/>
    </row>
    <row r="55" spans="2:26" x14ac:dyDescent="0.2">
      <c r="B55" s="207"/>
      <c r="F55" s="207"/>
    </row>
    <row r="56" spans="2:26" s="340" customFormat="1" x14ac:dyDescent="0.2">
      <c r="E56" s="341"/>
    </row>
  </sheetData>
  <dataConsolidate/>
  <printOptions horizontalCentered="1"/>
  <pageMargins left="0.5" right="0.5" top="1" bottom="0.7" header="0.75" footer="0.5"/>
  <pageSetup scale="77" fitToHeight="2" orientation="landscape" blackAndWhite="1" r:id="rId1"/>
  <headerFooter alignWithMargins="0">
    <oddFooter>&amp;L&amp;F 
&amp;A&amp;C&amp;P&amp;R&amp;D</oddFooter>
  </headerFooter>
  <rowBreaks count="1" manualBreakCount="1">
    <brk id="46" min="1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148"/>
  <sheetViews>
    <sheetView workbookViewId="0">
      <selection activeCell="E33" sqref="E33"/>
    </sheetView>
  </sheetViews>
  <sheetFormatPr defaultRowHeight="12.75" x14ac:dyDescent="0.2"/>
  <cols>
    <col min="1" max="1" width="2.42578125" style="342" customWidth="1"/>
    <col min="2" max="2" width="31.42578125" style="342" bestFit="1" customWidth="1"/>
    <col min="3" max="3" width="9.85546875" style="342" bestFit="1" customWidth="1"/>
    <col min="4" max="4" width="12.5703125" style="342" bestFit="1" customWidth="1"/>
    <col min="5" max="5" width="11.28515625" style="342" bestFit="1" customWidth="1"/>
    <col min="6" max="6" width="14" style="507" bestFit="1" customWidth="1"/>
    <col min="7" max="7" width="6" style="491" customWidth="1"/>
    <col min="8" max="8" width="11" style="450" bestFit="1" customWidth="1"/>
    <col min="9" max="9" width="14.85546875" style="507" bestFit="1" customWidth="1"/>
    <col min="10" max="10" width="2.28515625" style="507" customWidth="1"/>
    <col min="11" max="11" width="12.85546875" style="507" bestFit="1" customWidth="1"/>
    <col min="12" max="12" width="7.28515625" style="492" customWidth="1"/>
    <col min="13" max="13" width="2.140625" style="357" customWidth="1"/>
    <col min="14" max="14" width="2" style="501" customWidth="1"/>
    <col min="15" max="15" width="18.7109375" style="342" bestFit="1" customWidth="1"/>
    <col min="16" max="16" width="2.28515625" style="342" customWidth="1"/>
    <col min="17" max="17" width="8.85546875" style="360" bestFit="1" customWidth="1"/>
    <col min="18" max="16384" width="9.140625" style="342"/>
  </cols>
  <sheetData>
    <row r="2" spans="1:17" x14ac:dyDescent="0.2">
      <c r="B2" s="209" t="s">
        <v>1</v>
      </c>
      <c r="C2" s="343"/>
      <c r="D2" s="343"/>
      <c r="E2" s="343"/>
      <c r="F2" s="344"/>
      <c r="G2" s="345"/>
      <c r="H2" s="346"/>
      <c r="I2" s="344"/>
      <c r="J2" s="344"/>
      <c r="K2" s="344"/>
      <c r="L2" s="347"/>
      <c r="M2" s="348"/>
      <c r="N2" s="348"/>
      <c r="O2" s="343"/>
      <c r="P2" s="343"/>
      <c r="Q2" s="349"/>
    </row>
    <row r="3" spans="1:17" x14ac:dyDescent="0.2">
      <c r="B3" s="697" t="s">
        <v>541</v>
      </c>
      <c r="C3" s="343"/>
      <c r="D3" s="343"/>
      <c r="E3" s="343"/>
      <c r="F3" s="343"/>
      <c r="G3" s="346"/>
      <c r="H3" s="346"/>
      <c r="I3" s="343"/>
      <c r="J3" s="343"/>
      <c r="K3" s="343"/>
      <c r="L3" s="347"/>
      <c r="M3" s="343"/>
      <c r="N3" s="348"/>
      <c r="O3" s="343"/>
      <c r="P3" s="343"/>
      <c r="Q3" s="349"/>
    </row>
    <row r="4" spans="1:17" x14ac:dyDescent="0.2">
      <c r="B4" s="697" t="s">
        <v>531</v>
      </c>
      <c r="C4" s="343"/>
      <c r="D4" s="343"/>
      <c r="E4" s="343"/>
      <c r="F4" s="343"/>
      <c r="G4" s="346"/>
      <c r="H4" s="346"/>
      <c r="I4" s="343"/>
      <c r="J4" s="343"/>
      <c r="K4" s="343"/>
      <c r="L4" s="347"/>
      <c r="M4" s="343"/>
      <c r="N4" s="348"/>
      <c r="O4" s="343"/>
      <c r="P4" s="343"/>
      <c r="Q4" s="349"/>
    </row>
    <row r="5" spans="1:17" x14ac:dyDescent="0.2">
      <c r="B5" s="209" t="s">
        <v>408</v>
      </c>
      <c r="C5" s="343"/>
      <c r="D5" s="343"/>
      <c r="E5" s="343"/>
      <c r="F5" s="343"/>
      <c r="G5" s="346"/>
      <c r="H5" s="346"/>
      <c r="I5" s="343"/>
      <c r="J5" s="343"/>
      <c r="K5" s="343"/>
      <c r="L5" s="347"/>
      <c r="M5" s="343"/>
      <c r="N5" s="350"/>
      <c r="O5" s="351"/>
      <c r="P5" s="343"/>
      <c r="Q5" s="349"/>
    </row>
    <row r="6" spans="1:17" ht="13.5" customHeight="1" x14ac:dyDescent="0.2">
      <c r="B6" s="352"/>
      <c r="C6" s="352"/>
      <c r="D6" s="352"/>
      <c r="E6" s="352"/>
      <c r="F6" s="353"/>
      <c r="G6" s="354"/>
      <c r="H6" s="355"/>
      <c r="I6" s="353"/>
      <c r="J6" s="353"/>
      <c r="K6" s="353"/>
      <c r="L6" s="356"/>
      <c r="N6" s="358"/>
      <c r="O6" s="359"/>
    </row>
    <row r="7" spans="1:17" ht="12" customHeight="1" x14ac:dyDescent="0.2">
      <c r="B7" s="361"/>
      <c r="C7" s="362"/>
      <c r="D7" s="363" t="s">
        <v>409</v>
      </c>
      <c r="E7" s="227" t="s">
        <v>410</v>
      </c>
      <c r="F7" s="364"/>
      <c r="G7" s="365"/>
      <c r="H7" s="366" t="s">
        <v>411</v>
      </c>
      <c r="I7" s="364"/>
      <c r="J7" s="367"/>
      <c r="K7" s="849" t="s">
        <v>412</v>
      </c>
      <c r="L7" s="850"/>
      <c r="M7" s="368"/>
      <c r="N7" s="350"/>
      <c r="O7" s="231" t="s">
        <v>413</v>
      </c>
      <c r="Q7" s="232" t="s">
        <v>414</v>
      </c>
    </row>
    <row r="8" spans="1:17" x14ac:dyDescent="0.2">
      <c r="B8" s="369" t="s">
        <v>116</v>
      </c>
      <c r="C8" s="239" t="s">
        <v>2</v>
      </c>
      <c r="D8" s="370" t="s">
        <v>415</v>
      </c>
      <c r="E8" s="239" t="s">
        <v>7</v>
      </c>
      <c r="F8" s="371" t="s">
        <v>416</v>
      </c>
      <c r="G8" s="370"/>
      <c r="H8" s="370" t="s">
        <v>7</v>
      </c>
      <c r="I8" s="371" t="s">
        <v>416</v>
      </c>
      <c r="J8" s="371"/>
      <c r="K8" s="371" t="s">
        <v>417</v>
      </c>
      <c r="L8" s="372" t="s">
        <v>418</v>
      </c>
      <c r="M8" s="373"/>
      <c r="N8" s="374"/>
      <c r="O8" s="239" t="s">
        <v>419</v>
      </c>
      <c r="Q8" s="240" t="s">
        <v>420</v>
      </c>
    </row>
    <row r="9" spans="1:17" x14ac:dyDescent="0.2">
      <c r="A9" s="359"/>
      <c r="B9" s="231"/>
      <c r="C9" s="231"/>
      <c r="D9" s="231"/>
      <c r="E9" s="231"/>
      <c r="F9" s="375"/>
      <c r="G9" s="365"/>
      <c r="H9" s="365"/>
      <c r="I9" s="375"/>
      <c r="J9" s="375"/>
      <c r="K9" s="375"/>
      <c r="L9" s="376"/>
      <c r="M9" s="373"/>
      <c r="N9" s="374"/>
      <c r="O9" s="359"/>
      <c r="P9" s="359"/>
      <c r="Q9" s="377"/>
    </row>
    <row r="10" spans="1:17" x14ac:dyDescent="0.2">
      <c r="B10" s="378" t="s">
        <v>439</v>
      </c>
      <c r="C10" s="379"/>
      <c r="D10" s="380"/>
      <c r="E10" s="380"/>
      <c r="F10" s="381"/>
      <c r="G10" s="382"/>
      <c r="H10" s="383"/>
      <c r="I10" s="381"/>
      <c r="J10" s="381"/>
      <c r="K10" s="381"/>
      <c r="L10" s="384"/>
      <c r="M10" s="385"/>
      <c r="N10" s="358"/>
      <c r="O10" s="359"/>
      <c r="P10" s="359"/>
      <c r="Q10" s="377"/>
    </row>
    <row r="11" spans="1:17" x14ac:dyDescent="0.2">
      <c r="B11" s="386"/>
      <c r="C11" s="359"/>
      <c r="D11" s="387"/>
      <c r="E11" s="359"/>
      <c r="F11" s="388"/>
      <c r="G11" s="389"/>
      <c r="H11" s="390"/>
      <c r="I11" s="388"/>
      <c r="J11" s="388"/>
      <c r="K11" s="388"/>
      <c r="L11" s="391"/>
      <c r="M11" s="385"/>
      <c r="N11" s="358"/>
      <c r="O11" s="392" t="s">
        <v>440</v>
      </c>
      <c r="P11" s="359"/>
      <c r="Q11" s="377"/>
    </row>
    <row r="12" spans="1:17" x14ac:dyDescent="0.2">
      <c r="B12" s="393" t="s">
        <v>423</v>
      </c>
      <c r="C12" s="394" t="s">
        <v>22</v>
      </c>
      <c r="D12" s="395">
        <v>679614.01800213428</v>
      </c>
      <c r="E12" s="396">
        <v>33.42</v>
      </c>
      <c r="F12" s="388">
        <f>ROUND(D12*E12,2)</f>
        <v>22712700.48</v>
      </c>
      <c r="G12" s="389"/>
      <c r="H12" s="303">
        <f>ROUND(E12*(1+$O$16),2)</f>
        <v>32.159999999999997</v>
      </c>
      <c r="I12" s="397">
        <f>ROUND(D12*H12,2)</f>
        <v>21856386.82</v>
      </c>
      <c r="J12" s="388"/>
      <c r="K12" s="388">
        <f>I12-F12</f>
        <v>-856313.66000000015</v>
      </c>
      <c r="L12" s="391"/>
      <c r="M12" s="385"/>
      <c r="N12" s="358"/>
      <c r="O12" s="398">
        <v>-1436063.4611234923</v>
      </c>
      <c r="P12" s="359"/>
      <c r="Q12" s="261">
        <f>H12/E12-1</f>
        <v>-3.7701974865350207E-2</v>
      </c>
    </row>
    <row r="13" spans="1:17" x14ac:dyDescent="0.2">
      <c r="B13" s="386" t="s">
        <v>424</v>
      </c>
      <c r="C13" s="399" t="s">
        <v>10</v>
      </c>
      <c r="D13" s="395">
        <v>214564223.29299998</v>
      </c>
      <c r="E13" s="400">
        <v>0.30626999999999999</v>
      </c>
      <c r="F13" s="388">
        <f>ROUND(D13*E13,2)</f>
        <v>65714584.670000002</v>
      </c>
      <c r="G13" s="389"/>
      <c r="H13" s="401">
        <f>ROUND(E13*(1+$O$16),5)</f>
        <v>0.29475000000000001</v>
      </c>
      <c r="I13" s="397">
        <f>ROUND(D13*H13,2)</f>
        <v>63242804.82</v>
      </c>
      <c r="J13" s="388"/>
      <c r="K13" s="388">
        <f>I13-F13</f>
        <v>-2471779.8500000015</v>
      </c>
      <c r="L13" s="391"/>
      <c r="M13" s="385"/>
      <c r="N13" s="358"/>
      <c r="O13" s="402" t="s">
        <v>425</v>
      </c>
      <c r="P13" s="359"/>
      <c r="Q13" s="261">
        <f>H13/E13-1</f>
        <v>-3.7613870114604708E-2</v>
      </c>
    </row>
    <row r="14" spans="1:17" x14ac:dyDescent="0.2">
      <c r="B14" s="386" t="s">
        <v>441</v>
      </c>
      <c r="C14" s="399"/>
      <c r="D14" s="403">
        <f>D13</f>
        <v>214564223.29299998</v>
      </c>
      <c r="E14" s="400">
        <v>0</v>
      </c>
      <c r="F14" s="388">
        <f>ROUND(D14*E14,2)</f>
        <v>0</v>
      </c>
      <c r="G14" s="389"/>
      <c r="H14" s="400">
        <v>8.8199999999999997E-3</v>
      </c>
      <c r="I14" s="388">
        <f>ROUND(D14*H14,2)</f>
        <v>1892456.45</v>
      </c>
      <c r="J14" s="404"/>
      <c r="K14" s="388">
        <f>I14-F14</f>
        <v>1892456.45</v>
      </c>
      <c r="L14" s="405"/>
      <c r="M14" s="373"/>
      <c r="N14" s="373"/>
      <c r="O14" s="406">
        <f>K15+K27-O12</f>
        <v>-31.718876509461552</v>
      </c>
      <c r="P14" s="359"/>
      <c r="Q14" s="377"/>
    </row>
    <row r="15" spans="1:17" x14ac:dyDescent="0.2">
      <c r="B15" s="281" t="s">
        <v>429</v>
      </c>
      <c r="C15" s="407"/>
      <c r="D15" s="389"/>
      <c r="E15" s="408"/>
      <c r="F15" s="381">
        <f>SUM(F12:F14)</f>
        <v>88427285.150000006</v>
      </c>
      <c r="G15" s="389"/>
      <c r="H15" s="389"/>
      <c r="I15" s="409">
        <f>SUM(I12:I14)</f>
        <v>86991648.090000004</v>
      </c>
      <c r="J15" s="388"/>
      <c r="K15" s="381">
        <f>SUM(K12:K14)</f>
        <v>-1435637.0600000017</v>
      </c>
      <c r="L15" s="384">
        <f>ROUND(K15/F15,5)</f>
        <v>-1.6240000000000001E-2</v>
      </c>
      <c r="M15" s="385"/>
      <c r="N15" s="358"/>
      <c r="O15" s="410"/>
      <c r="P15" s="411"/>
      <c r="Q15" s="412"/>
    </row>
    <row r="16" spans="1:17" x14ac:dyDescent="0.2">
      <c r="B16" s="386"/>
      <c r="C16" s="359"/>
      <c r="D16" s="390"/>
      <c r="E16" s="408"/>
      <c r="F16" s="388"/>
      <c r="G16" s="389"/>
      <c r="H16" s="389"/>
      <c r="I16" s="397"/>
      <c r="J16" s="388"/>
      <c r="K16" s="388"/>
      <c r="L16" s="391"/>
      <c r="M16" s="385"/>
      <c r="N16" s="358"/>
      <c r="O16" s="413">
        <v>-3.7605143002000636E-2</v>
      </c>
      <c r="P16" s="359"/>
      <c r="Q16" s="377"/>
    </row>
    <row r="17" spans="1:17" ht="15" x14ac:dyDescent="0.25">
      <c r="B17" s="249" t="s">
        <v>426</v>
      </c>
      <c r="C17" s="399" t="s">
        <v>10</v>
      </c>
      <c r="D17" s="389">
        <f>D13</f>
        <v>214564223.29299998</v>
      </c>
      <c r="E17" s="414">
        <v>0.41065000000000002</v>
      </c>
      <c r="F17" s="388">
        <f>E17*D17</f>
        <v>88110798.295270443</v>
      </c>
      <c r="G17" s="390"/>
      <c r="H17" s="400">
        <v>0.40664</v>
      </c>
      <c r="I17" s="397">
        <f>H17*D17</f>
        <v>87250395.759865507</v>
      </c>
      <c r="J17" s="388"/>
      <c r="K17" s="388">
        <f>I17-F17</f>
        <v>-860402.53540493548</v>
      </c>
      <c r="L17" s="391">
        <f>ROUND(K17/F17,5)</f>
        <v>-9.7699999999999992E-3</v>
      </c>
      <c r="M17" s="385"/>
      <c r="N17" s="358"/>
      <c r="O17" s="231"/>
      <c r="P17" s="231"/>
      <c r="Q17" s="231"/>
    </row>
    <row r="18" spans="1:17" x14ac:dyDescent="0.2">
      <c r="B18" s="386"/>
      <c r="C18" s="359"/>
      <c r="D18" s="390"/>
      <c r="E18" s="415"/>
      <c r="F18" s="388"/>
      <c r="G18" s="416"/>
      <c r="H18" s="417"/>
      <c r="I18" s="397"/>
      <c r="J18" s="388"/>
      <c r="K18" s="388"/>
      <c r="L18" s="391"/>
      <c r="M18" s="385"/>
      <c r="N18" s="358"/>
      <c r="O18" s="418"/>
      <c r="P18" s="231"/>
      <c r="Q18" s="231"/>
    </row>
    <row r="19" spans="1:17" x14ac:dyDescent="0.2">
      <c r="B19" s="419" t="s">
        <v>427</v>
      </c>
      <c r="C19" s="359"/>
      <c r="D19" s="390"/>
      <c r="E19" s="359"/>
      <c r="F19" s="381">
        <f>F17+F15</f>
        <v>176538083.44527045</v>
      </c>
      <c r="G19" s="416"/>
      <c r="H19" s="420"/>
      <c r="I19" s="409">
        <f>I17+I15</f>
        <v>174242043.8498655</v>
      </c>
      <c r="J19" s="388"/>
      <c r="K19" s="381">
        <f>K15+K17</f>
        <v>-2296039.5954049369</v>
      </c>
      <c r="L19" s="384">
        <f>ROUND(K19/F19,5)</f>
        <v>-1.3010000000000001E-2</v>
      </c>
      <c r="M19" s="385"/>
      <c r="N19" s="358"/>
      <c r="O19" s="231"/>
      <c r="P19" s="231"/>
      <c r="Q19" s="231"/>
    </row>
    <row r="20" spans="1:17" x14ac:dyDescent="0.2">
      <c r="B20" s="421"/>
      <c r="C20" s="422"/>
      <c r="D20" s="423"/>
      <c r="E20" s="424"/>
      <c r="F20" s="425"/>
      <c r="G20" s="423"/>
      <c r="H20" s="426"/>
      <c r="I20" s="427"/>
      <c r="J20" s="428"/>
      <c r="K20" s="428"/>
      <c r="L20" s="429"/>
      <c r="M20" s="385"/>
      <c r="N20" s="358"/>
      <c r="O20" s="359"/>
    </row>
    <row r="21" spans="1:17" x14ac:dyDescent="0.2">
      <c r="A21" s="359"/>
      <c r="B21" s="359"/>
      <c r="C21" s="359"/>
      <c r="D21" s="390"/>
      <c r="E21" s="359"/>
      <c r="F21" s="430"/>
      <c r="G21" s="416"/>
      <c r="H21" s="420"/>
      <c r="I21" s="430"/>
      <c r="J21" s="430"/>
      <c r="K21" s="388"/>
      <c r="L21" s="431"/>
      <c r="M21" s="385"/>
      <c r="N21" s="358"/>
      <c r="O21" s="359"/>
    </row>
    <row r="22" spans="1:17" x14ac:dyDescent="0.2">
      <c r="A22" s="359"/>
      <c r="B22" s="432" t="s">
        <v>442</v>
      </c>
      <c r="C22" s="379"/>
      <c r="D22" s="380"/>
      <c r="E22" s="380"/>
      <c r="F22" s="381"/>
      <c r="G22" s="382"/>
      <c r="H22" s="383"/>
      <c r="I22" s="381"/>
      <c r="J22" s="381"/>
      <c r="K22" s="381"/>
      <c r="L22" s="384"/>
      <c r="M22" s="385"/>
      <c r="N22" s="358"/>
      <c r="O22" s="359"/>
    </row>
    <row r="23" spans="1:17" x14ac:dyDescent="0.2">
      <c r="A23" s="359"/>
      <c r="B23" s="386"/>
      <c r="C23" s="359"/>
      <c r="D23" s="387"/>
      <c r="E23" s="359"/>
      <c r="F23" s="388"/>
      <c r="G23" s="389"/>
      <c r="H23" s="390"/>
      <c r="I23" s="388"/>
      <c r="J23" s="388"/>
      <c r="K23" s="388"/>
      <c r="L23" s="391"/>
      <c r="M23" s="385"/>
      <c r="N23" s="358"/>
      <c r="O23" s="359"/>
      <c r="Q23" s="261">
        <f>H24/E24-1</f>
        <v>-3.7596234935661998E-2</v>
      </c>
    </row>
    <row r="24" spans="1:17" x14ac:dyDescent="0.2">
      <c r="A24" s="359"/>
      <c r="B24" s="393" t="s">
        <v>423</v>
      </c>
      <c r="C24" s="394" t="s">
        <v>22</v>
      </c>
      <c r="D24" s="395">
        <v>23</v>
      </c>
      <c r="E24" s="396">
        <v>367.59</v>
      </c>
      <c r="F24" s="388">
        <f>ROUND(D24*E24,2)</f>
        <v>8454.57</v>
      </c>
      <c r="G24" s="389"/>
      <c r="H24" s="303">
        <f>ROUND(E24*(1+$O$16),2)</f>
        <v>353.77</v>
      </c>
      <c r="I24" s="397">
        <f>ROUND(D24*H24,2)</f>
        <v>8136.71</v>
      </c>
      <c r="J24" s="388"/>
      <c r="K24" s="388">
        <f>I24-F24</f>
        <v>-317.85999999999967</v>
      </c>
      <c r="L24" s="391"/>
      <c r="M24" s="385"/>
      <c r="N24" s="358"/>
      <c r="O24" s="359"/>
      <c r="Q24" s="261">
        <f>H25/E25-1</f>
        <v>-3.7613870114604708E-2</v>
      </c>
    </row>
    <row r="25" spans="1:17" x14ac:dyDescent="0.2">
      <c r="A25" s="359"/>
      <c r="B25" s="386" t="s">
        <v>424</v>
      </c>
      <c r="C25" s="399" t="s">
        <v>10</v>
      </c>
      <c r="D25" s="395">
        <v>22880.93</v>
      </c>
      <c r="E25" s="400">
        <v>0.30626999999999999</v>
      </c>
      <c r="F25" s="388">
        <f>ROUND(D25*E25,2)</f>
        <v>7007.74</v>
      </c>
      <c r="G25" s="389"/>
      <c r="H25" s="401">
        <f>H13</f>
        <v>0.29475000000000001</v>
      </c>
      <c r="I25" s="397">
        <f>ROUND(D25*H25,2)</f>
        <v>6744.15</v>
      </c>
      <c r="J25" s="388"/>
      <c r="K25" s="388">
        <f>I25-F25</f>
        <v>-263.59000000000015</v>
      </c>
      <c r="L25" s="391"/>
      <c r="M25" s="385"/>
      <c r="N25" s="358"/>
      <c r="O25" s="359"/>
      <c r="Q25" s="261"/>
    </row>
    <row r="26" spans="1:17" x14ac:dyDescent="0.2">
      <c r="A26" s="359"/>
      <c r="B26" s="433" t="s">
        <v>441</v>
      </c>
      <c r="C26" s="399"/>
      <c r="D26" s="403">
        <f>D25</f>
        <v>22880.93</v>
      </c>
      <c r="E26" s="400">
        <v>-5.3899999999999998E-3</v>
      </c>
      <c r="F26" s="388">
        <f>ROUND(D26*E26,2)</f>
        <v>-123.33</v>
      </c>
      <c r="G26" s="389"/>
      <c r="H26" s="434">
        <v>0</v>
      </c>
      <c r="I26" s="397">
        <f>ROUND(D26*H26,2)</f>
        <v>0</v>
      </c>
      <c r="J26" s="388"/>
      <c r="K26" s="388">
        <f>I26-F26</f>
        <v>123.33</v>
      </c>
      <c r="L26" s="391"/>
      <c r="M26" s="385"/>
      <c r="N26" s="358"/>
      <c r="O26" s="359"/>
    </row>
    <row r="27" spans="1:17" x14ac:dyDescent="0.2">
      <c r="A27" s="359"/>
      <c r="B27" s="281" t="s">
        <v>429</v>
      </c>
      <c r="C27" s="407"/>
      <c r="D27" s="389"/>
      <c r="E27" s="408"/>
      <c r="F27" s="381">
        <f>SUM(F24:F26)</f>
        <v>15338.98</v>
      </c>
      <c r="G27" s="389"/>
      <c r="H27" s="389"/>
      <c r="I27" s="409">
        <f>SUM(I24:I26)</f>
        <v>14880.86</v>
      </c>
      <c r="J27" s="388"/>
      <c r="K27" s="409">
        <f>SUM(K24:K26)</f>
        <v>-458.11999999999983</v>
      </c>
      <c r="L27" s="384"/>
      <c r="M27" s="385"/>
      <c r="N27" s="358"/>
      <c r="O27" s="359"/>
    </row>
    <row r="28" spans="1:17" x14ac:dyDescent="0.2">
      <c r="A28" s="359"/>
      <c r="B28" s="386"/>
      <c r="C28" s="359"/>
      <c r="D28" s="390"/>
      <c r="E28" s="408"/>
      <c r="F28" s="388"/>
      <c r="G28" s="389"/>
      <c r="H28" s="389"/>
      <c r="I28" s="397"/>
      <c r="J28" s="388"/>
      <c r="K28" s="388"/>
      <c r="L28" s="391"/>
      <c r="M28" s="385"/>
      <c r="N28" s="358"/>
      <c r="O28" s="359"/>
    </row>
    <row r="29" spans="1:17" x14ac:dyDescent="0.2">
      <c r="A29" s="359"/>
      <c r="B29" s="435" t="s">
        <v>443</v>
      </c>
      <c r="C29" s="399" t="s">
        <v>10</v>
      </c>
      <c r="D29" s="389">
        <f>D25</f>
        <v>22880.93</v>
      </c>
      <c r="E29" s="400">
        <v>6.9999999999999999E-4</v>
      </c>
      <c r="F29" s="388">
        <f>E29*D29</f>
        <v>16.016651</v>
      </c>
      <c r="G29" s="390"/>
      <c r="H29" s="401">
        <f>E29</f>
        <v>6.9999999999999999E-4</v>
      </c>
      <c r="I29" s="397">
        <f>H29*D29</f>
        <v>16.016651</v>
      </c>
      <c r="J29" s="388"/>
      <c r="K29" s="388">
        <f>I29-F29</f>
        <v>0</v>
      </c>
      <c r="L29" s="391"/>
      <c r="M29" s="385"/>
      <c r="N29" s="358"/>
      <c r="O29" s="359"/>
    </row>
    <row r="30" spans="1:17" x14ac:dyDescent="0.2">
      <c r="A30" s="359"/>
      <c r="B30" s="419" t="s">
        <v>427</v>
      </c>
      <c r="C30" s="359"/>
      <c r="D30" s="390"/>
      <c r="E30" s="359"/>
      <c r="F30" s="381">
        <f>F29+F27</f>
        <v>15354.996650999999</v>
      </c>
      <c r="G30" s="416"/>
      <c r="H30" s="420"/>
      <c r="I30" s="409">
        <f>I29+I27</f>
        <v>14896.876651</v>
      </c>
      <c r="J30" s="388"/>
      <c r="K30" s="381">
        <f>K27+K29</f>
        <v>-458.11999999999983</v>
      </c>
      <c r="L30" s="384"/>
      <c r="M30" s="385"/>
      <c r="N30" s="358"/>
      <c r="O30" s="359"/>
    </row>
    <row r="31" spans="1:17" x14ac:dyDescent="0.2">
      <c r="A31" s="359"/>
      <c r="B31" s="421"/>
      <c r="C31" s="422"/>
      <c r="D31" s="423"/>
      <c r="E31" s="424"/>
      <c r="F31" s="425"/>
      <c r="G31" s="423"/>
      <c r="H31" s="426"/>
      <c r="I31" s="427"/>
      <c r="J31" s="428"/>
      <c r="K31" s="428"/>
      <c r="L31" s="429"/>
      <c r="M31" s="385"/>
      <c r="N31" s="358"/>
      <c r="O31" s="359"/>
    </row>
    <row r="32" spans="1:17" x14ac:dyDescent="0.2">
      <c r="A32" s="359"/>
      <c r="B32" s="359"/>
      <c r="C32" s="359"/>
      <c r="D32" s="390"/>
      <c r="E32" s="359"/>
      <c r="F32" s="430"/>
      <c r="G32" s="416"/>
      <c r="H32" s="420"/>
      <c r="I32" s="430"/>
      <c r="J32" s="430"/>
      <c r="K32" s="388"/>
      <c r="L32" s="431"/>
      <c r="M32" s="385"/>
      <c r="N32" s="358"/>
      <c r="O32" s="359"/>
    </row>
    <row r="33" spans="1:17" x14ac:dyDescent="0.2">
      <c r="A33" s="359"/>
      <c r="B33" s="378" t="s">
        <v>444</v>
      </c>
      <c r="C33" s="379"/>
      <c r="D33" s="380"/>
      <c r="E33" s="380"/>
      <c r="F33" s="381"/>
      <c r="G33" s="382"/>
      <c r="H33" s="383"/>
      <c r="I33" s="381"/>
      <c r="J33" s="381"/>
      <c r="K33" s="381"/>
      <c r="L33" s="384"/>
      <c r="M33" s="385"/>
      <c r="N33" s="358"/>
      <c r="O33" s="359"/>
    </row>
    <row r="34" spans="1:17" x14ac:dyDescent="0.2">
      <c r="A34" s="359"/>
      <c r="B34" s="386"/>
      <c r="C34" s="359"/>
      <c r="D34" s="387"/>
      <c r="E34" s="359"/>
      <c r="F34" s="388"/>
      <c r="G34" s="389"/>
      <c r="H34" s="390"/>
      <c r="I34" s="388"/>
      <c r="J34" s="388"/>
      <c r="K34" s="388"/>
      <c r="L34" s="391"/>
      <c r="M34" s="385"/>
      <c r="N34" s="358"/>
      <c r="O34" s="359"/>
    </row>
    <row r="35" spans="1:17" x14ac:dyDescent="0.2">
      <c r="A35" s="359"/>
      <c r="B35" s="393" t="s">
        <v>423</v>
      </c>
      <c r="C35" s="394" t="s">
        <v>22</v>
      </c>
      <c r="D35" s="403">
        <f>D12+D24</f>
        <v>679637.01800213428</v>
      </c>
      <c r="E35" s="436"/>
      <c r="F35" s="388">
        <f>F12+F24</f>
        <v>22721155.050000001</v>
      </c>
      <c r="G35" s="389"/>
      <c r="H35" s="436"/>
      <c r="I35" s="388">
        <f>I12+I24</f>
        <v>21864523.530000001</v>
      </c>
      <c r="J35" s="388"/>
      <c r="K35" s="388">
        <f>I35-F35</f>
        <v>-856631.51999999955</v>
      </c>
      <c r="L35" s="391"/>
      <c r="M35" s="385"/>
      <c r="N35" s="358"/>
      <c r="O35" s="359"/>
    </row>
    <row r="36" spans="1:17" x14ac:dyDescent="0.2">
      <c r="A36" s="359"/>
      <c r="B36" s="386" t="s">
        <v>424</v>
      </c>
      <c r="C36" s="399" t="s">
        <v>10</v>
      </c>
      <c r="D36" s="403">
        <f>D13+D25</f>
        <v>214587104.22299999</v>
      </c>
      <c r="E36" s="437"/>
      <c r="F36" s="388">
        <f>F13+F25+F26</f>
        <v>65721469.080000006</v>
      </c>
      <c r="G36" s="389"/>
      <c r="H36" s="437"/>
      <c r="I36" s="388">
        <f>I13+I25+I14</f>
        <v>65142005.420000002</v>
      </c>
      <c r="J36" s="388"/>
      <c r="K36" s="388">
        <f>I36-F36</f>
        <v>-579463.66000000387</v>
      </c>
      <c r="L36" s="391"/>
      <c r="M36" s="385"/>
      <c r="N36" s="358"/>
      <c r="O36" s="359"/>
    </row>
    <row r="37" spans="1:17" x14ac:dyDescent="0.2">
      <c r="A37" s="359"/>
      <c r="B37" s="281" t="s">
        <v>429</v>
      </c>
      <c r="C37" s="407"/>
      <c r="D37" s="389"/>
      <c r="E37" s="390"/>
      <c r="F37" s="381">
        <f>SUM(F35:F36)</f>
        <v>88442624.13000001</v>
      </c>
      <c r="G37" s="389"/>
      <c r="H37" s="389"/>
      <c r="I37" s="381">
        <f>SUM(I35:I36)</f>
        <v>87006528.950000003</v>
      </c>
      <c r="J37" s="388"/>
      <c r="K37" s="381">
        <f>SUM(K35:K36)</f>
        <v>-1436095.1800000034</v>
      </c>
      <c r="L37" s="384">
        <f>ROUND(K37/F37,5)</f>
        <v>-1.6240000000000001E-2</v>
      </c>
      <c r="M37" s="385"/>
      <c r="N37" s="358"/>
      <c r="O37" s="359"/>
    </row>
    <row r="38" spans="1:17" x14ac:dyDescent="0.2">
      <c r="A38" s="359"/>
      <c r="B38" s="386"/>
      <c r="C38" s="359"/>
      <c r="D38" s="390"/>
      <c r="E38" s="390"/>
      <c r="F38" s="388"/>
      <c r="G38" s="389"/>
      <c r="H38" s="389"/>
      <c r="I38" s="388"/>
      <c r="J38" s="388"/>
      <c r="K38" s="388"/>
      <c r="L38" s="391"/>
      <c r="M38" s="385"/>
      <c r="N38" s="358"/>
      <c r="O38" s="359"/>
    </row>
    <row r="39" spans="1:17" x14ac:dyDescent="0.2">
      <c r="A39" s="359"/>
      <c r="B39" s="386"/>
      <c r="C39" s="359"/>
      <c r="D39" s="390"/>
      <c r="E39" s="390"/>
      <c r="F39" s="388"/>
      <c r="G39" s="389"/>
      <c r="H39" s="389"/>
      <c r="I39" s="388"/>
      <c r="J39" s="388"/>
      <c r="K39" s="388"/>
      <c r="L39" s="391"/>
      <c r="M39" s="385"/>
      <c r="N39" s="358"/>
      <c r="O39" s="359"/>
    </row>
    <row r="40" spans="1:17" x14ac:dyDescent="0.2">
      <c r="A40" s="359"/>
      <c r="B40" s="249" t="s">
        <v>426</v>
      </c>
      <c r="C40" s="399" t="s">
        <v>10</v>
      </c>
      <c r="D40" s="389">
        <f>D36</f>
        <v>214587104.22299999</v>
      </c>
      <c r="E40" s="437"/>
      <c r="F40" s="388">
        <f>F17+F29</f>
        <v>88110814.311921448</v>
      </c>
      <c r="G40" s="390"/>
      <c r="H40" s="401"/>
      <c r="I40" s="388">
        <f>I17+I29</f>
        <v>87250411.776516512</v>
      </c>
      <c r="J40" s="388"/>
      <c r="K40" s="428">
        <f>I40-F40</f>
        <v>-860402.53540493548</v>
      </c>
      <c r="L40" s="429">
        <f>ROUND(K40/F40,5)</f>
        <v>-9.7699999999999992E-3</v>
      </c>
      <c r="M40" s="385"/>
      <c r="N40" s="358"/>
      <c r="O40" s="359"/>
    </row>
    <row r="41" spans="1:17" x14ac:dyDescent="0.2">
      <c r="A41" s="359"/>
      <c r="B41" s="419" t="s">
        <v>427</v>
      </c>
      <c r="C41" s="359"/>
      <c r="D41" s="390"/>
      <c r="E41" s="359"/>
      <c r="F41" s="381">
        <f>F40+F37</f>
        <v>176553438.44192147</v>
      </c>
      <c r="G41" s="416"/>
      <c r="H41" s="420"/>
      <c r="I41" s="381">
        <f>I40+I37</f>
        <v>174256940.72651652</v>
      </c>
      <c r="J41" s="388"/>
      <c r="K41" s="381">
        <f>K37+K40</f>
        <v>-2296497.7154049389</v>
      </c>
      <c r="L41" s="384">
        <f>ROUND(K41/F41,5)</f>
        <v>-1.3010000000000001E-2</v>
      </c>
      <c r="M41" s="385"/>
      <c r="N41" s="358"/>
      <c r="O41" s="359"/>
    </row>
    <row r="42" spans="1:17" x14ac:dyDescent="0.2">
      <c r="A42" s="359"/>
      <c r="B42" s="421"/>
      <c r="C42" s="422"/>
      <c r="D42" s="423"/>
      <c r="E42" s="424"/>
      <c r="F42" s="425"/>
      <c r="G42" s="423"/>
      <c r="H42" s="426"/>
      <c r="I42" s="427"/>
      <c r="J42" s="428"/>
      <c r="K42" s="428"/>
      <c r="L42" s="429"/>
      <c r="M42" s="385"/>
      <c r="N42" s="358"/>
      <c r="O42" s="359"/>
    </row>
    <row r="43" spans="1:17" x14ac:dyDescent="0.2">
      <c r="A43" s="359"/>
      <c r="B43" s="359"/>
      <c r="C43" s="359"/>
      <c r="D43" s="390"/>
      <c r="E43" s="359"/>
      <c r="F43" s="430"/>
      <c r="G43" s="416"/>
      <c r="H43" s="420"/>
      <c r="I43" s="430"/>
      <c r="J43" s="430"/>
      <c r="K43" s="388"/>
      <c r="L43" s="431"/>
      <c r="M43" s="385"/>
      <c r="N43" s="358"/>
      <c r="O43" s="359"/>
    </row>
    <row r="44" spans="1:17" x14ac:dyDescent="0.2">
      <c r="A44" s="359"/>
      <c r="B44" s="359"/>
      <c r="C44" s="359"/>
      <c r="D44" s="390"/>
      <c r="E44" s="359"/>
      <c r="F44" s="430"/>
      <c r="G44" s="416"/>
      <c r="H44" s="420"/>
      <c r="I44" s="430"/>
      <c r="J44" s="430"/>
      <c r="K44" s="388"/>
      <c r="L44" s="431"/>
      <c r="M44" s="385"/>
      <c r="N44" s="358"/>
    </row>
    <row r="45" spans="1:17" x14ac:dyDescent="0.2">
      <c r="B45" s="432" t="s">
        <v>445</v>
      </c>
      <c r="C45" s="379"/>
      <c r="D45" s="383"/>
      <c r="E45" s="380"/>
      <c r="F45" s="381"/>
      <c r="G45" s="383"/>
      <c r="H45" s="383"/>
      <c r="I45" s="381"/>
      <c r="J45" s="381"/>
      <c r="K45" s="381"/>
      <c r="L45" s="384"/>
      <c r="M45" s="385"/>
      <c r="N45" s="358"/>
      <c r="O45" s="438" t="s">
        <v>446</v>
      </c>
    </row>
    <row r="46" spans="1:17" x14ac:dyDescent="0.2">
      <c r="B46" s="439"/>
      <c r="C46" s="359"/>
      <c r="D46" s="390"/>
      <c r="E46" s="390"/>
      <c r="F46" s="388"/>
      <c r="G46" s="440"/>
      <c r="H46" s="390"/>
      <c r="I46" s="388"/>
      <c r="J46" s="388"/>
      <c r="K46" s="388"/>
      <c r="L46" s="391"/>
      <c r="M46" s="385"/>
      <c r="N46" s="441"/>
      <c r="O46" s="442">
        <v>-300287.59071210795</v>
      </c>
      <c r="Q46" s="261">
        <f>H47/E47-1</f>
        <v>-6.8201715986692224E-2</v>
      </c>
    </row>
    <row r="47" spans="1:17" x14ac:dyDescent="0.2">
      <c r="B47" s="393" t="s">
        <v>423</v>
      </c>
      <c r="C47" s="394" t="s">
        <v>22</v>
      </c>
      <c r="D47" s="395">
        <v>16236.105928853754</v>
      </c>
      <c r="E47" s="396">
        <v>114.22</v>
      </c>
      <c r="F47" s="388">
        <f>ROUND(D47*E47,2)</f>
        <v>1854488.02</v>
      </c>
      <c r="G47" s="389"/>
      <c r="H47" s="303">
        <f>ROUND(E47*(1+$O$52),2)</f>
        <v>106.43</v>
      </c>
      <c r="I47" s="388">
        <f>ROUND(D47*H47,2)</f>
        <v>1728008.75</v>
      </c>
      <c r="J47" s="388"/>
      <c r="K47" s="388">
        <f>I47-F47</f>
        <v>-126479.27000000002</v>
      </c>
      <c r="L47" s="391"/>
      <c r="M47" s="385"/>
      <c r="N47" s="441"/>
      <c r="O47" s="443" t="s">
        <v>425</v>
      </c>
      <c r="Q47" s="261">
        <f>H48/E48-1</f>
        <v>-6.8189128337085902E-2</v>
      </c>
    </row>
    <row r="48" spans="1:17" x14ac:dyDescent="0.2">
      <c r="B48" s="439" t="s">
        <v>447</v>
      </c>
      <c r="C48" s="394" t="s">
        <v>22</v>
      </c>
      <c r="D48" s="389">
        <f>D47</f>
        <v>16236.105928853754</v>
      </c>
      <c r="E48" s="396">
        <v>124.36</v>
      </c>
      <c r="F48" s="430">
        <f>D48*E48</f>
        <v>2019122.1333122528</v>
      </c>
      <c r="G48" s="403"/>
      <c r="H48" s="444">
        <f>ROUND(+H53*900,2)</f>
        <v>115.88</v>
      </c>
      <c r="I48" s="430">
        <f>ROUND(D48*H48,2)</f>
        <v>1881439.96</v>
      </c>
      <c r="J48" s="430"/>
      <c r="K48" s="388">
        <f>I48-F48</f>
        <v>-137682.17331225285</v>
      </c>
      <c r="L48" s="405"/>
      <c r="M48" s="385"/>
      <c r="N48" s="445"/>
      <c r="O48" s="446">
        <f>K57+K79-O46</f>
        <v>-172.99586919607827</v>
      </c>
      <c r="Q48" s="261">
        <f>H49/E49-1</f>
        <v>1.7391304347826209E-2</v>
      </c>
    </row>
    <row r="49" spans="1:17" x14ac:dyDescent="0.2">
      <c r="B49" s="435" t="s">
        <v>395</v>
      </c>
      <c r="C49" s="399" t="s">
        <v>29</v>
      </c>
      <c r="D49" s="395">
        <v>3818909.6199999996</v>
      </c>
      <c r="E49" s="396">
        <v>1.1499999999999999</v>
      </c>
      <c r="F49" s="430">
        <f>ROUND(D49*E49,2)</f>
        <v>4391746.0599999996</v>
      </c>
      <c r="G49" s="389"/>
      <c r="H49" s="396">
        <v>1.17</v>
      </c>
      <c r="I49" s="430">
        <f>ROUND(D49*H49,2)</f>
        <v>4468124.26</v>
      </c>
      <c r="J49" s="430"/>
      <c r="K49" s="388">
        <f>I49-F49</f>
        <v>76378.200000000186</v>
      </c>
      <c r="L49" s="405"/>
      <c r="M49" s="385"/>
      <c r="N49" s="445"/>
      <c r="O49" s="447"/>
    </row>
    <row r="50" spans="1:17" x14ac:dyDescent="0.2">
      <c r="B50" s="439"/>
      <c r="C50" s="359"/>
      <c r="D50" s="389"/>
      <c r="E50" s="396"/>
      <c r="F50" s="404"/>
      <c r="G50" s="389"/>
      <c r="H50" s="444"/>
      <c r="I50" s="430"/>
      <c r="J50" s="430"/>
      <c r="K50" s="448"/>
      <c r="L50" s="405"/>
      <c r="M50" s="385"/>
      <c r="N50" s="374"/>
      <c r="O50" s="449"/>
      <c r="P50" s="450"/>
      <c r="Q50" s="451"/>
    </row>
    <row r="51" spans="1:17" x14ac:dyDescent="0.2">
      <c r="B51" s="435" t="s">
        <v>448</v>
      </c>
      <c r="C51" s="359"/>
      <c r="D51" s="389"/>
      <c r="E51" s="396"/>
      <c r="F51" s="430"/>
      <c r="G51" s="389"/>
      <c r="H51" s="444"/>
      <c r="I51" s="430"/>
      <c r="J51" s="430"/>
      <c r="K51" s="448"/>
      <c r="L51" s="405"/>
      <c r="M51" s="385"/>
      <c r="N51" s="374"/>
      <c r="O51" s="450"/>
      <c r="P51" s="450"/>
      <c r="Q51" s="452"/>
    </row>
    <row r="52" spans="1:17" x14ac:dyDescent="0.2">
      <c r="B52" s="435" t="s">
        <v>371</v>
      </c>
      <c r="C52" s="399" t="s">
        <v>10</v>
      </c>
      <c r="D52" s="395">
        <v>13495006.088</v>
      </c>
      <c r="E52" s="400">
        <v>0.13818</v>
      </c>
      <c r="F52" s="388"/>
      <c r="G52" s="389"/>
      <c r="H52" s="453">
        <f>H53</f>
        <v>0.12876000000000001</v>
      </c>
      <c r="I52" s="454" t="s">
        <v>449</v>
      </c>
      <c r="J52" s="388"/>
      <c r="K52" s="388"/>
      <c r="L52" s="391"/>
      <c r="M52" s="385"/>
      <c r="N52" s="358"/>
      <c r="O52" s="277">
        <v>-6.819340402544434E-2</v>
      </c>
      <c r="P52" s="365"/>
      <c r="Q52" s="261">
        <f>H53/E53-1</f>
        <v>-6.8171949630916107E-2</v>
      </c>
    </row>
    <row r="53" spans="1:17" x14ac:dyDescent="0.2">
      <c r="B53" s="439" t="s">
        <v>372</v>
      </c>
      <c r="C53" s="399" t="s">
        <v>10</v>
      </c>
      <c r="D53" s="395">
        <v>28173626.976</v>
      </c>
      <c r="E53" s="400">
        <v>0.13818</v>
      </c>
      <c r="F53" s="388">
        <f>ROUND(D53*E53,2)</f>
        <v>3893031.78</v>
      </c>
      <c r="G53" s="389"/>
      <c r="H53" s="401">
        <f>ROUND(E53*(1+$O$52),5)</f>
        <v>0.12876000000000001</v>
      </c>
      <c r="I53" s="388">
        <f>ROUND(D53*H53,2)</f>
        <v>3627636.21</v>
      </c>
      <c r="J53" s="388"/>
      <c r="K53" s="388">
        <f>I53-F53</f>
        <v>-265395.56999999983</v>
      </c>
      <c r="L53" s="391"/>
      <c r="M53" s="385"/>
      <c r="N53" s="358"/>
      <c r="O53" s="455"/>
      <c r="P53" s="365"/>
      <c r="Q53" s="261">
        <f>H54/E54-1</f>
        <v>-6.8236986424525803E-2</v>
      </c>
    </row>
    <row r="54" spans="1:17" x14ac:dyDescent="0.2">
      <c r="B54" s="439" t="s">
        <v>373</v>
      </c>
      <c r="C54" s="399" t="s">
        <v>10</v>
      </c>
      <c r="D54" s="395">
        <v>24322017.149</v>
      </c>
      <c r="E54" s="400">
        <v>0.11123</v>
      </c>
      <c r="F54" s="388">
        <f>ROUND(D54*E54,2)</f>
        <v>2705337.97</v>
      </c>
      <c r="G54" s="389"/>
      <c r="H54" s="401">
        <f>ROUND(E54*(1+$O$52),5)</f>
        <v>0.10364</v>
      </c>
      <c r="I54" s="388">
        <f>ROUND(D54*H54,2)</f>
        <v>2520733.86</v>
      </c>
      <c r="J54" s="388"/>
      <c r="K54" s="388">
        <f>I54-F54</f>
        <v>-184604.11000000034</v>
      </c>
      <c r="L54" s="391"/>
      <c r="M54" s="385"/>
      <c r="N54" s="358"/>
      <c r="O54" s="397"/>
      <c r="P54" s="365"/>
      <c r="Q54" s="452"/>
    </row>
    <row r="55" spans="1:17" s="450" customFormat="1" x14ac:dyDescent="0.2">
      <c r="A55" s="390"/>
      <c r="B55" s="433" t="s">
        <v>450</v>
      </c>
      <c r="C55" s="407"/>
      <c r="D55" s="382">
        <f>SUM(D52:D54)</f>
        <v>65990650.213</v>
      </c>
      <c r="E55" s="456"/>
      <c r="F55" s="430"/>
      <c r="G55" s="389"/>
      <c r="H55" s="389"/>
      <c r="I55" s="390"/>
      <c r="J55" s="390"/>
      <c r="K55" s="390"/>
      <c r="L55" s="457"/>
      <c r="M55" s="458"/>
      <c r="N55" s="459"/>
      <c r="O55" s="460"/>
      <c r="P55" s="461"/>
      <c r="Q55" s="261"/>
    </row>
    <row r="56" spans="1:17" s="450" customFormat="1" x14ac:dyDescent="0.2">
      <c r="A56" s="390"/>
      <c r="B56" s="433" t="s">
        <v>441</v>
      </c>
      <c r="C56" s="399" t="s">
        <v>10</v>
      </c>
      <c r="D56" s="389">
        <f>D55</f>
        <v>65990650.213</v>
      </c>
      <c r="E56" s="462">
        <v>0</v>
      </c>
      <c r="F56" s="430">
        <f>D56*E56</f>
        <v>0</v>
      </c>
      <c r="G56" s="389"/>
      <c r="H56" s="463">
        <v>6.0899999999999999E-3</v>
      </c>
      <c r="I56" s="430">
        <f>D56*H56</f>
        <v>401883.05979716999</v>
      </c>
      <c r="J56" s="430"/>
      <c r="K56" s="388">
        <f>I56-F56</f>
        <v>401883.05979716999</v>
      </c>
      <c r="L56" s="391"/>
      <c r="M56" s="458"/>
      <c r="N56" s="459"/>
      <c r="O56" s="390"/>
      <c r="Q56" s="464"/>
    </row>
    <row r="57" spans="1:17" x14ac:dyDescent="0.2">
      <c r="B57" s="281" t="s">
        <v>429</v>
      </c>
      <c r="C57" s="407"/>
      <c r="D57" s="382"/>
      <c r="E57" s="456"/>
      <c r="F57" s="465">
        <f>SUM(F47:F56)</f>
        <v>14863725.963312253</v>
      </c>
      <c r="G57" s="389"/>
      <c r="H57" s="389"/>
      <c r="I57" s="465">
        <f>SUM(I47:I49,I53:I56)</f>
        <v>14627826.099797169</v>
      </c>
      <c r="J57" s="430"/>
      <c r="K57" s="465">
        <f>SUM(K47:K56)</f>
        <v>-235899.86351508286</v>
      </c>
      <c r="L57" s="384">
        <f>ROUND(K57/F57,5)</f>
        <v>-1.5869999999999999E-2</v>
      </c>
      <c r="M57" s="385"/>
      <c r="N57" s="358"/>
      <c r="O57" s="466"/>
      <c r="P57" s="467"/>
      <c r="Q57" s="468"/>
    </row>
    <row r="58" spans="1:17" x14ac:dyDescent="0.2">
      <c r="B58" s="393"/>
      <c r="C58" s="407"/>
      <c r="D58" s="389"/>
      <c r="E58" s="469"/>
      <c r="F58" s="388"/>
      <c r="G58" s="389"/>
      <c r="H58" s="389"/>
      <c r="I58" s="430"/>
      <c r="J58" s="430"/>
      <c r="K58" s="388"/>
      <c r="L58" s="391"/>
      <c r="M58" s="385"/>
      <c r="N58" s="358"/>
      <c r="O58" s="470"/>
      <c r="P58" s="467"/>
      <c r="Q58" s="468"/>
    </row>
    <row r="59" spans="1:17" x14ac:dyDescent="0.2">
      <c r="B59" s="249" t="s">
        <v>426</v>
      </c>
      <c r="C59" s="407"/>
      <c r="D59" s="390"/>
      <c r="E59" s="469"/>
      <c r="F59" s="388"/>
      <c r="G59" s="389"/>
      <c r="H59" s="389"/>
      <c r="I59" s="430"/>
      <c r="J59" s="430"/>
      <c r="K59" s="388"/>
      <c r="L59" s="391"/>
      <c r="M59" s="385"/>
      <c r="N59" s="358"/>
      <c r="O59" s="450"/>
      <c r="P59" s="450"/>
      <c r="Q59" s="452"/>
    </row>
    <row r="60" spans="1:17" x14ac:dyDescent="0.2">
      <c r="B60" s="435" t="s">
        <v>451</v>
      </c>
      <c r="C60" s="399" t="s">
        <v>10</v>
      </c>
      <c r="D60" s="389">
        <f>D55</f>
        <v>65990650.213</v>
      </c>
      <c r="E60" s="400">
        <v>0.32635999999999998</v>
      </c>
      <c r="F60" s="388">
        <f>E60*D60</f>
        <v>21536708.603514679</v>
      </c>
      <c r="G60" s="390"/>
      <c r="H60" s="400">
        <v>0.39626</v>
      </c>
      <c r="I60" s="388">
        <f>H60*D60</f>
        <v>26149455.053403381</v>
      </c>
      <c r="J60" s="388"/>
      <c r="K60" s="388">
        <f>I60-F60</f>
        <v>4612746.4498887025</v>
      </c>
      <c r="L60" s="391"/>
      <c r="M60" s="385"/>
      <c r="N60" s="359"/>
      <c r="O60" s="450"/>
      <c r="P60" s="471"/>
      <c r="Q60" s="452"/>
    </row>
    <row r="61" spans="1:17" x14ac:dyDescent="0.2">
      <c r="B61" s="435" t="s">
        <v>395</v>
      </c>
      <c r="C61" s="399" t="s">
        <v>29</v>
      </c>
      <c r="D61" s="389">
        <f>D49</f>
        <v>3818909.6199999996</v>
      </c>
      <c r="E61" s="396">
        <v>1.05</v>
      </c>
      <c r="F61" s="388">
        <f>E61*D61</f>
        <v>4009855.1009999998</v>
      </c>
      <c r="G61" s="390"/>
      <c r="H61" s="396">
        <v>1.05</v>
      </c>
      <c r="I61" s="388">
        <f>H61*D61</f>
        <v>4009855.1009999998</v>
      </c>
      <c r="J61" s="388"/>
      <c r="K61" s="388">
        <f>I61-F61</f>
        <v>0</v>
      </c>
      <c r="L61" s="391"/>
      <c r="M61" s="385"/>
      <c r="N61" s="358"/>
      <c r="O61" s="470"/>
      <c r="P61" s="467"/>
      <c r="Q61" s="452"/>
    </row>
    <row r="62" spans="1:17" x14ac:dyDescent="0.2">
      <c r="B62" s="472" t="s">
        <v>452</v>
      </c>
      <c r="C62" s="407"/>
      <c r="D62" s="390"/>
      <c r="E62" s="473"/>
      <c r="F62" s="465">
        <f>SUM(F60:F61)</f>
        <v>25546563.704514679</v>
      </c>
      <c r="G62" s="390"/>
      <c r="H62" s="444"/>
      <c r="I62" s="465">
        <f>SUM(I60:I61)</f>
        <v>30159310.154403381</v>
      </c>
      <c r="J62" s="388"/>
      <c r="K62" s="465">
        <f>SUM(K60:K61)</f>
        <v>4612746.4498887025</v>
      </c>
      <c r="L62" s="384">
        <f>ROUND(K62/F62,5)</f>
        <v>0.18056</v>
      </c>
      <c r="M62" s="385"/>
      <c r="N62" s="358"/>
      <c r="O62" s="390"/>
      <c r="P62" s="450"/>
      <c r="Q62" s="464"/>
    </row>
    <row r="63" spans="1:17" x14ac:dyDescent="0.2">
      <c r="B63" s="439"/>
      <c r="C63" s="359"/>
      <c r="D63" s="390"/>
      <c r="E63" s="359"/>
      <c r="F63" s="388"/>
      <c r="G63" s="390"/>
      <c r="H63" s="390"/>
      <c r="I63" s="430"/>
      <c r="J63" s="430"/>
      <c r="K63" s="388"/>
      <c r="L63" s="391"/>
      <c r="M63" s="385"/>
      <c r="N63" s="358"/>
      <c r="O63" s="397"/>
      <c r="P63" s="450"/>
      <c r="Q63" s="452"/>
    </row>
    <row r="64" spans="1:17" x14ac:dyDescent="0.2">
      <c r="B64" s="393" t="s">
        <v>427</v>
      </c>
      <c r="C64" s="407"/>
      <c r="D64" s="390"/>
      <c r="E64" s="389"/>
      <c r="F64" s="465">
        <f>+F62+F57</f>
        <v>40410289.667826936</v>
      </c>
      <c r="G64" s="389"/>
      <c r="H64" s="389"/>
      <c r="I64" s="465">
        <f>+I62+I57</f>
        <v>44787136.254200548</v>
      </c>
      <c r="J64" s="430"/>
      <c r="K64" s="465">
        <f>K62+K57</f>
        <v>4376846.5863736197</v>
      </c>
      <c r="L64" s="384">
        <f>ROUND(K64/F64,5)</f>
        <v>0.10831</v>
      </c>
      <c r="M64" s="385"/>
      <c r="N64" s="358"/>
      <c r="O64" s="390"/>
      <c r="P64" s="450"/>
      <c r="Q64" s="464"/>
    </row>
    <row r="65" spans="1:17" s="450" customFormat="1" x14ac:dyDescent="0.2">
      <c r="B65" s="474"/>
      <c r="C65" s="423"/>
      <c r="D65" s="423"/>
      <c r="E65" s="423"/>
      <c r="F65" s="427"/>
      <c r="G65" s="423"/>
      <c r="H65" s="423"/>
      <c r="I65" s="425"/>
      <c r="J65" s="425"/>
      <c r="K65" s="427"/>
      <c r="L65" s="475"/>
      <c r="M65" s="458"/>
      <c r="N65" s="459"/>
      <c r="O65" s="390"/>
      <c r="Q65" s="464"/>
    </row>
    <row r="66" spans="1:17" s="450" customFormat="1" x14ac:dyDescent="0.2">
      <c r="A66" s="390"/>
      <c r="B66" s="390"/>
      <c r="C66" s="390"/>
      <c r="D66" s="390"/>
      <c r="E66" s="390"/>
      <c r="F66" s="397"/>
      <c r="G66" s="390"/>
      <c r="H66" s="390"/>
      <c r="I66" s="476"/>
      <c r="J66" s="476"/>
      <c r="K66" s="397"/>
      <c r="L66" s="477"/>
      <c r="M66" s="458"/>
      <c r="N66" s="459"/>
      <c r="O66" s="390"/>
      <c r="Q66" s="464"/>
    </row>
    <row r="67" spans="1:17" s="450" customFormat="1" x14ac:dyDescent="0.2">
      <c r="A67" s="390"/>
      <c r="B67" s="432" t="s">
        <v>453</v>
      </c>
      <c r="C67" s="379"/>
      <c r="D67" s="383"/>
      <c r="E67" s="380"/>
      <c r="F67" s="381"/>
      <c r="G67" s="383"/>
      <c r="H67" s="383"/>
      <c r="I67" s="381"/>
      <c r="J67" s="381"/>
      <c r="K67" s="381"/>
      <c r="L67" s="384"/>
      <c r="M67" s="458"/>
      <c r="N67" s="459"/>
      <c r="O67" s="390"/>
      <c r="Q67" s="464"/>
    </row>
    <row r="68" spans="1:17" s="450" customFormat="1" x14ac:dyDescent="0.2">
      <c r="A68" s="390"/>
      <c r="B68" s="439"/>
      <c r="C68" s="359"/>
      <c r="D68" s="390"/>
      <c r="E68" s="390"/>
      <c r="F68" s="388"/>
      <c r="G68" s="440"/>
      <c r="H68" s="390"/>
      <c r="I68" s="388"/>
      <c r="J68" s="388"/>
      <c r="K68" s="388"/>
      <c r="L68" s="391"/>
      <c r="M68" s="458"/>
      <c r="N68" s="459"/>
      <c r="O68" s="390"/>
      <c r="Q68" s="261">
        <f>H69/E69-1</f>
        <v>-6.8187492906594094E-2</v>
      </c>
    </row>
    <row r="69" spans="1:17" s="450" customFormat="1" x14ac:dyDescent="0.2">
      <c r="A69" s="390"/>
      <c r="B69" s="393" t="s">
        <v>423</v>
      </c>
      <c r="C69" s="394" t="s">
        <v>22</v>
      </c>
      <c r="D69" s="395">
        <v>1179.1322705534049</v>
      </c>
      <c r="E69" s="396">
        <v>440.55</v>
      </c>
      <c r="F69" s="388">
        <f>ROUND(D69*E69,2)</f>
        <v>519466.72</v>
      </c>
      <c r="G69" s="389"/>
      <c r="H69" s="303">
        <f>ROUND(E69*(1+$O$52),2)</f>
        <v>410.51</v>
      </c>
      <c r="I69" s="388">
        <f>ROUND(D69*H69,2)</f>
        <v>484045.59</v>
      </c>
      <c r="J69" s="388"/>
      <c r="K69" s="388">
        <f>I69-F69</f>
        <v>-35421.129999999946</v>
      </c>
      <c r="L69" s="391"/>
      <c r="M69" s="458"/>
      <c r="N69" s="459"/>
      <c r="O69" s="478"/>
      <c r="Q69" s="261">
        <f>H70/E70-1</f>
        <v>-6.8189128337085902E-2</v>
      </c>
    </row>
    <row r="70" spans="1:17" s="450" customFormat="1" x14ac:dyDescent="0.2">
      <c r="A70" s="390"/>
      <c r="B70" s="439" t="s">
        <v>447</v>
      </c>
      <c r="C70" s="394" t="s">
        <v>22</v>
      </c>
      <c r="D70" s="389">
        <f>D69</f>
        <v>1179.1322705534049</v>
      </c>
      <c r="E70" s="396">
        <v>124.36</v>
      </c>
      <c r="F70" s="430">
        <f>D70*E70</f>
        <v>146636.88916602143</v>
      </c>
      <c r="G70" s="389"/>
      <c r="H70" s="444">
        <f>H48</f>
        <v>115.88</v>
      </c>
      <c r="I70" s="430">
        <f>ROUND(D70*H70,2)</f>
        <v>136637.85</v>
      </c>
      <c r="J70" s="430"/>
      <c r="K70" s="388">
        <f>I70-F70</f>
        <v>-9999.0391660214227</v>
      </c>
      <c r="L70" s="405"/>
      <c r="M70" s="458"/>
      <c r="N70" s="459"/>
      <c r="O70" s="460"/>
      <c r="Q70" s="261">
        <f>H71/E71-1</f>
        <v>1.7391304347826209E-2</v>
      </c>
    </row>
    <row r="71" spans="1:17" s="450" customFormat="1" x14ac:dyDescent="0.2">
      <c r="A71" s="390"/>
      <c r="B71" s="435" t="s">
        <v>395</v>
      </c>
      <c r="C71" s="399" t="s">
        <v>29</v>
      </c>
      <c r="D71" s="395">
        <v>956311.5</v>
      </c>
      <c r="E71" s="396">
        <v>1.1499999999999999</v>
      </c>
      <c r="F71" s="430">
        <f>ROUND(D71*E71,2)</f>
        <v>1099758.23</v>
      </c>
      <c r="G71" s="389"/>
      <c r="H71" s="479">
        <f>H49</f>
        <v>1.17</v>
      </c>
      <c r="I71" s="430">
        <f>ROUND(D71*H71,2)</f>
        <v>1118884.46</v>
      </c>
      <c r="J71" s="390"/>
      <c r="K71" s="388">
        <f>I71-F71</f>
        <v>19126.229999999981</v>
      </c>
      <c r="L71" s="405"/>
      <c r="M71" s="458"/>
      <c r="N71" s="459"/>
      <c r="O71" s="460"/>
      <c r="Q71" s="464"/>
    </row>
    <row r="72" spans="1:17" s="450" customFormat="1" x14ac:dyDescent="0.2">
      <c r="A72" s="390"/>
      <c r="B72" s="439"/>
      <c r="C72" s="359"/>
      <c r="D72" s="389"/>
      <c r="E72" s="396"/>
      <c r="F72" s="430"/>
      <c r="G72" s="389"/>
      <c r="H72" s="444"/>
      <c r="I72" s="430"/>
      <c r="J72" s="430"/>
      <c r="K72" s="448"/>
      <c r="L72" s="405"/>
      <c r="M72" s="458"/>
      <c r="N72" s="459"/>
      <c r="O72" s="460"/>
      <c r="Q72" s="464"/>
    </row>
    <row r="73" spans="1:17" s="450" customFormat="1" x14ac:dyDescent="0.2">
      <c r="A73" s="390"/>
      <c r="B73" s="435" t="s">
        <v>448</v>
      </c>
      <c r="C73" s="359"/>
      <c r="D73" s="389"/>
      <c r="E73" s="396"/>
      <c r="F73" s="388"/>
      <c r="G73" s="389"/>
      <c r="H73" s="444"/>
      <c r="I73" s="430"/>
      <c r="J73" s="430"/>
      <c r="K73" s="448"/>
      <c r="L73" s="405"/>
      <c r="M73" s="458"/>
      <c r="N73" s="459"/>
      <c r="O73" s="390"/>
      <c r="Q73" s="261">
        <f>H74/E74-1</f>
        <v>-6.8171949630916107E-2</v>
      </c>
    </row>
    <row r="74" spans="1:17" s="450" customFormat="1" x14ac:dyDescent="0.2">
      <c r="A74" s="390"/>
      <c r="B74" s="435" t="s">
        <v>371</v>
      </c>
      <c r="C74" s="399" t="s">
        <v>10</v>
      </c>
      <c r="D74" s="395">
        <v>1041707.81</v>
      </c>
      <c r="E74" s="400">
        <v>0.13818</v>
      </c>
      <c r="F74" s="454" t="s">
        <v>449</v>
      </c>
      <c r="G74" s="389"/>
      <c r="H74" s="453">
        <f>H52</f>
        <v>0.12876000000000001</v>
      </c>
      <c r="I74" s="454" t="s">
        <v>449</v>
      </c>
      <c r="J74" s="388"/>
      <c r="K74" s="454"/>
      <c r="L74" s="391"/>
      <c r="M74" s="458"/>
      <c r="N74" s="459"/>
      <c r="O74" s="390"/>
      <c r="Q74" s="261">
        <f>H75/E75-1</f>
        <v>-6.8171949630916107E-2</v>
      </c>
    </row>
    <row r="75" spans="1:17" s="450" customFormat="1" x14ac:dyDescent="0.2">
      <c r="A75" s="390"/>
      <c r="B75" s="439" t="s">
        <v>372</v>
      </c>
      <c r="C75" s="399" t="s">
        <v>10</v>
      </c>
      <c r="D75" s="395">
        <v>3950092.4699999997</v>
      </c>
      <c r="E75" s="400">
        <v>0.13818</v>
      </c>
      <c r="F75" s="388">
        <f>D75*E75</f>
        <v>545823.7775046</v>
      </c>
      <c r="G75" s="389"/>
      <c r="H75" s="453">
        <f>H53</f>
        <v>0.12876000000000001</v>
      </c>
      <c r="I75" s="388">
        <f>H75*D75</f>
        <v>508613.90643720003</v>
      </c>
      <c r="J75" s="388"/>
      <c r="K75" s="388">
        <f>I75-F75</f>
        <v>-37209.871067399974</v>
      </c>
      <c r="L75" s="391"/>
      <c r="M75" s="458"/>
      <c r="N75" s="459"/>
      <c r="O75" s="390"/>
      <c r="Q75" s="261">
        <f>H76/E76-1</f>
        <v>-6.8236986424525803E-2</v>
      </c>
    </row>
    <row r="76" spans="1:17" s="450" customFormat="1" x14ac:dyDescent="0.2">
      <c r="A76" s="390"/>
      <c r="B76" s="439" t="s">
        <v>373</v>
      </c>
      <c r="C76" s="399" t="s">
        <v>10</v>
      </c>
      <c r="D76" s="395">
        <v>12710325.609999999</v>
      </c>
      <c r="E76" s="400">
        <v>0.11123</v>
      </c>
      <c r="F76" s="388">
        <f>D76*E76</f>
        <v>1413769.5176002998</v>
      </c>
      <c r="G76" s="389"/>
      <c r="H76" s="453">
        <f>H54</f>
        <v>0.10364</v>
      </c>
      <c r="I76" s="388">
        <f>H76*D76</f>
        <v>1317298.1462204</v>
      </c>
      <c r="J76" s="388"/>
      <c r="K76" s="388">
        <f>I76-F76</f>
        <v>-96471.371379899792</v>
      </c>
      <c r="L76" s="391"/>
      <c r="M76" s="458"/>
      <c r="N76" s="459"/>
      <c r="O76" s="390"/>
      <c r="Q76" s="464"/>
    </row>
    <row r="77" spans="1:17" s="450" customFormat="1" x14ac:dyDescent="0.2">
      <c r="A77" s="390"/>
      <c r="B77" s="433" t="s">
        <v>450</v>
      </c>
      <c r="C77" s="407"/>
      <c r="D77" s="382">
        <f>SUM(D74:D76)</f>
        <v>17702125.890000001</v>
      </c>
      <c r="E77" s="456"/>
      <c r="F77" s="430"/>
      <c r="G77" s="389"/>
      <c r="H77" s="389"/>
      <c r="I77" s="390"/>
      <c r="J77" s="390"/>
      <c r="K77" s="390"/>
      <c r="L77" s="457"/>
      <c r="M77" s="458"/>
      <c r="N77" s="459"/>
      <c r="O77" s="460"/>
      <c r="P77" s="461"/>
      <c r="Q77" s="261"/>
    </row>
    <row r="78" spans="1:17" s="450" customFormat="1" x14ac:dyDescent="0.2">
      <c r="A78" s="390"/>
      <c r="B78" s="433" t="s">
        <v>441</v>
      </c>
      <c r="C78" s="399" t="s">
        <v>10</v>
      </c>
      <c r="D78" s="389">
        <f>D77</f>
        <v>17702125.890000001</v>
      </c>
      <c r="E78" s="462">
        <v>-5.3899999999999998E-3</v>
      </c>
      <c r="F78" s="430">
        <f>D78*E78</f>
        <v>-95414.458547100003</v>
      </c>
      <c r="G78" s="389"/>
      <c r="H78" s="480">
        <v>0</v>
      </c>
      <c r="I78" s="430">
        <f>D78*H78</f>
        <v>0</v>
      </c>
      <c r="J78" s="430"/>
      <c r="K78" s="388">
        <f>I78-F78</f>
        <v>95414.458547100003</v>
      </c>
      <c r="L78" s="391"/>
      <c r="M78" s="458"/>
      <c r="N78" s="459"/>
      <c r="O78" s="390"/>
      <c r="Q78" s="464"/>
    </row>
    <row r="79" spans="1:17" s="450" customFormat="1" x14ac:dyDescent="0.2">
      <c r="A79" s="390"/>
      <c r="B79" s="281" t="s">
        <v>429</v>
      </c>
      <c r="C79" s="407"/>
      <c r="D79" s="389"/>
      <c r="E79" s="456"/>
      <c r="F79" s="465">
        <f>SUM(F69:F78)</f>
        <v>3630040.6757238214</v>
      </c>
      <c r="G79" s="389"/>
      <c r="H79" s="389"/>
      <c r="I79" s="465">
        <f>SUM(I69:I78)</f>
        <v>3565479.9526575999</v>
      </c>
      <c r="J79" s="430"/>
      <c r="K79" s="465">
        <f>SUM(K69:K78)</f>
        <v>-64560.723066221151</v>
      </c>
      <c r="L79" s="384">
        <f>ROUND(K79/F79,5)</f>
        <v>-1.779E-2</v>
      </c>
      <c r="M79" s="458"/>
      <c r="N79" s="459"/>
      <c r="O79" s="390"/>
      <c r="Q79" s="464"/>
    </row>
    <row r="80" spans="1:17" s="450" customFormat="1" x14ac:dyDescent="0.2">
      <c r="A80" s="390"/>
      <c r="B80" s="433"/>
      <c r="C80" s="407"/>
      <c r="D80" s="389"/>
      <c r="E80" s="456"/>
      <c r="F80" s="430"/>
      <c r="G80" s="389"/>
      <c r="H80" s="389"/>
      <c r="I80" s="430"/>
      <c r="J80" s="430"/>
      <c r="K80" s="388"/>
      <c r="L80" s="391"/>
      <c r="M80" s="458"/>
      <c r="N80" s="459"/>
      <c r="O80" s="481"/>
      <c r="P80" s="359"/>
      <c r="Q80" s="261"/>
    </row>
    <row r="81" spans="1:17" s="450" customFormat="1" x14ac:dyDescent="0.2">
      <c r="A81" s="390"/>
      <c r="B81" s="435" t="s">
        <v>443</v>
      </c>
      <c r="C81" s="399" t="s">
        <v>10</v>
      </c>
      <c r="D81" s="389">
        <f>D77</f>
        <v>17702125.890000001</v>
      </c>
      <c r="E81" s="400">
        <v>6.9999999999999999E-4</v>
      </c>
      <c r="F81" s="388">
        <f>E81*D81</f>
        <v>12391.488123000001</v>
      </c>
      <c r="G81" s="390"/>
      <c r="H81" s="437">
        <v>6.9999999999999999E-4</v>
      </c>
      <c r="I81" s="388">
        <f>H81*D81</f>
        <v>12391.488123000001</v>
      </c>
      <c r="J81" s="388"/>
      <c r="K81" s="388">
        <f>I81-F81</f>
        <v>0</v>
      </c>
      <c r="L81" s="391"/>
      <c r="M81" s="458"/>
      <c r="N81" s="459"/>
      <c r="O81" s="388"/>
      <c r="P81" s="399"/>
      <c r="Q81" s="482"/>
    </row>
    <row r="82" spans="1:17" s="450" customFormat="1" x14ac:dyDescent="0.2">
      <c r="A82" s="390"/>
      <c r="B82" s="439" t="s">
        <v>427</v>
      </c>
      <c r="C82" s="399"/>
      <c r="D82" s="389"/>
      <c r="E82" s="453"/>
      <c r="F82" s="465">
        <f>F79+F81</f>
        <v>3642432.1638468215</v>
      </c>
      <c r="G82" s="390"/>
      <c r="H82" s="444"/>
      <c r="I82" s="465">
        <f>I79+SUM(I81:I81)</f>
        <v>3577871.4407806001</v>
      </c>
      <c r="J82" s="388"/>
      <c r="K82" s="465">
        <f>K79+SUM(K81:K81)</f>
        <v>-64560.723066221151</v>
      </c>
      <c r="L82" s="384">
        <f>ROUND(K82/F82,5)</f>
        <v>-1.772E-2</v>
      </c>
      <c r="M82" s="458"/>
      <c r="N82" s="459"/>
      <c r="O82" s="397"/>
      <c r="P82" s="399"/>
      <c r="Q82" s="482"/>
    </row>
    <row r="83" spans="1:17" s="450" customFormat="1" x14ac:dyDescent="0.2">
      <c r="A83" s="390"/>
      <c r="B83" s="439"/>
      <c r="C83" s="407"/>
      <c r="D83" s="390"/>
      <c r="E83" s="473"/>
      <c r="F83" s="390"/>
      <c r="G83" s="390"/>
      <c r="H83" s="390"/>
      <c r="I83" s="397"/>
      <c r="J83" s="390"/>
      <c r="K83" s="390"/>
      <c r="L83" s="457"/>
      <c r="M83" s="458"/>
      <c r="N83" s="459"/>
      <c r="O83" s="483"/>
      <c r="P83" s="399"/>
      <c r="Q83" s="482"/>
    </row>
    <row r="84" spans="1:17" s="450" customFormat="1" x14ac:dyDescent="0.2">
      <c r="A84" s="390"/>
      <c r="B84" s="474"/>
      <c r="C84" s="423"/>
      <c r="D84" s="423"/>
      <c r="E84" s="423"/>
      <c r="F84" s="427"/>
      <c r="G84" s="423"/>
      <c r="H84" s="423"/>
      <c r="I84" s="425"/>
      <c r="J84" s="425"/>
      <c r="K84" s="427"/>
      <c r="L84" s="475"/>
      <c r="M84" s="458"/>
      <c r="N84" s="459"/>
      <c r="O84" s="483"/>
      <c r="P84" s="399"/>
      <c r="Q84" s="482"/>
    </row>
    <row r="85" spans="1:17" s="450" customFormat="1" x14ac:dyDescent="0.2">
      <c r="A85" s="390"/>
      <c r="B85" s="390"/>
      <c r="C85" s="390"/>
      <c r="D85" s="390"/>
      <c r="E85" s="390"/>
      <c r="F85" s="397"/>
      <c r="G85" s="390"/>
      <c r="H85" s="390"/>
      <c r="I85" s="476"/>
      <c r="J85" s="476"/>
      <c r="K85" s="397"/>
      <c r="L85" s="477"/>
      <c r="M85" s="458"/>
      <c r="N85" s="459"/>
      <c r="O85" s="481"/>
      <c r="P85" s="399"/>
      <c r="Q85" s="482"/>
    </row>
    <row r="86" spans="1:17" s="450" customFormat="1" x14ac:dyDescent="0.2">
      <c r="A86" s="390"/>
      <c r="B86" s="432" t="s">
        <v>454</v>
      </c>
      <c r="C86" s="379"/>
      <c r="D86" s="383"/>
      <c r="E86" s="380"/>
      <c r="F86" s="381"/>
      <c r="G86" s="383"/>
      <c r="H86" s="383"/>
      <c r="I86" s="381"/>
      <c r="J86" s="381"/>
      <c r="K86" s="381"/>
      <c r="L86" s="384"/>
      <c r="M86" s="458"/>
      <c r="N86" s="459"/>
      <c r="O86" s="483"/>
      <c r="P86" s="399"/>
      <c r="Q86" s="482"/>
    </row>
    <row r="87" spans="1:17" s="450" customFormat="1" x14ac:dyDescent="0.2">
      <c r="A87" s="390"/>
      <c r="B87" s="386"/>
      <c r="C87" s="359"/>
      <c r="D87" s="390"/>
      <c r="E87" s="390"/>
      <c r="F87" s="388"/>
      <c r="G87" s="440"/>
      <c r="H87" s="390"/>
      <c r="I87" s="388"/>
      <c r="J87" s="388"/>
      <c r="K87" s="388"/>
      <c r="L87" s="391"/>
      <c r="M87" s="458"/>
      <c r="N87" s="459"/>
      <c r="O87" s="483"/>
      <c r="P87" s="399"/>
      <c r="Q87" s="482"/>
    </row>
    <row r="88" spans="1:17" s="450" customFormat="1" x14ac:dyDescent="0.2">
      <c r="A88" s="390"/>
      <c r="B88" s="393" t="s">
        <v>423</v>
      </c>
      <c r="C88" s="394" t="s">
        <v>22</v>
      </c>
      <c r="D88" s="403">
        <f>D69+D47</f>
        <v>17415.238199407158</v>
      </c>
      <c r="E88" s="436"/>
      <c r="F88" s="388">
        <f>F69+F47</f>
        <v>2373954.7400000002</v>
      </c>
      <c r="G88" s="389"/>
      <c r="H88" s="436"/>
      <c r="I88" s="388">
        <f>I69+I47</f>
        <v>2212054.34</v>
      </c>
      <c r="J88" s="388"/>
      <c r="K88" s="388">
        <f>K69+K47</f>
        <v>-161900.39999999997</v>
      </c>
      <c r="L88" s="391"/>
      <c r="M88" s="458"/>
      <c r="N88" s="459"/>
      <c r="O88" s="483"/>
      <c r="P88" s="399"/>
      <c r="Q88" s="482"/>
    </row>
    <row r="89" spans="1:17" s="450" customFormat="1" x14ac:dyDescent="0.2">
      <c r="A89" s="390"/>
      <c r="B89" s="439" t="s">
        <v>447</v>
      </c>
      <c r="C89" s="394" t="s">
        <v>22</v>
      </c>
      <c r="D89" s="389">
        <f>D88</f>
        <v>17415.238199407158</v>
      </c>
      <c r="E89" s="436"/>
      <c r="F89" s="388">
        <f>F70+F48</f>
        <v>2165759.0224782741</v>
      </c>
      <c r="G89" s="389"/>
      <c r="H89" s="444"/>
      <c r="I89" s="388">
        <f>I70+I48</f>
        <v>2018077.81</v>
      </c>
      <c r="J89" s="430"/>
      <c r="K89" s="388">
        <f>K70+K48</f>
        <v>-147681.21247827428</v>
      </c>
      <c r="L89" s="405"/>
      <c r="M89" s="458"/>
      <c r="N89" s="459"/>
      <c r="O89" s="483"/>
      <c r="P89" s="399"/>
      <c r="Q89" s="482"/>
    </row>
    <row r="90" spans="1:17" s="450" customFormat="1" x14ac:dyDescent="0.2">
      <c r="A90" s="390"/>
      <c r="B90" s="484" t="s">
        <v>395</v>
      </c>
      <c r="C90" s="399" t="s">
        <v>29</v>
      </c>
      <c r="D90" s="403">
        <f>D71+D49</f>
        <v>4775221.1199999992</v>
      </c>
      <c r="E90" s="436"/>
      <c r="F90" s="388">
        <f>F71+F49</f>
        <v>5491504.2899999991</v>
      </c>
      <c r="G90" s="389"/>
      <c r="H90" s="436"/>
      <c r="I90" s="388">
        <f>I71+I49</f>
        <v>5587008.7199999997</v>
      </c>
      <c r="J90" s="430"/>
      <c r="K90" s="388">
        <f>K71+K49</f>
        <v>95504.430000000168</v>
      </c>
      <c r="L90" s="405"/>
      <c r="M90" s="458"/>
      <c r="N90" s="459"/>
      <c r="O90" s="483"/>
      <c r="P90" s="399"/>
      <c r="Q90" s="482"/>
    </row>
    <row r="91" spans="1:17" s="450" customFormat="1" x14ac:dyDescent="0.2">
      <c r="A91" s="390"/>
      <c r="B91" s="386"/>
      <c r="C91" s="359"/>
      <c r="D91" s="389"/>
      <c r="E91" s="444"/>
      <c r="F91" s="430"/>
      <c r="G91" s="389"/>
      <c r="H91" s="444"/>
      <c r="I91" s="430"/>
      <c r="J91" s="430"/>
      <c r="K91" s="448"/>
      <c r="L91" s="405"/>
      <c r="M91" s="458"/>
      <c r="N91" s="459"/>
      <c r="O91" s="483"/>
      <c r="P91" s="399"/>
      <c r="Q91" s="482"/>
    </row>
    <row r="92" spans="1:17" s="450" customFormat="1" x14ac:dyDescent="0.2">
      <c r="A92" s="390"/>
      <c r="B92" s="484" t="s">
        <v>448</v>
      </c>
      <c r="C92" s="359"/>
      <c r="D92" s="389"/>
      <c r="E92" s="444"/>
      <c r="F92" s="388"/>
      <c r="G92" s="389"/>
      <c r="H92" s="444"/>
      <c r="I92" s="430"/>
      <c r="J92" s="430"/>
      <c r="K92" s="448"/>
      <c r="L92" s="405"/>
      <c r="M92" s="458"/>
      <c r="N92" s="459"/>
      <c r="O92" s="483"/>
      <c r="P92" s="399"/>
      <c r="Q92" s="482"/>
    </row>
    <row r="93" spans="1:17" s="450" customFormat="1" x14ac:dyDescent="0.2">
      <c r="A93" s="390"/>
      <c r="B93" s="435" t="s">
        <v>371</v>
      </c>
      <c r="C93" s="399" t="s">
        <v>10</v>
      </c>
      <c r="D93" s="403">
        <f>D74+D52</f>
        <v>14536713.898</v>
      </c>
      <c r="E93" s="437"/>
      <c r="F93" s="388"/>
      <c r="G93" s="389"/>
      <c r="H93" s="453"/>
      <c r="I93" s="454" t="s">
        <v>449</v>
      </c>
      <c r="J93" s="388"/>
      <c r="K93" s="388"/>
      <c r="L93" s="391"/>
      <c r="M93" s="458"/>
      <c r="N93" s="459"/>
      <c r="O93" s="483"/>
      <c r="P93" s="399"/>
      <c r="Q93" s="482"/>
    </row>
    <row r="94" spans="1:17" s="450" customFormat="1" x14ac:dyDescent="0.2">
      <c r="A94" s="390"/>
      <c r="B94" s="439" t="s">
        <v>372</v>
      </c>
      <c r="C94" s="399" t="s">
        <v>10</v>
      </c>
      <c r="D94" s="403">
        <f>D75+D53</f>
        <v>32123719.445999999</v>
      </c>
      <c r="E94" s="437"/>
      <c r="F94" s="388">
        <f>F75+F53</f>
        <v>4438855.5575045999</v>
      </c>
      <c r="G94" s="389"/>
      <c r="H94" s="401"/>
      <c r="I94" s="388">
        <f>I75+I53</f>
        <v>4136250.1164372</v>
      </c>
      <c r="J94" s="388"/>
      <c r="K94" s="388">
        <f>K75+K53</f>
        <v>-302605.44106739981</v>
      </c>
      <c r="L94" s="391"/>
      <c r="M94" s="458"/>
      <c r="N94" s="459"/>
      <c r="O94" s="483"/>
      <c r="P94" s="399"/>
      <c r="Q94" s="482"/>
    </row>
    <row r="95" spans="1:17" s="450" customFormat="1" x14ac:dyDescent="0.2">
      <c r="A95" s="390"/>
      <c r="B95" s="439" t="s">
        <v>373</v>
      </c>
      <c r="C95" s="399" t="s">
        <v>10</v>
      </c>
      <c r="D95" s="485">
        <f>D76+D54</f>
        <v>37032342.759000003</v>
      </c>
      <c r="E95" s="437"/>
      <c r="F95" s="388">
        <f>F76+F54</f>
        <v>4119107.4876003</v>
      </c>
      <c r="G95" s="389"/>
      <c r="H95" s="401"/>
      <c r="I95" s="388">
        <f>I76+I54</f>
        <v>3838032.0062203999</v>
      </c>
      <c r="J95" s="388"/>
      <c r="K95" s="388">
        <f>K76+K54</f>
        <v>-281075.48137990013</v>
      </c>
      <c r="L95" s="391"/>
      <c r="M95" s="458"/>
      <c r="N95" s="459"/>
      <c r="O95" s="483"/>
      <c r="P95" s="399"/>
      <c r="Q95" s="482"/>
    </row>
    <row r="96" spans="1:17" s="450" customFormat="1" x14ac:dyDescent="0.2">
      <c r="A96" s="390"/>
      <c r="B96" s="472" t="s">
        <v>450</v>
      </c>
      <c r="C96" s="407"/>
      <c r="D96" s="382">
        <f>SUM(D93:D95)</f>
        <v>83692776.103</v>
      </c>
      <c r="E96" s="387"/>
      <c r="F96" s="430"/>
      <c r="G96" s="389"/>
      <c r="H96" s="389"/>
      <c r="I96" s="390"/>
      <c r="J96" s="390"/>
      <c r="K96" s="390"/>
      <c r="L96" s="457"/>
      <c r="M96" s="458"/>
      <c r="N96" s="459"/>
      <c r="O96" s="483"/>
      <c r="P96" s="399"/>
      <c r="Q96" s="482"/>
    </row>
    <row r="97" spans="1:17" s="450" customFormat="1" x14ac:dyDescent="0.2">
      <c r="A97" s="390"/>
      <c r="B97" s="433" t="s">
        <v>441</v>
      </c>
      <c r="C97" s="399" t="s">
        <v>10</v>
      </c>
      <c r="D97" s="403">
        <f>D78+D58</f>
        <v>17702125.890000001</v>
      </c>
      <c r="E97" s="486"/>
      <c r="F97" s="430">
        <f>F78</f>
        <v>-95414.458547100003</v>
      </c>
      <c r="G97" s="389"/>
      <c r="H97" s="389"/>
      <c r="I97" s="430">
        <f>I78+I56</f>
        <v>401883.05979716999</v>
      </c>
      <c r="J97" s="430"/>
      <c r="K97" s="430">
        <f>K78</f>
        <v>95414.458547100003</v>
      </c>
      <c r="L97" s="391"/>
      <c r="M97" s="458"/>
      <c r="N97" s="459"/>
      <c r="O97" s="483"/>
      <c r="P97" s="399"/>
      <c r="Q97" s="482"/>
    </row>
    <row r="98" spans="1:17" s="450" customFormat="1" x14ac:dyDescent="0.2">
      <c r="A98" s="390"/>
      <c r="B98" s="281" t="s">
        <v>429</v>
      </c>
      <c r="C98" s="407"/>
      <c r="D98" s="389"/>
      <c r="E98" s="387"/>
      <c r="F98" s="465">
        <f>SUM(F88:F97)</f>
        <v>18493766.639036071</v>
      </c>
      <c r="G98" s="389"/>
      <c r="H98" s="389"/>
      <c r="I98" s="465">
        <f>SUM(I88:I90,I94:I97)</f>
        <v>18193306.052454773</v>
      </c>
      <c r="J98" s="430"/>
      <c r="K98" s="465">
        <f>SUM(K88:K97)</f>
        <v>-702343.64637847408</v>
      </c>
      <c r="L98" s="384">
        <f>ROUND(K98/F98,5)</f>
        <v>-3.798E-2</v>
      </c>
      <c r="M98" s="458"/>
      <c r="N98" s="459"/>
      <c r="O98" s="483"/>
      <c r="P98" s="399"/>
      <c r="Q98" s="482"/>
    </row>
    <row r="99" spans="1:17" s="450" customFormat="1" x14ac:dyDescent="0.2">
      <c r="A99" s="390"/>
      <c r="B99" s="419"/>
      <c r="C99" s="407"/>
      <c r="D99" s="389"/>
      <c r="E99" s="387"/>
      <c r="F99" s="430"/>
      <c r="G99" s="389"/>
      <c r="H99" s="389"/>
      <c r="I99" s="430"/>
      <c r="J99" s="430"/>
      <c r="K99" s="388"/>
      <c r="L99" s="391"/>
      <c r="M99" s="458"/>
      <c r="N99" s="459"/>
      <c r="O99" s="483"/>
      <c r="P99" s="399"/>
      <c r="Q99" s="482"/>
    </row>
    <row r="100" spans="1:17" s="450" customFormat="1" x14ac:dyDescent="0.2">
      <c r="A100" s="390"/>
      <c r="B100" s="249" t="s">
        <v>426</v>
      </c>
      <c r="C100" s="407"/>
      <c r="D100" s="389"/>
      <c r="E100" s="387"/>
      <c r="F100" s="430"/>
      <c r="G100" s="389"/>
      <c r="H100" s="389"/>
      <c r="I100" s="430"/>
      <c r="J100" s="430"/>
      <c r="K100" s="388"/>
      <c r="L100" s="391"/>
      <c r="M100" s="458"/>
      <c r="N100" s="459"/>
      <c r="O100" s="483"/>
      <c r="P100" s="399"/>
      <c r="Q100" s="482"/>
    </row>
    <row r="101" spans="1:17" s="450" customFormat="1" x14ac:dyDescent="0.2">
      <c r="A101" s="390"/>
      <c r="B101" s="435" t="s">
        <v>451</v>
      </c>
      <c r="C101" s="407"/>
      <c r="D101" s="389"/>
      <c r="E101" s="387"/>
      <c r="F101" s="430">
        <f>F60</f>
        <v>21536708.603514679</v>
      </c>
      <c r="G101" s="389"/>
      <c r="H101" s="389"/>
      <c r="I101" s="430">
        <f>I60</f>
        <v>26149455.053403381</v>
      </c>
      <c r="J101" s="430"/>
      <c r="K101" s="430">
        <f>K60</f>
        <v>4612746.4498887025</v>
      </c>
      <c r="L101" s="391"/>
      <c r="M101" s="458"/>
      <c r="N101" s="459"/>
      <c r="O101" s="483"/>
      <c r="P101" s="399"/>
      <c r="Q101" s="482"/>
    </row>
    <row r="102" spans="1:17" s="450" customFormat="1" x14ac:dyDescent="0.2">
      <c r="A102" s="390"/>
      <c r="B102" s="435" t="s">
        <v>395</v>
      </c>
      <c r="C102" s="407"/>
      <c r="D102" s="389"/>
      <c r="E102" s="387"/>
      <c r="F102" s="430">
        <f>F61</f>
        <v>4009855.1009999998</v>
      </c>
      <c r="G102" s="389"/>
      <c r="H102" s="389"/>
      <c r="I102" s="430">
        <f>I61</f>
        <v>4009855.1009999998</v>
      </c>
      <c r="J102" s="430"/>
      <c r="K102" s="430">
        <f>K61</f>
        <v>0</v>
      </c>
      <c r="L102" s="391"/>
      <c r="M102" s="458"/>
      <c r="N102" s="459"/>
      <c r="O102" s="483"/>
      <c r="P102" s="399"/>
      <c r="Q102" s="482"/>
    </row>
    <row r="103" spans="1:17" s="450" customFormat="1" x14ac:dyDescent="0.2">
      <c r="A103" s="390"/>
      <c r="B103" s="435" t="s">
        <v>443</v>
      </c>
      <c r="C103" s="407"/>
      <c r="D103" s="389"/>
      <c r="E103" s="387"/>
      <c r="F103" s="430">
        <f>F81</f>
        <v>12391.488123000001</v>
      </c>
      <c r="G103" s="389"/>
      <c r="H103" s="389"/>
      <c r="I103" s="430">
        <f>I81</f>
        <v>12391.488123000001</v>
      </c>
      <c r="J103" s="430"/>
      <c r="K103" s="430">
        <f>K81</f>
        <v>0</v>
      </c>
      <c r="L103" s="391"/>
      <c r="M103" s="458"/>
      <c r="N103" s="459"/>
      <c r="O103" s="483"/>
      <c r="P103" s="399"/>
      <c r="Q103" s="482"/>
    </row>
    <row r="104" spans="1:17" s="450" customFormat="1" x14ac:dyDescent="0.2">
      <c r="A104" s="390"/>
      <c r="B104" s="472" t="s">
        <v>452</v>
      </c>
      <c r="C104" s="407"/>
      <c r="D104" s="389"/>
      <c r="E104" s="387"/>
      <c r="F104" s="465">
        <f>SUM(F101:F103)</f>
        <v>25558955.192637678</v>
      </c>
      <c r="G104" s="389"/>
      <c r="H104" s="389"/>
      <c r="I104" s="465">
        <f>SUM(I101:I103)</f>
        <v>30171701.642526381</v>
      </c>
      <c r="J104" s="430"/>
      <c r="K104" s="465">
        <f>SUM(K101:K103)</f>
        <v>4612746.4498887025</v>
      </c>
      <c r="L104" s="384">
        <f>ROUND(K104/F104,5)</f>
        <v>0.18046999999999999</v>
      </c>
      <c r="M104" s="458"/>
      <c r="N104" s="459"/>
      <c r="O104" s="483"/>
      <c r="P104" s="399"/>
      <c r="Q104" s="482"/>
    </row>
    <row r="105" spans="1:17" s="450" customFormat="1" x14ac:dyDescent="0.2">
      <c r="A105" s="390"/>
      <c r="B105" s="484"/>
      <c r="C105" s="407"/>
      <c r="D105" s="390"/>
      <c r="E105" s="359"/>
      <c r="F105" s="388"/>
      <c r="G105" s="389"/>
      <c r="H105" s="389"/>
      <c r="I105" s="430"/>
      <c r="J105" s="430"/>
      <c r="K105" s="388"/>
      <c r="L105" s="391"/>
      <c r="M105" s="458"/>
      <c r="N105" s="459"/>
      <c r="O105" s="388"/>
      <c r="P105" s="399"/>
      <c r="Q105" s="482"/>
    </row>
    <row r="106" spans="1:17" s="450" customFormat="1" x14ac:dyDescent="0.2">
      <c r="A106" s="390"/>
      <c r="B106" s="386" t="s">
        <v>427</v>
      </c>
      <c r="C106" s="399"/>
      <c r="D106" s="389"/>
      <c r="E106" s="453"/>
      <c r="F106" s="465">
        <f>F98+F104</f>
        <v>44052721.831673749</v>
      </c>
      <c r="G106" s="390"/>
      <c r="H106" s="444"/>
      <c r="I106" s="465">
        <f>I98+I104</f>
        <v>48365007.694981158</v>
      </c>
      <c r="J106" s="388"/>
      <c r="K106" s="465">
        <f>K98+K104</f>
        <v>3910402.8035102282</v>
      </c>
      <c r="L106" s="384">
        <f>ROUND(K106/F106,5)</f>
        <v>8.8770000000000002E-2</v>
      </c>
      <c r="M106" s="458"/>
      <c r="N106" s="459"/>
      <c r="O106" s="399"/>
      <c r="P106" s="399"/>
      <c r="Q106" s="389"/>
    </row>
    <row r="107" spans="1:17" s="450" customFormat="1" x14ac:dyDescent="0.2">
      <c r="A107" s="390"/>
      <c r="B107" s="474"/>
      <c r="C107" s="423"/>
      <c r="D107" s="423"/>
      <c r="E107" s="487"/>
      <c r="F107" s="488"/>
      <c r="G107" s="423"/>
      <c r="H107" s="423"/>
      <c r="I107" s="425"/>
      <c r="J107" s="425"/>
      <c r="K107" s="427"/>
      <c r="L107" s="475"/>
      <c r="M107" s="458"/>
      <c r="N107" s="459"/>
      <c r="O107" s="399"/>
      <c r="P107" s="399"/>
      <c r="Q107" s="389"/>
    </row>
    <row r="108" spans="1:17" s="390" customFormat="1" x14ac:dyDescent="0.2">
      <c r="E108" s="460"/>
      <c r="F108" s="489"/>
      <c r="I108" s="476"/>
      <c r="J108" s="476"/>
      <c r="K108" s="397"/>
      <c r="L108" s="477"/>
      <c r="M108" s="458"/>
      <c r="N108" s="459"/>
      <c r="O108" s="231"/>
      <c r="P108" s="231"/>
      <c r="Q108" s="231"/>
    </row>
    <row r="109" spans="1:17" x14ac:dyDescent="0.2">
      <c r="B109" s="359"/>
      <c r="F109" s="490"/>
      <c r="I109" s="490"/>
      <c r="J109" s="490"/>
      <c r="K109" s="490"/>
      <c r="M109" s="385"/>
      <c r="N109" s="358"/>
      <c r="O109" s="231"/>
      <c r="P109" s="231"/>
      <c r="Q109" s="231"/>
    </row>
    <row r="110" spans="1:17" x14ac:dyDescent="0.2">
      <c r="B110" s="493" t="s">
        <v>455</v>
      </c>
      <c r="F110" s="490"/>
      <c r="I110" s="490"/>
      <c r="J110" s="490"/>
      <c r="K110" s="490"/>
      <c r="M110" s="385"/>
      <c r="N110" s="358"/>
      <c r="O110" s="494"/>
      <c r="P110" s="495"/>
      <c r="Q110" s="496"/>
    </row>
    <row r="111" spans="1:17" x14ac:dyDescent="0.2">
      <c r="D111" s="334" t="s">
        <v>10</v>
      </c>
      <c r="F111" s="497" t="s">
        <v>410</v>
      </c>
      <c r="I111" s="497" t="s">
        <v>411</v>
      </c>
      <c r="J111" s="490"/>
      <c r="K111" s="497" t="s">
        <v>281</v>
      </c>
      <c r="M111" s="385"/>
      <c r="N111" s="358"/>
    </row>
    <row r="112" spans="1:17" x14ac:dyDescent="0.2">
      <c r="B112" s="212" t="s">
        <v>456</v>
      </c>
      <c r="C112" s="452"/>
      <c r="D112" s="498"/>
      <c r="E112" s="452"/>
      <c r="F112" s="452"/>
      <c r="G112" s="499"/>
      <c r="H112" s="499"/>
      <c r="I112" s="452"/>
      <c r="J112" s="452"/>
      <c r="K112" s="452"/>
      <c r="M112" s="500"/>
    </row>
    <row r="113" spans="2:13" x14ac:dyDescent="0.2">
      <c r="B113" s="502" t="s">
        <v>457</v>
      </c>
      <c r="C113" s="452"/>
      <c r="D113" s="498"/>
      <c r="E113" s="452"/>
      <c r="F113" s="452">
        <f>F17+F29</f>
        <v>88110814.311921448</v>
      </c>
      <c r="G113" s="499"/>
      <c r="H113" s="499"/>
      <c r="I113" s="452">
        <f>I17+I29</f>
        <v>87250411.776516512</v>
      </c>
      <c r="J113" s="452"/>
      <c r="K113" s="503">
        <f>I113-F113</f>
        <v>-860402.53540493548</v>
      </c>
      <c r="M113" s="500"/>
    </row>
    <row r="114" spans="2:13" x14ac:dyDescent="0.2">
      <c r="B114" s="502" t="s">
        <v>458</v>
      </c>
      <c r="C114" s="452"/>
      <c r="D114" s="498"/>
      <c r="E114" s="452"/>
      <c r="F114" s="452">
        <f>F62+F81</f>
        <v>25558955.192637678</v>
      </c>
      <c r="G114" s="499"/>
      <c r="H114" s="499"/>
      <c r="I114" s="452">
        <f>I62+I81</f>
        <v>30171701.642526381</v>
      </c>
      <c r="J114" s="452"/>
      <c r="K114" s="503">
        <f>I114-F114</f>
        <v>4612746.4498887025</v>
      </c>
      <c r="M114" s="504"/>
    </row>
    <row r="115" spans="2:13" x14ac:dyDescent="0.2">
      <c r="B115" s="502" t="s">
        <v>113</v>
      </c>
      <c r="C115" s="452"/>
      <c r="D115" s="498"/>
      <c r="E115" s="452"/>
      <c r="F115" s="505">
        <f>SUM(F113:F114)</f>
        <v>113669769.50455913</v>
      </c>
      <c r="G115" s="499"/>
      <c r="H115" s="499"/>
      <c r="I115" s="505">
        <f>SUM(I113:I114)</f>
        <v>117422113.41904289</v>
      </c>
      <c r="J115" s="452"/>
      <c r="K115" s="505">
        <f>SUM(K113:K114)</f>
        <v>3752343.914483767</v>
      </c>
      <c r="M115" s="504"/>
    </row>
    <row r="116" spans="2:13" x14ac:dyDescent="0.2">
      <c r="C116" s="452"/>
      <c r="D116" s="498"/>
      <c r="E116" s="452"/>
      <c r="F116" s="452"/>
      <c r="G116" s="499"/>
      <c r="H116" s="499"/>
      <c r="I116" s="452"/>
      <c r="J116" s="452"/>
      <c r="K116" s="503"/>
      <c r="M116" s="504"/>
    </row>
    <row r="117" spans="2:13" x14ac:dyDescent="0.2">
      <c r="B117" s="212" t="s">
        <v>459</v>
      </c>
      <c r="C117" s="452"/>
      <c r="D117" s="498"/>
      <c r="E117" s="452"/>
      <c r="F117" s="452"/>
      <c r="G117" s="499"/>
      <c r="H117" s="499"/>
      <c r="I117" s="452"/>
      <c r="J117" s="452"/>
      <c r="K117" s="503"/>
      <c r="M117" s="504"/>
    </row>
    <row r="118" spans="2:13" x14ac:dyDescent="0.2">
      <c r="B118" s="502" t="s">
        <v>460</v>
      </c>
      <c r="C118" s="452"/>
      <c r="D118" s="498"/>
      <c r="E118" s="452"/>
      <c r="F118" s="452">
        <f>F15+F27</f>
        <v>88442624.13000001</v>
      </c>
      <c r="G118" s="452"/>
      <c r="H118" s="499"/>
      <c r="I118" s="452">
        <f>I15+I27</f>
        <v>87006528.950000003</v>
      </c>
      <c r="J118" s="452"/>
      <c r="K118" s="503">
        <f>I118-F118</f>
        <v>-1436095.1800000072</v>
      </c>
      <c r="L118" s="492">
        <f>K118/F118</f>
        <v>-1.6237591253388414E-2</v>
      </c>
      <c r="M118" s="504"/>
    </row>
    <row r="119" spans="2:13" x14ac:dyDescent="0.2">
      <c r="B119" s="502" t="s">
        <v>458</v>
      </c>
      <c r="C119" s="452"/>
      <c r="D119" s="498"/>
      <c r="E119" s="452"/>
      <c r="F119" s="452">
        <f>F57+F79</f>
        <v>18493766.639036074</v>
      </c>
      <c r="G119" s="452"/>
      <c r="H119" s="499"/>
      <c r="I119" s="452">
        <f>I57+I79</f>
        <v>18193306.05245477</v>
      </c>
      <c r="J119" s="452"/>
      <c r="K119" s="503">
        <f>I119-F119</f>
        <v>-300460.58658130467</v>
      </c>
      <c r="L119" s="492">
        <f>K119/F119</f>
        <v>-1.6246586887665258E-2</v>
      </c>
      <c r="M119" s="504"/>
    </row>
    <row r="120" spans="2:13" x14ac:dyDescent="0.2">
      <c r="B120" s="502" t="s">
        <v>113</v>
      </c>
      <c r="C120" s="452"/>
      <c r="D120" s="498"/>
      <c r="E120" s="452"/>
      <c r="F120" s="505">
        <f>SUM(F118:F119)</f>
        <v>106936390.76903608</v>
      </c>
      <c r="G120" s="452"/>
      <c r="H120" s="499"/>
      <c r="I120" s="505">
        <f>SUM(I118:I119)</f>
        <v>105199835.00245477</v>
      </c>
      <c r="J120" s="452"/>
      <c r="K120" s="505">
        <f>SUM(K118:K119)</f>
        <v>-1736555.7665813118</v>
      </c>
      <c r="L120" s="492">
        <f>K120/F120</f>
        <v>-1.6239146974129405E-2</v>
      </c>
      <c r="M120" s="504"/>
    </row>
    <row r="121" spans="2:13" x14ac:dyDescent="0.2">
      <c r="C121" s="452"/>
      <c r="D121" s="498"/>
      <c r="E121" s="452"/>
      <c r="F121" s="452"/>
      <c r="G121" s="452"/>
      <c r="H121" s="499"/>
      <c r="I121" s="452"/>
      <c r="J121" s="452"/>
      <c r="K121" s="503"/>
      <c r="M121" s="504"/>
    </row>
    <row r="122" spans="2:13" x14ac:dyDescent="0.2">
      <c r="B122" s="493" t="s">
        <v>394</v>
      </c>
      <c r="C122" s="452"/>
      <c r="D122" s="498"/>
      <c r="E122" s="452"/>
      <c r="F122" s="452"/>
      <c r="G122" s="452"/>
      <c r="H122" s="499"/>
      <c r="I122" s="452"/>
      <c r="J122" s="452"/>
      <c r="K122" s="503"/>
      <c r="M122" s="504"/>
    </row>
    <row r="123" spans="2:13" x14ac:dyDescent="0.2">
      <c r="B123" s="502" t="s">
        <v>460</v>
      </c>
      <c r="C123" s="452"/>
      <c r="D123" s="498">
        <f>D36</f>
        <v>214587104.22299999</v>
      </c>
      <c r="E123" s="452"/>
      <c r="F123" s="452">
        <f>F113+F118</f>
        <v>176553438.44192147</v>
      </c>
      <c r="G123" s="499"/>
      <c r="H123" s="499"/>
      <c r="I123" s="452">
        <f>I113+I118</f>
        <v>174256940.72651652</v>
      </c>
      <c r="J123" s="452"/>
      <c r="K123" s="503">
        <f>I123-F123</f>
        <v>-2296497.7154049575</v>
      </c>
      <c r="L123" s="492">
        <f>K123/F123</f>
        <v>-1.3007380290474531E-2</v>
      </c>
      <c r="M123" s="504"/>
    </row>
    <row r="124" spans="2:13" x14ac:dyDescent="0.2">
      <c r="B124" s="502" t="s">
        <v>458</v>
      </c>
      <c r="C124" s="452"/>
      <c r="D124" s="498">
        <f>D96</f>
        <v>83692776.103</v>
      </c>
      <c r="E124" s="452"/>
      <c r="F124" s="452">
        <f>F114+F119</f>
        <v>44052721.831673756</v>
      </c>
      <c r="G124" s="499"/>
      <c r="H124" s="499"/>
      <c r="I124" s="452">
        <f>I114+I119</f>
        <v>48365007.69498115</v>
      </c>
      <c r="J124" s="452"/>
      <c r="K124" s="503">
        <f>I124-F124</f>
        <v>4312285.8633073941</v>
      </c>
      <c r="L124" s="492">
        <f>K124/F124</f>
        <v>9.7889203754190635E-2</v>
      </c>
      <c r="M124" s="504"/>
    </row>
    <row r="125" spans="2:13" x14ac:dyDescent="0.2">
      <c r="B125" s="502" t="s">
        <v>113</v>
      </c>
      <c r="C125" s="452"/>
      <c r="D125" s="506">
        <f>SUM(D123:D124)</f>
        <v>298279880.32599998</v>
      </c>
      <c r="E125" s="452"/>
      <c r="F125" s="505">
        <f>SUM(F123:F124)</f>
        <v>220606160.27359521</v>
      </c>
      <c r="G125" s="499"/>
      <c r="H125" s="499"/>
      <c r="I125" s="505">
        <f>SUM(I123:I124)</f>
        <v>222621948.42149767</v>
      </c>
      <c r="J125" s="452"/>
      <c r="K125" s="505">
        <f>SUM(K123:K124)</f>
        <v>2015788.1479024366</v>
      </c>
      <c r="L125" s="492">
        <f>K125/F125</f>
        <v>9.1374970916608175E-3</v>
      </c>
      <c r="M125" s="504"/>
    </row>
    <row r="126" spans="2:13" x14ac:dyDescent="0.2">
      <c r="C126" s="452"/>
      <c r="D126" s="498"/>
      <c r="E126" s="452"/>
      <c r="F126" s="452"/>
      <c r="G126" s="499"/>
      <c r="H126" s="499"/>
      <c r="I126" s="452"/>
      <c r="J126" s="452"/>
      <c r="K126" s="452"/>
      <c r="M126" s="504"/>
    </row>
    <row r="127" spans="2:13" x14ac:dyDescent="0.2">
      <c r="B127" s="207" t="s">
        <v>438</v>
      </c>
      <c r="C127" s="452"/>
      <c r="D127" s="452"/>
      <c r="E127" s="452"/>
      <c r="F127" s="452"/>
      <c r="G127" s="499"/>
      <c r="H127" s="499"/>
      <c r="I127" s="452"/>
      <c r="J127" s="452"/>
      <c r="K127" s="452"/>
      <c r="M127" s="504"/>
    </row>
    <row r="128" spans="2:13" x14ac:dyDescent="0.2">
      <c r="C128" s="452"/>
      <c r="D128" s="452"/>
      <c r="E128" s="452"/>
      <c r="F128" s="452"/>
      <c r="G128" s="499"/>
      <c r="H128" s="499"/>
      <c r="I128" s="452"/>
      <c r="J128" s="452"/>
      <c r="K128" s="452"/>
      <c r="M128" s="504"/>
    </row>
    <row r="129" spans="3:13" x14ac:dyDescent="0.2">
      <c r="C129" s="452"/>
      <c r="D129" s="452"/>
      <c r="E129" s="452"/>
      <c r="F129" s="452"/>
      <c r="G129" s="499"/>
      <c r="H129" s="499"/>
      <c r="I129" s="452"/>
      <c r="J129" s="452"/>
      <c r="K129" s="452"/>
      <c r="M129" s="504"/>
    </row>
    <row r="130" spans="3:13" x14ac:dyDescent="0.2">
      <c r="C130" s="452"/>
      <c r="D130" s="452"/>
      <c r="E130" s="452"/>
      <c r="F130" s="452"/>
      <c r="G130" s="499"/>
      <c r="H130" s="499"/>
      <c r="I130" s="452"/>
      <c r="J130" s="452"/>
      <c r="K130" s="452"/>
      <c r="M130" s="504"/>
    </row>
    <row r="131" spans="3:13" x14ac:dyDescent="0.2">
      <c r="C131" s="452"/>
      <c r="D131" s="452"/>
      <c r="E131" s="452"/>
      <c r="F131" s="452"/>
      <c r="G131" s="499"/>
      <c r="H131" s="499"/>
      <c r="I131" s="452"/>
      <c r="J131" s="452"/>
      <c r="K131" s="452"/>
      <c r="M131" s="504"/>
    </row>
    <row r="132" spans="3:13" x14ac:dyDescent="0.2">
      <c r="C132" s="452"/>
      <c r="D132" s="452"/>
      <c r="E132" s="452"/>
      <c r="F132" s="452"/>
      <c r="G132" s="499"/>
      <c r="H132" s="499"/>
      <c r="I132" s="452"/>
      <c r="J132" s="452"/>
      <c r="K132" s="452"/>
      <c r="M132" s="504"/>
    </row>
    <row r="133" spans="3:13" x14ac:dyDescent="0.2">
      <c r="C133" s="452"/>
      <c r="D133" s="452"/>
      <c r="E133" s="452"/>
      <c r="F133" s="452"/>
      <c r="G133" s="499"/>
      <c r="H133" s="499"/>
      <c r="I133" s="452"/>
      <c r="J133" s="452"/>
      <c r="K133" s="452"/>
      <c r="M133" s="504"/>
    </row>
    <row r="134" spans="3:13" x14ac:dyDescent="0.2">
      <c r="C134" s="452"/>
      <c r="D134" s="452"/>
      <c r="E134" s="452"/>
      <c r="F134" s="452"/>
      <c r="G134" s="499"/>
      <c r="H134" s="499"/>
      <c r="I134" s="452"/>
      <c r="J134" s="452"/>
      <c r="K134" s="452"/>
      <c r="M134" s="504"/>
    </row>
    <row r="135" spans="3:13" x14ac:dyDescent="0.2">
      <c r="C135" s="452"/>
      <c r="D135" s="452"/>
      <c r="E135" s="452"/>
      <c r="F135" s="452"/>
      <c r="G135" s="499"/>
      <c r="H135" s="499"/>
      <c r="I135" s="452"/>
      <c r="J135" s="452"/>
      <c r="K135" s="452"/>
      <c r="M135" s="504"/>
    </row>
    <row r="136" spans="3:13" x14ac:dyDescent="0.2">
      <c r="C136" s="452"/>
      <c r="D136" s="452"/>
      <c r="E136" s="452"/>
      <c r="F136" s="452"/>
      <c r="G136" s="499"/>
      <c r="H136" s="499"/>
      <c r="I136" s="452"/>
      <c r="J136" s="452"/>
      <c r="K136" s="452"/>
      <c r="M136" s="504"/>
    </row>
    <row r="137" spans="3:13" x14ac:dyDescent="0.2">
      <c r="C137" s="452"/>
      <c r="D137" s="452"/>
      <c r="E137" s="452"/>
      <c r="F137" s="452"/>
      <c r="G137" s="499"/>
      <c r="H137" s="499"/>
      <c r="I137" s="452"/>
      <c r="J137" s="452"/>
      <c r="K137" s="452"/>
      <c r="M137" s="504"/>
    </row>
    <row r="138" spans="3:13" x14ac:dyDescent="0.2">
      <c r="C138" s="452"/>
      <c r="D138" s="452"/>
      <c r="E138" s="452"/>
      <c r="F138" s="452"/>
      <c r="G138" s="499"/>
      <c r="H138" s="499"/>
      <c r="I138" s="452"/>
      <c r="J138" s="452"/>
      <c r="K138" s="452"/>
      <c r="M138" s="504"/>
    </row>
    <row r="139" spans="3:13" x14ac:dyDescent="0.2">
      <c r="C139" s="452"/>
      <c r="D139" s="452"/>
      <c r="E139" s="452"/>
      <c r="F139" s="452"/>
      <c r="G139" s="499"/>
      <c r="H139" s="499"/>
      <c r="I139" s="452"/>
      <c r="J139" s="452"/>
      <c r="K139" s="452"/>
      <c r="M139" s="504"/>
    </row>
    <row r="140" spans="3:13" x14ac:dyDescent="0.2">
      <c r="C140" s="452"/>
      <c r="D140" s="452"/>
      <c r="E140" s="452"/>
      <c r="F140" s="452"/>
      <c r="G140" s="499"/>
      <c r="H140" s="499"/>
      <c r="I140" s="452"/>
      <c r="J140" s="452"/>
      <c r="K140" s="452"/>
      <c r="M140" s="504"/>
    </row>
    <row r="141" spans="3:13" x14ac:dyDescent="0.2">
      <c r="C141" s="452"/>
      <c r="D141" s="452"/>
      <c r="E141" s="452"/>
      <c r="F141" s="452"/>
      <c r="G141" s="499"/>
      <c r="H141" s="499"/>
      <c r="I141" s="452"/>
      <c r="J141" s="452"/>
      <c r="K141" s="452"/>
      <c r="M141" s="504"/>
    </row>
    <row r="142" spans="3:13" x14ac:dyDescent="0.2">
      <c r="C142" s="452"/>
      <c r="D142" s="452"/>
      <c r="E142" s="452"/>
      <c r="F142" s="452"/>
      <c r="G142" s="499"/>
      <c r="H142" s="499"/>
      <c r="I142" s="452"/>
      <c r="J142" s="452"/>
      <c r="K142" s="452"/>
      <c r="M142" s="504"/>
    </row>
    <row r="143" spans="3:13" x14ac:dyDescent="0.2">
      <c r="C143" s="452"/>
      <c r="D143" s="452"/>
      <c r="E143" s="452"/>
      <c r="F143" s="452"/>
      <c r="G143" s="499"/>
      <c r="H143" s="499"/>
      <c r="I143" s="452"/>
      <c r="J143" s="452"/>
      <c r="K143" s="452"/>
      <c r="M143" s="504"/>
    </row>
    <row r="144" spans="3:13" x14ac:dyDescent="0.2">
      <c r="C144" s="452"/>
      <c r="D144" s="452"/>
      <c r="E144" s="452"/>
      <c r="F144" s="452"/>
      <c r="G144" s="499"/>
      <c r="H144" s="499"/>
      <c r="I144" s="452"/>
      <c r="J144" s="452"/>
      <c r="K144" s="452"/>
      <c r="M144" s="504"/>
    </row>
    <row r="145" spans="3:13" x14ac:dyDescent="0.2">
      <c r="C145" s="452"/>
      <c r="D145" s="452"/>
      <c r="E145" s="452"/>
      <c r="F145" s="452"/>
      <c r="G145" s="499"/>
      <c r="H145" s="499"/>
      <c r="I145" s="452"/>
      <c r="J145" s="452"/>
      <c r="K145" s="452"/>
      <c r="M145" s="504"/>
    </row>
    <row r="146" spans="3:13" x14ac:dyDescent="0.2">
      <c r="C146" s="452"/>
      <c r="D146" s="452"/>
      <c r="E146" s="452"/>
      <c r="F146" s="452"/>
      <c r="G146" s="499"/>
      <c r="H146" s="499"/>
      <c r="I146" s="452"/>
      <c r="J146" s="452"/>
      <c r="K146" s="452"/>
      <c r="M146" s="504"/>
    </row>
    <row r="147" spans="3:13" x14ac:dyDescent="0.2">
      <c r="M147" s="504"/>
    </row>
    <row r="148" spans="3:13" x14ac:dyDescent="0.2">
      <c r="M148" s="504"/>
    </row>
  </sheetData>
  <mergeCells count="1">
    <mergeCell ref="K7:L7"/>
  </mergeCells>
  <printOptions horizontalCentered="1"/>
  <pageMargins left="0.5" right="0.5" top="1" bottom="0.5" header="0.75" footer="0.3"/>
  <pageSetup scale="77" fitToHeight="8" orientation="landscape" blackAndWhite="1" r:id="rId1"/>
  <headerFooter alignWithMargins="0">
    <oddFooter>&amp;L&amp;F 
&amp;A&amp;C&amp;P&amp;R&amp;D</oddFooter>
  </headerFooter>
  <rowBreaks count="2" manualBreakCount="2">
    <brk id="44" min="1" max="16" man="1"/>
    <brk id="85" min="1" max="16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7"/>
  <sheetViews>
    <sheetView zoomScaleNormal="100" workbookViewId="0">
      <selection activeCell="E33" sqref="E33"/>
    </sheetView>
  </sheetViews>
  <sheetFormatPr defaultRowHeight="12.75" x14ac:dyDescent="0.2"/>
  <cols>
    <col min="1" max="1" width="2.140625" style="342" customWidth="1"/>
    <col min="2" max="2" width="27.5703125" style="342" customWidth="1"/>
    <col min="3" max="3" width="7.85546875" style="342" bestFit="1" customWidth="1"/>
    <col min="4" max="4" width="14.42578125" style="491" bestFit="1" customWidth="1"/>
    <col min="5" max="5" width="11" style="609" customWidth="1"/>
    <col min="6" max="6" width="16.5703125" style="507" customWidth="1"/>
    <col min="7" max="7" width="3" style="389" customWidth="1"/>
    <col min="8" max="8" width="17.28515625" style="610" bestFit="1" customWidth="1"/>
    <col min="9" max="9" width="17" style="507" customWidth="1"/>
    <col min="10" max="10" width="2.5703125" style="507" customWidth="1"/>
    <col min="11" max="11" width="13" style="507" customWidth="1"/>
    <col min="12" max="12" width="13.5703125" style="597" customWidth="1"/>
    <col min="13" max="13" width="2" style="357" customWidth="1"/>
    <col min="14" max="14" width="2.140625" style="512" customWidth="1"/>
    <col min="15" max="15" width="16.42578125" style="342" bestFit="1" customWidth="1"/>
    <col min="16" max="16" width="2.7109375" style="342" customWidth="1"/>
    <col min="17" max="17" width="9.28515625" style="342" bestFit="1" customWidth="1"/>
    <col min="18" max="16384" width="9.140625" style="342"/>
  </cols>
  <sheetData>
    <row r="1" spans="1:17" x14ac:dyDescent="0.2">
      <c r="B1" s="343"/>
      <c r="C1" s="343"/>
      <c r="D1" s="345"/>
      <c r="E1" s="508"/>
      <c r="F1" s="344"/>
      <c r="G1" s="509"/>
      <c r="H1" s="510"/>
      <c r="I1" s="344"/>
      <c r="J1" s="344"/>
      <c r="K1" s="344"/>
      <c r="L1" s="348"/>
      <c r="M1" s="348"/>
      <c r="N1" s="350"/>
      <c r="O1" s="343"/>
      <c r="P1" s="343"/>
      <c r="Q1" s="343"/>
    </row>
    <row r="2" spans="1:17" x14ac:dyDescent="0.2">
      <c r="B2" s="209" t="s">
        <v>1</v>
      </c>
      <c r="C2" s="209"/>
      <c r="D2" s="510"/>
      <c r="E2" s="344"/>
      <c r="F2" s="344"/>
      <c r="G2" s="510"/>
      <c r="H2" s="510"/>
      <c r="I2" s="344"/>
      <c r="J2" s="344"/>
      <c r="K2" s="344"/>
      <c r="L2" s="344"/>
      <c r="M2" s="348"/>
      <c r="N2" s="350"/>
      <c r="O2" s="343"/>
      <c r="P2" s="343"/>
      <c r="Q2" s="343"/>
    </row>
    <row r="3" spans="1:17" x14ac:dyDescent="0.2">
      <c r="B3" s="697" t="s">
        <v>541</v>
      </c>
      <c r="C3" s="209"/>
      <c r="D3" s="510"/>
      <c r="E3" s="344"/>
      <c r="F3" s="344"/>
      <c r="G3" s="510"/>
      <c r="H3" s="510"/>
      <c r="I3" s="344"/>
      <c r="J3" s="344"/>
      <c r="K3" s="344"/>
      <c r="L3" s="344"/>
      <c r="M3" s="348"/>
      <c r="N3" s="350"/>
      <c r="O3" s="343"/>
      <c r="P3" s="343"/>
      <c r="Q3" s="343"/>
    </row>
    <row r="4" spans="1:17" x14ac:dyDescent="0.2">
      <c r="B4" s="697" t="s">
        <v>531</v>
      </c>
      <c r="C4" s="209"/>
      <c r="D4" s="510"/>
      <c r="E4" s="344"/>
      <c r="F4" s="344"/>
      <c r="G4" s="510"/>
      <c r="H4" s="510"/>
      <c r="I4" s="344"/>
      <c r="J4" s="344"/>
      <c r="K4" s="344"/>
      <c r="L4" s="344"/>
      <c r="M4" s="348"/>
      <c r="N4" s="350"/>
      <c r="O4" s="343"/>
      <c r="P4" s="343"/>
      <c r="Q4" s="343"/>
    </row>
    <row r="5" spans="1:17" x14ac:dyDescent="0.2">
      <c r="B5" s="209" t="s">
        <v>408</v>
      </c>
      <c r="C5" s="209"/>
      <c r="D5" s="345"/>
      <c r="E5" s="508"/>
      <c r="F5" s="344"/>
      <c r="G5" s="509"/>
      <c r="H5" s="510"/>
      <c r="I5" s="344"/>
      <c r="J5" s="344"/>
      <c r="K5" s="344"/>
      <c r="L5" s="348"/>
      <c r="M5" s="348"/>
      <c r="N5" s="350"/>
      <c r="O5" s="351"/>
      <c r="P5" s="343"/>
      <c r="Q5" s="343"/>
    </row>
    <row r="6" spans="1:17" s="359" customFormat="1" x14ac:dyDescent="0.2">
      <c r="B6" s="511"/>
      <c r="C6" s="351"/>
      <c r="D6" s="403"/>
      <c r="E6" s="415"/>
      <c r="F6" s="473"/>
      <c r="G6" s="389"/>
      <c r="H6" s="444"/>
      <c r="I6" s="473"/>
      <c r="J6" s="473"/>
      <c r="K6" s="473"/>
      <c r="L6" s="512"/>
      <c r="M6" s="373"/>
      <c r="N6" s="373"/>
    </row>
    <row r="7" spans="1:17" x14ac:dyDescent="0.2">
      <c r="B7" s="361"/>
      <c r="C7" s="362"/>
      <c r="D7" s="513" t="s">
        <v>409</v>
      </c>
      <c r="E7" s="227" t="s">
        <v>410</v>
      </c>
      <c r="F7" s="364"/>
      <c r="G7" s="513"/>
      <c r="H7" s="514" t="s">
        <v>411</v>
      </c>
      <c r="I7" s="364"/>
      <c r="J7" s="367"/>
      <c r="K7" s="849" t="s">
        <v>412</v>
      </c>
      <c r="L7" s="850"/>
      <c r="M7" s="373"/>
      <c r="N7" s="350"/>
      <c r="O7" s="231" t="s">
        <v>413</v>
      </c>
      <c r="Q7" s="232" t="s">
        <v>414</v>
      </c>
    </row>
    <row r="8" spans="1:17" x14ac:dyDescent="0.2">
      <c r="B8" s="369" t="s">
        <v>116</v>
      </c>
      <c r="C8" s="515" t="s">
        <v>2</v>
      </c>
      <c r="D8" s="516" t="s">
        <v>415</v>
      </c>
      <c r="E8" s="517" t="s">
        <v>7</v>
      </c>
      <c r="F8" s="371" t="s">
        <v>416</v>
      </c>
      <c r="G8" s="516"/>
      <c r="H8" s="424" t="s">
        <v>7</v>
      </c>
      <c r="I8" s="371" t="s">
        <v>416</v>
      </c>
      <c r="J8" s="371"/>
      <c r="K8" s="371" t="s">
        <v>417</v>
      </c>
      <c r="L8" s="518" t="s">
        <v>418</v>
      </c>
      <c r="M8" s="373"/>
      <c r="N8" s="238"/>
      <c r="O8" s="239" t="s">
        <v>419</v>
      </c>
      <c r="Q8" s="240" t="s">
        <v>420</v>
      </c>
    </row>
    <row r="9" spans="1:17" x14ac:dyDescent="0.2">
      <c r="A9" s="359"/>
      <c r="B9" s="419"/>
      <c r="C9" s="407"/>
      <c r="D9" s="389"/>
      <c r="E9" s="415"/>
      <c r="F9" s="473"/>
      <c r="G9" s="440"/>
      <c r="H9" s="444"/>
      <c r="I9" s="404"/>
      <c r="J9" s="404"/>
      <c r="K9" s="473"/>
      <c r="L9" s="519"/>
      <c r="M9" s="373"/>
      <c r="O9" s="359"/>
    </row>
    <row r="10" spans="1:17" x14ac:dyDescent="0.2">
      <c r="B10" s="378" t="s">
        <v>461</v>
      </c>
      <c r="C10" s="520"/>
      <c r="D10" s="382"/>
      <c r="E10" s="521"/>
      <c r="F10" s="381"/>
      <c r="G10" s="522"/>
      <c r="H10" s="523"/>
      <c r="I10" s="524"/>
      <c r="J10" s="524"/>
      <c r="K10" s="381"/>
      <c r="L10" s="525"/>
      <c r="M10" s="373"/>
      <c r="N10" s="373"/>
      <c r="O10" s="392" t="s">
        <v>462</v>
      </c>
    </row>
    <row r="11" spans="1:17" x14ac:dyDescent="0.2">
      <c r="B11" s="386"/>
      <c r="C11" s="359"/>
      <c r="D11" s="389"/>
      <c r="E11" s="415"/>
      <c r="F11" s="388"/>
      <c r="G11" s="440"/>
      <c r="H11" s="444"/>
      <c r="I11" s="430"/>
      <c r="J11" s="404"/>
      <c r="K11" s="388"/>
      <c r="L11" s="526"/>
      <c r="M11" s="373"/>
      <c r="N11" s="373"/>
      <c r="O11" s="398">
        <v>-148896.05400749875</v>
      </c>
    </row>
    <row r="12" spans="1:17" x14ac:dyDescent="0.2">
      <c r="B12" s="472" t="s">
        <v>423</v>
      </c>
      <c r="C12" s="527" t="s">
        <v>22</v>
      </c>
      <c r="D12" s="395">
        <v>329.72400330954827</v>
      </c>
      <c r="E12" s="396">
        <v>563.45000000000005</v>
      </c>
      <c r="F12" s="388">
        <f>ROUND(D12*E12,2)</f>
        <v>185782.99</v>
      </c>
      <c r="H12" s="479">
        <f>ROUND(E12*(1+$O$18),2)</f>
        <v>548.57000000000005</v>
      </c>
      <c r="I12" s="430">
        <f>ROUND(D12*H12,2)</f>
        <v>180876.7</v>
      </c>
      <c r="J12" s="404"/>
      <c r="K12" s="388">
        <f>I12-F12</f>
        <v>-4906.289999999979</v>
      </c>
      <c r="L12" s="526"/>
      <c r="M12" s="373"/>
      <c r="N12" s="528"/>
      <c r="O12" s="402" t="s">
        <v>425</v>
      </c>
      <c r="Q12" s="261">
        <f>H12/E12-1</f>
        <v>-2.6408731919424944E-2</v>
      </c>
    </row>
    <row r="13" spans="1:17" x14ac:dyDescent="0.2">
      <c r="B13" s="484" t="s">
        <v>395</v>
      </c>
      <c r="C13" s="399" t="s">
        <v>29</v>
      </c>
      <c r="D13" s="395">
        <v>110230.038</v>
      </c>
      <c r="E13" s="396">
        <v>1.1499999999999999</v>
      </c>
      <c r="F13" s="388">
        <f>ROUND(D13*E13,2)</f>
        <v>126764.54</v>
      </c>
      <c r="H13" s="396">
        <v>1.21</v>
      </c>
      <c r="I13" s="430">
        <f>ROUND(D13*H13,2)</f>
        <v>133378.35</v>
      </c>
      <c r="J13" s="404"/>
      <c r="K13" s="388">
        <f>I13-F13</f>
        <v>6613.8100000000122</v>
      </c>
      <c r="L13" s="526"/>
      <c r="M13" s="373"/>
      <c r="N13" s="528"/>
      <c r="O13" s="529">
        <f>K21+K43-O11</f>
        <v>-8.2308864813821856</v>
      </c>
      <c r="Q13" s="261">
        <f>H13/E13-1</f>
        <v>5.2173913043478404E-2</v>
      </c>
    </row>
    <row r="14" spans="1:17" x14ac:dyDescent="0.2">
      <c r="B14" s="386" t="s">
        <v>441</v>
      </c>
      <c r="C14" s="399" t="s">
        <v>10</v>
      </c>
      <c r="D14" s="389">
        <f>D21</f>
        <v>17139795.438999999</v>
      </c>
      <c r="E14" s="400">
        <v>6.8199999999999997E-3</v>
      </c>
      <c r="F14" s="388">
        <f>E14*D14</f>
        <v>116893.40489397998</v>
      </c>
      <c r="H14" s="400">
        <v>7.4700000000000001E-3</v>
      </c>
      <c r="I14" s="430">
        <f>ROUND(D14*H14,2)</f>
        <v>128034.27</v>
      </c>
      <c r="J14" s="473"/>
      <c r="K14" s="388">
        <f>I14-F14</f>
        <v>11140.865106020021</v>
      </c>
      <c r="L14" s="526"/>
      <c r="M14" s="373"/>
      <c r="N14" s="528"/>
      <c r="O14" s="410"/>
      <c r="Q14" s="261">
        <f>H14/E14-1</f>
        <v>9.5307917888563187E-2</v>
      </c>
    </row>
    <row r="15" spans="1:17" x14ac:dyDescent="0.2">
      <c r="B15" s="484" t="s">
        <v>463</v>
      </c>
      <c r="C15" s="399"/>
      <c r="D15" s="389"/>
      <c r="E15" s="437"/>
      <c r="F15" s="530">
        <v>35324.22</v>
      </c>
      <c r="H15" s="453"/>
      <c r="I15" s="454">
        <f>F15</f>
        <v>35324.22</v>
      </c>
      <c r="J15" s="473"/>
      <c r="K15" s="388">
        <f>I15-F15</f>
        <v>0</v>
      </c>
      <c r="L15" s="526"/>
      <c r="M15" s="373"/>
      <c r="N15" s="373"/>
      <c r="O15" s="410"/>
    </row>
    <row r="16" spans="1:17" x14ac:dyDescent="0.2">
      <c r="B16" s="386"/>
      <c r="C16" s="359"/>
      <c r="D16" s="389"/>
      <c r="E16" s="437"/>
      <c r="F16" s="388"/>
      <c r="H16" s="453"/>
      <c r="I16" s="430"/>
      <c r="J16" s="404"/>
      <c r="K16" s="388"/>
      <c r="L16" s="526"/>
      <c r="M16" s="373"/>
      <c r="N16" s="373"/>
      <c r="O16" s="531"/>
    </row>
    <row r="17" spans="2:17" x14ac:dyDescent="0.2">
      <c r="B17" s="484" t="s">
        <v>448</v>
      </c>
      <c r="C17" s="359"/>
      <c r="D17" s="389"/>
      <c r="E17" s="437"/>
      <c r="F17" s="388"/>
      <c r="H17" s="453"/>
      <c r="I17" s="430"/>
      <c r="J17" s="404"/>
      <c r="K17" s="388"/>
      <c r="L17" s="526"/>
      <c r="M17" s="373"/>
      <c r="N17" s="373"/>
      <c r="O17" s="531"/>
    </row>
    <row r="18" spans="2:17" x14ac:dyDescent="0.2">
      <c r="B18" s="386" t="s">
        <v>464</v>
      </c>
      <c r="C18" s="399" t="s">
        <v>10</v>
      </c>
      <c r="D18" s="395">
        <v>7604132.790000001</v>
      </c>
      <c r="E18" s="400">
        <v>0.10206</v>
      </c>
      <c r="F18" s="388">
        <f>ROUND(D18*E18,2)</f>
        <v>776077.79</v>
      </c>
      <c r="H18" s="401">
        <f>ROUND(E18*(1+$O$18),5)</f>
        <v>9.9360000000000004E-2</v>
      </c>
      <c r="I18" s="430">
        <f>ROUND(D18*H18,2)</f>
        <v>755546.63</v>
      </c>
      <c r="J18" s="404"/>
      <c r="K18" s="388">
        <f>I18-F18</f>
        <v>-20531.160000000033</v>
      </c>
      <c r="L18" s="526"/>
      <c r="M18" s="373"/>
      <c r="N18" s="528"/>
      <c r="O18" s="413">
        <v>-2.6406574664256333E-2</v>
      </c>
      <c r="P18" s="532"/>
      <c r="Q18" s="261">
        <f>H18/E18-1</f>
        <v>-2.6455026455026398E-2</v>
      </c>
    </row>
    <row r="19" spans="2:17" x14ac:dyDescent="0.2">
      <c r="B19" s="386" t="s">
        <v>465</v>
      </c>
      <c r="C19" s="399" t="s">
        <v>10</v>
      </c>
      <c r="D19" s="395">
        <v>4221473.3529999992</v>
      </c>
      <c r="E19" s="400">
        <v>5.0500000000000003E-2</v>
      </c>
      <c r="F19" s="388">
        <f>ROUND(D19*E19,2)</f>
        <v>213184.4</v>
      </c>
      <c r="H19" s="401">
        <f>ROUND(E19*(1+$O$18),5)</f>
        <v>4.9169999999999998E-2</v>
      </c>
      <c r="I19" s="430">
        <f>ROUND(D19*H19,2)</f>
        <v>207569.84</v>
      </c>
      <c r="J19" s="404"/>
      <c r="K19" s="388">
        <f>I19-F19</f>
        <v>-5614.5599999999977</v>
      </c>
      <c r="L19" s="526"/>
      <c r="M19" s="373"/>
      <c r="N19" s="528"/>
      <c r="O19" s="437"/>
      <c r="P19" s="437"/>
      <c r="Q19" s="261">
        <f>H19/E19-1</f>
        <v>-2.6336633663366471E-2</v>
      </c>
    </row>
    <row r="20" spans="2:17" x14ac:dyDescent="0.2">
      <c r="B20" s="386" t="s">
        <v>466</v>
      </c>
      <c r="C20" s="399" t="s">
        <v>10</v>
      </c>
      <c r="D20" s="395">
        <v>5314189.2960000001</v>
      </c>
      <c r="E20" s="400">
        <v>4.8320000000000002E-2</v>
      </c>
      <c r="F20" s="388">
        <f>ROUND(D20*E20,2)</f>
        <v>256781.63</v>
      </c>
      <c r="H20" s="401">
        <f>ROUND(E20*(1+$O$18),5)</f>
        <v>4.7039999999999998E-2</v>
      </c>
      <c r="I20" s="430">
        <f>ROUND(D20*H20,2)</f>
        <v>249979.46</v>
      </c>
      <c r="J20" s="404"/>
      <c r="K20" s="388">
        <f>I20-F20</f>
        <v>-6802.1700000000128</v>
      </c>
      <c r="L20" s="391"/>
      <c r="M20" s="373"/>
      <c r="N20" s="528"/>
      <c r="O20" s="437"/>
      <c r="P20" s="437"/>
      <c r="Q20" s="261">
        <f>H20/E20-1</f>
        <v>-2.6490066225165587E-2</v>
      </c>
    </row>
    <row r="21" spans="2:17" x14ac:dyDescent="0.2">
      <c r="B21" s="281" t="s">
        <v>429</v>
      </c>
      <c r="C21" s="407"/>
      <c r="D21" s="382">
        <f>SUM(D18:D20)</f>
        <v>17139795.438999999</v>
      </c>
      <c r="E21" s="473"/>
      <c r="F21" s="465">
        <f>SUM(F12:F20)</f>
        <v>1710808.9748939797</v>
      </c>
      <c r="H21" s="444"/>
      <c r="I21" s="465">
        <f>SUM(I12:I20)</f>
        <v>1690709.47</v>
      </c>
      <c r="J21" s="404"/>
      <c r="K21" s="465">
        <f>SUM(K12:K20)</f>
        <v>-20099.504893979989</v>
      </c>
      <c r="L21" s="533">
        <f>K21/F21</f>
        <v>-1.174853837508397E-2</v>
      </c>
      <c r="M21" s="373"/>
      <c r="N21" s="373"/>
      <c r="O21" s="534"/>
      <c r="P21" s="467"/>
      <c r="Q21" s="468"/>
    </row>
    <row r="22" spans="2:17" ht="12.75" customHeight="1" x14ac:dyDescent="0.2">
      <c r="B22" s="419"/>
      <c r="C22" s="407"/>
      <c r="D22" s="389"/>
      <c r="E22" s="473"/>
      <c r="F22" s="430"/>
      <c r="H22" s="444"/>
      <c r="I22" s="430"/>
      <c r="J22" s="404"/>
      <c r="K22" s="388"/>
      <c r="L22" s="526"/>
      <c r="M22" s="373"/>
      <c r="N22" s="373"/>
      <c r="O22" s="535"/>
      <c r="P22" s="495"/>
      <c r="Q22" s="496"/>
    </row>
    <row r="23" spans="2:17" ht="12.75" customHeight="1" x14ac:dyDescent="0.2">
      <c r="B23" s="249" t="s">
        <v>426</v>
      </c>
      <c r="C23" s="407"/>
      <c r="D23" s="389"/>
      <c r="E23" s="473"/>
      <c r="F23" s="430"/>
      <c r="H23" s="444"/>
      <c r="I23" s="430"/>
      <c r="J23" s="404"/>
      <c r="K23" s="388"/>
      <c r="L23" s="526"/>
      <c r="M23" s="373"/>
      <c r="N23" s="373"/>
      <c r="O23" s="535"/>
      <c r="P23" s="495"/>
      <c r="Q23" s="496"/>
    </row>
    <row r="24" spans="2:17" x14ac:dyDescent="0.2">
      <c r="B24" s="484" t="s">
        <v>451</v>
      </c>
      <c r="C24" s="399" t="s">
        <v>10</v>
      </c>
      <c r="D24" s="536">
        <f>D21</f>
        <v>17139795.438999999</v>
      </c>
      <c r="E24" s="400">
        <v>0.35809000000000002</v>
      </c>
      <c r="F24" s="430">
        <f>D24*E24</f>
        <v>6137589.3487515105</v>
      </c>
      <c r="G24" s="537"/>
      <c r="H24" s="400">
        <v>0.39240999999999998</v>
      </c>
      <c r="I24" s="430">
        <f>$D24*H24</f>
        <v>6725827.1282179896</v>
      </c>
      <c r="J24" s="404"/>
      <c r="K24" s="388">
        <f>I24-F24</f>
        <v>588237.77946647909</v>
      </c>
      <c r="L24" s="526"/>
      <c r="M24" s="373"/>
      <c r="N24" s="538"/>
    </row>
    <row r="25" spans="2:17" x14ac:dyDescent="0.2">
      <c r="B25" s="484" t="s">
        <v>395</v>
      </c>
      <c r="C25" s="399" t="s">
        <v>29</v>
      </c>
      <c r="D25" s="536">
        <f>D13</f>
        <v>110230.038</v>
      </c>
      <c r="E25" s="396">
        <v>1.05</v>
      </c>
      <c r="F25" s="430">
        <f>D25*E25</f>
        <v>115741.5399</v>
      </c>
      <c r="G25" s="537"/>
      <c r="H25" s="396">
        <v>1.05</v>
      </c>
      <c r="I25" s="430">
        <f>$D25*H25</f>
        <v>115741.5399</v>
      </c>
      <c r="J25" s="404"/>
      <c r="K25" s="388">
        <f>I25-F25</f>
        <v>0</v>
      </c>
      <c r="L25" s="391"/>
      <c r="M25" s="373"/>
      <c r="N25" s="373"/>
    </row>
    <row r="26" spans="2:17" x14ac:dyDescent="0.2">
      <c r="B26" s="472" t="s">
        <v>452</v>
      </c>
      <c r="C26" s="407"/>
      <c r="D26" s="390"/>
      <c r="E26" s="473"/>
      <c r="F26" s="465">
        <f>SUM(F24:F25)</f>
        <v>6253330.8886515107</v>
      </c>
      <c r="G26" s="390"/>
      <c r="H26" s="444"/>
      <c r="I26" s="465">
        <f>SUM(I24:I25)</f>
        <v>6841568.6681179898</v>
      </c>
      <c r="J26" s="473"/>
      <c r="K26" s="465">
        <f>SUM(K24:K25)</f>
        <v>588237.77946647909</v>
      </c>
      <c r="L26" s="533">
        <f>ROUND(K26/F26,5)</f>
        <v>9.4070000000000001E-2</v>
      </c>
      <c r="M26" s="373"/>
      <c r="N26" s="373"/>
      <c r="O26" s="535"/>
      <c r="P26" s="495"/>
      <c r="Q26" s="496"/>
    </row>
    <row r="27" spans="2:17" x14ac:dyDescent="0.2">
      <c r="B27" s="386"/>
      <c r="C27" s="359"/>
      <c r="D27" s="389"/>
      <c r="E27" s="444"/>
      <c r="F27" s="430"/>
      <c r="H27" s="444"/>
      <c r="I27" s="430"/>
      <c r="J27" s="404"/>
      <c r="K27" s="388"/>
      <c r="L27" s="391"/>
      <c r="M27" s="373"/>
      <c r="N27" s="373"/>
    </row>
    <row r="28" spans="2:17" x14ac:dyDescent="0.2">
      <c r="B28" s="386" t="s">
        <v>427</v>
      </c>
      <c r="C28" s="359"/>
      <c r="D28" s="389"/>
      <c r="E28" s="453"/>
      <c r="F28" s="465">
        <f>F21+F26</f>
        <v>7964139.8635454904</v>
      </c>
      <c r="H28" s="444"/>
      <c r="I28" s="465">
        <f>I21+I26</f>
        <v>8532278.1381179895</v>
      </c>
      <c r="J28" s="404"/>
      <c r="K28" s="465">
        <f>K21+K26</f>
        <v>568138.2745724991</v>
      </c>
      <c r="L28" s="533">
        <f>K28/F28</f>
        <v>7.1337053882372964E-2</v>
      </c>
      <c r="M28" s="373"/>
      <c r="N28" s="373"/>
    </row>
    <row r="29" spans="2:17" x14ac:dyDescent="0.2">
      <c r="B29" s="386"/>
      <c r="C29" s="359"/>
      <c r="D29" s="403"/>
      <c r="E29" s="453"/>
      <c r="F29" s="397"/>
      <c r="H29" s="444"/>
      <c r="I29" s="430"/>
      <c r="J29" s="404"/>
      <c r="K29" s="388"/>
      <c r="L29" s="391"/>
      <c r="M29" s="373"/>
      <c r="N29" s="373"/>
    </row>
    <row r="30" spans="2:17" x14ac:dyDescent="0.2">
      <c r="B30" s="421"/>
      <c r="C30" s="539"/>
      <c r="D30" s="540"/>
      <c r="E30" s="541"/>
      <c r="F30" s="428"/>
      <c r="G30" s="540"/>
      <c r="H30" s="542"/>
      <c r="I30" s="428"/>
      <c r="J30" s="543"/>
      <c r="K30" s="428"/>
      <c r="L30" s="429"/>
      <c r="M30" s="373"/>
      <c r="N30" s="373"/>
    </row>
    <row r="31" spans="2:17" x14ac:dyDescent="0.2">
      <c r="B31" s="390"/>
      <c r="C31" s="390"/>
      <c r="D31" s="389"/>
      <c r="E31" s="453"/>
      <c r="F31" s="397"/>
      <c r="H31" s="444"/>
      <c r="I31" s="544"/>
      <c r="J31" s="545"/>
      <c r="K31" s="397"/>
      <c r="L31" s="477"/>
      <c r="M31" s="373"/>
      <c r="N31" s="373"/>
    </row>
    <row r="32" spans="2:17" x14ac:dyDescent="0.2">
      <c r="B32" s="378" t="s">
        <v>467</v>
      </c>
      <c r="C32" s="520"/>
      <c r="D32" s="382"/>
      <c r="E32" s="521"/>
      <c r="F32" s="381"/>
      <c r="G32" s="522"/>
      <c r="H32" s="523"/>
      <c r="I32" s="524"/>
      <c r="J32" s="524"/>
      <c r="K32" s="381"/>
      <c r="L32" s="525"/>
      <c r="M32" s="373"/>
      <c r="N32" s="373"/>
      <c r="O32" s="546"/>
      <c r="P32" s="478"/>
      <c r="Q32" s="389"/>
    </row>
    <row r="33" spans="2:17" x14ac:dyDescent="0.2">
      <c r="B33" s="386"/>
      <c r="C33" s="359"/>
      <c r="D33" s="389"/>
      <c r="E33" s="415"/>
      <c r="F33" s="388"/>
      <c r="G33" s="440"/>
      <c r="H33" s="444"/>
      <c r="I33" s="430"/>
      <c r="J33" s="404"/>
      <c r="K33" s="388"/>
      <c r="L33" s="526"/>
      <c r="M33" s="373"/>
      <c r="N33" s="373"/>
      <c r="O33" s="390"/>
      <c r="P33" s="390"/>
      <c r="Q33" s="389"/>
    </row>
    <row r="34" spans="2:17" x14ac:dyDescent="0.2">
      <c r="B34" s="472" t="s">
        <v>423</v>
      </c>
      <c r="C34" s="527" t="s">
        <v>22</v>
      </c>
      <c r="D34" s="395">
        <v>1264.063439933019</v>
      </c>
      <c r="E34" s="396">
        <v>901.5</v>
      </c>
      <c r="F34" s="388">
        <f>ROUND(D34*E34,2)</f>
        <v>1139553.19</v>
      </c>
      <c r="H34" s="479">
        <f>ROUND(E34*(1+$O$18),2)</f>
        <v>877.69</v>
      </c>
      <c r="I34" s="430">
        <f>ROUND(D34*H34,2)</f>
        <v>1109455.8400000001</v>
      </c>
      <c r="J34" s="404"/>
      <c r="K34" s="388">
        <f>I34-F34</f>
        <v>-30097.34999999986</v>
      </c>
      <c r="L34" s="526"/>
      <c r="M34" s="373"/>
      <c r="N34" s="373"/>
      <c r="O34" s="478"/>
      <c r="P34" s="478"/>
      <c r="Q34" s="261">
        <f>H34/E34-1</f>
        <v>-2.6411536328341589E-2</v>
      </c>
    </row>
    <row r="35" spans="2:17" x14ac:dyDescent="0.2">
      <c r="B35" s="484" t="s">
        <v>395</v>
      </c>
      <c r="C35" s="399" t="s">
        <v>29</v>
      </c>
      <c r="D35" s="395">
        <v>748907.66700000013</v>
      </c>
      <c r="E35" s="396">
        <v>1.1499999999999999</v>
      </c>
      <c r="F35" s="388">
        <f>ROUND(D35*E35,2)</f>
        <v>861243.82</v>
      </c>
      <c r="H35" s="444">
        <f>$H$13</f>
        <v>1.21</v>
      </c>
      <c r="I35" s="430">
        <f>ROUND(D35*H35,2)</f>
        <v>906178.28</v>
      </c>
      <c r="J35" s="404"/>
      <c r="K35" s="388">
        <f>I35-F35</f>
        <v>44934.460000000079</v>
      </c>
      <c r="L35" s="526"/>
      <c r="M35" s="373"/>
      <c r="N35" s="373"/>
      <c r="O35" s="460"/>
      <c r="P35" s="460"/>
      <c r="Q35" s="261">
        <f>H35/E35-1</f>
        <v>5.2173913043478404E-2</v>
      </c>
    </row>
    <row r="36" spans="2:17" x14ac:dyDescent="0.2">
      <c r="B36" s="484" t="s">
        <v>463</v>
      </c>
      <c r="C36" s="399"/>
      <c r="D36" s="395"/>
      <c r="E36" s="396"/>
      <c r="F36" s="547">
        <v>26487.829999999994</v>
      </c>
      <c r="H36" s="444"/>
      <c r="I36" s="548">
        <f>F36</f>
        <v>26487.829999999994</v>
      </c>
      <c r="J36" s="404"/>
      <c r="K36" s="388">
        <f>I36-F36</f>
        <v>0</v>
      </c>
      <c r="L36" s="526"/>
      <c r="M36" s="373"/>
      <c r="N36" s="373"/>
      <c r="O36" s="460"/>
      <c r="P36" s="460"/>
      <c r="Q36" s="482"/>
    </row>
    <row r="37" spans="2:17" x14ac:dyDescent="0.2">
      <c r="B37" s="484"/>
      <c r="C37" s="399"/>
      <c r="D37" s="395"/>
      <c r="E37" s="400"/>
      <c r="F37" s="359"/>
      <c r="H37" s="453"/>
      <c r="I37" s="359"/>
      <c r="J37" s="473"/>
      <c r="K37" s="388"/>
      <c r="L37" s="526"/>
      <c r="M37" s="373"/>
      <c r="N37" s="373"/>
      <c r="O37" s="390"/>
      <c r="P37" s="460"/>
      <c r="Q37" s="389"/>
    </row>
    <row r="38" spans="2:17" x14ac:dyDescent="0.2">
      <c r="B38" s="386"/>
      <c r="C38" s="359"/>
      <c r="D38" s="395"/>
      <c r="E38" s="400"/>
      <c r="F38" s="388"/>
      <c r="H38" s="453"/>
      <c r="I38" s="430"/>
      <c r="J38" s="404"/>
      <c r="K38" s="388"/>
      <c r="L38" s="526"/>
      <c r="M38" s="373"/>
      <c r="N38" s="373"/>
      <c r="O38" s="399"/>
      <c r="P38" s="390"/>
      <c r="Q38" s="389"/>
    </row>
    <row r="39" spans="2:17" x14ac:dyDescent="0.2">
      <c r="B39" s="484" t="s">
        <v>448</v>
      </c>
      <c r="C39" s="359"/>
      <c r="D39" s="395"/>
      <c r="E39" s="400"/>
      <c r="F39" s="388"/>
      <c r="H39" s="453"/>
      <c r="I39" s="430"/>
      <c r="J39" s="404"/>
      <c r="K39" s="388"/>
      <c r="L39" s="526"/>
      <c r="M39" s="373"/>
      <c r="N39" s="373"/>
      <c r="O39" s="390"/>
      <c r="P39" s="390"/>
      <c r="Q39" s="389"/>
    </row>
    <row r="40" spans="2:17" x14ac:dyDescent="0.2">
      <c r="B40" s="386" t="s">
        <v>464</v>
      </c>
      <c r="C40" s="399" t="s">
        <v>10</v>
      </c>
      <c r="D40" s="395">
        <v>28841779.980000004</v>
      </c>
      <c r="E40" s="400">
        <v>0.10206</v>
      </c>
      <c r="F40" s="388">
        <f>ROUND(D40*E40,2)</f>
        <v>2943592.06</v>
      </c>
      <c r="H40" s="401">
        <f>H18</f>
        <v>9.9360000000000004E-2</v>
      </c>
      <c r="I40" s="430">
        <f>ROUND(D40*H40,2)</f>
        <v>2865719.26</v>
      </c>
      <c r="J40" s="404"/>
      <c r="K40" s="388">
        <f>I40-F40</f>
        <v>-77872.800000000279</v>
      </c>
      <c r="L40" s="526"/>
      <c r="M40" s="373"/>
      <c r="N40" s="373"/>
      <c r="O40" s="460"/>
      <c r="P40" s="390"/>
      <c r="Q40" s="261">
        <f>H40/E40-1</f>
        <v>-2.6455026455026398E-2</v>
      </c>
    </row>
    <row r="41" spans="2:17" x14ac:dyDescent="0.2">
      <c r="B41" s="386" t="s">
        <v>465</v>
      </c>
      <c r="C41" s="399" t="s">
        <v>10</v>
      </c>
      <c r="D41" s="395">
        <v>19041755.700000003</v>
      </c>
      <c r="E41" s="400">
        <v>5.0500000000000003E-2</v>
      </c>
      <c r="F41" s="388">
        <f>ROUND(D41*E41,2)</f>
        <v>961608.66</v>
      </c>
      <c r="H41" s="401">
        <f>H19</f>
        <v>4.9169999999999998E-2</v>
      </c>
      <c r="I41" s="430">
        <f>ROUND(D41*H41,2)</f>
        <v>936283.13</v>
      </c>
      <c r="J41" s="404"/>
      <c r="K41" s="388">
        <f>I41-F41</f>
        <v>-25325.530000000028</v>
      </c>
      <c r="L41" s="526"/>
      <c r="M41" s="373"/>
      <c r="N41" s="373"/>
      <c r="O41" s="390"/>
      <c r="P41" s="460"/>
      <c r="Q41" s="261">
        <f>H41/E41-1</f>
        <v>-2.6336633663366471E-2</v>
      </c>
    </row>
    <row r="42" spans="2:17" x14ac:dyDescent="0.2">
      <c r="B42" s="484" t="s">
        <v>468</v>
      </c>
      <c r="C42" s="399" t="s">
        <v>10</v>
      </c>
      <c r="D42" s="395">
        <v>31596529.580000002</v>
      </c>
      <c r="E42" s="400">
        <v>4.8320000000000002E-2</v>
      </c>
      <c r="F42" s="428">
        <f>ROUND(D42*E42,2)</f>
        <v>1526744.31</v>
      </c>
      <c r="H42" s="401">
        <f>H20</f>
        <v>4.7039999999999998E-2</v>
      </c>
      <c r="I42" s="430">
        <f>ROUND(D42*H42,2)</f>
        <v>1486300.75</v>
      </c>
      <c r="J42" s="404"/>
      <c r="K42" s="388">
        <f>I42-F42</f>
        <v>-40443.560000000056</v>
      </c>
      <c r="L42" s="391"/>
      <c r="M42" s="373"/>
      <c r="N42" s="373"/>
      <c r="O42" s="390"/>
      <c r="P42" s="460"/>
      <c r="Q42" s="261">
        <f>H42/E42-1</f>
        <v>-2.6490066225165587E-2</v>
      </c>
    </row>
    <row r="43" spans="2:17" x14ac:dyDescent="0.2">
      <c r="B43" s="281" t="s">
        <v>429</v>
      </c>
      <c r="C43" s="407"/>
      <c r="D43" s="382">
        <f>SUM(D40:D42)</f>
        <v>79480065.260000005</v>
      </c>
      <c r="E43" s="549"/>
      <c r="F43" s="465">
        <f>SUM(F34:F42)</f>
        <v>7459229.870000001</v>
      </c>
      <c r="H43" s="444"/>
      <c r="I43" s="465">
        <f>SUM(I34:I42)</f>
        <v>7330425.0899999999</v>
      </c>
      <c r="J43" s="404"/>
      <c r="K43" s="465">
        <f>SUM(K34:K42)</f>
        <v>-128804.78000000014</v>
      </c>
      <c r="L43" s="533">
        <f>K43/F43</f>
        <v>-1.726783893844528E-2</v>
      </c>
      <c r="M43" s="373"/>
      <c r="N43" s="373"/>
      <c r="O43" s="460"/>
      <c r="P43" s="460"/>
      <c r="Q43" s="403"/>
    </row>
    <row r="44" spans="2:17" x14ac:dyDescent="0.2">
      <c r="B44" s="419"/>
      <c r="C44" s="407"/>
      <c r="D44" s="389"/>
      <c r="E44" s="549"/>
      <c r="F44" s="430"/>
      <c r="H44" s="444"/>
      <c r="I44" s="430"/>
      <c r="J44" s="404"/>
      <c r="K44" s="388"/>
      <c r="L44" s="526"/>
      <c r="M44" s="373"/>
      <c r="N44" s="373"/>
      <c r="O44" s="394"/>
      <c r="P44" s="390"/>
      <c r="Q44" s="389"/>
    </row>
    <row r="45" spans="2:17" x14ac:dyDescent="0.2">
      <c r="B45" s="484" t="s">
        <v>443</v>
      </c>
      <c r="C45" s="399" t="s">
        <v>10</v>
      </c>
      <c r="D45" s="536">
        <f>D43</f>
        <v>79480065.260000005</v>
      </c>
      <c r="E45" s="400">
        <v>6.9999999999999999E-4</v>
      </c>
      <c r="F45" s="430">
        <f>E45*D45</f>
        <v>55636.045682000004</v>
      </c>
      <c r="G45" s="537"/>
      <c r="H45" s="437">
        <v>6.9999999999999999E-4</v>
      </c>
      <c r="I45" s="388">
        <f>H45*D45</f>
        <v>55636.045682000004</v>
      </c>
      <c r="J45" s="404"/>
      <c r="K45" s="388">
        <f>I45-F45</f>
        <v>0</v>
      </c>
      <c r="L45" s="526"/>
      <c r="M45" s="373"/>
      <c r="N45" s="373"/>
      <c r="O45" s="394"/>
      <c r="P45" s="394"/>
      <c r="Q45" s="389"/>
    </row>
    <row r="46" spans="2:17" x14ac:dyDescent="0.2">
      <c r="B46" s="472" t="s">
        <v>427</v>
      </c>
      <c r="C46" s="359"/>
      <c r="D46" s="389"/>
      <c r="E46" s="436"/>
      <c r="F46" s="465">
        <f>F45+F43</f>
        <v>7514865.915682001</v>
      </c>
      <c r="G46" s="390"/>
      <c r="H46" s="444"/>
      <c r="I46" s="465">
        <f>I45+I43</f>
        <v>7386061.1356819998</v>
      </c>
      <c r="J46" s="473"/>
      <c r="K46" s="465">
        <f>K45+K43</f>
        <v>-128804.78000000014</v>
      </c>
      <c r="L46" s="533">
        <f>ROUND(K46/F46,5)</f>
        <v>-1.7139999999999999E-2</v>
      </c>
      <c r="M46" s="373"/>
      <c r="N46" s="373"/>
      <c r="O46" s="550"/>
      <c r="P46" s="460"/>
      <c r="Q46" s="537"/>
    </row>
    <row r="47" spans="2:17" x14ac:dyDescent="0.2">
      <c r="B47" s="421"/>
      <c r="C47" s="539"/>
      <c r="D47" s="540"/>
      <c r="E47" s="541"/>
      <c r="F47" s="428"/>
      <c r="G47" s="540"/>
      <c r="H47" s="542"/>
      <c r="I47" s="551"/>
      <c r="J47" s="543"/>
      <c r="K47" s="428"/>
      <c r="L47" s="429"/>
      <c r="M47" s="373"/>
      <c r="N47" s="373"/>
      <c r="O47" s="390"/>
      <c r="P47" s="390"/>
      <c r="Q47" s="389"/>
    </row>
    <row r="48" spans="2:17" x14ac:dyDescent="0.2">
      <c r="B48" s="359"/>
      <c r="C48" s="359"/>
      <c r="D48" s="389"/>
      <c r="E48" s="415"/>
      <c r="F48" s="388"/>
      <c r="H48" s="444"/>
      <c r="I48" s="430"/>
      <c r="J48" s="404"/>
      <c r="K48" s="388"/>
      <c r="L48" s="431"/>
      <c r="M48" s="373"/>
      <c r="N48" s="373"/>
      <c r="O48" s="390"/>
      <c r="P48" s="390"/>
      <c r="Q48" s="389"/>
    </row>
    <row r="49" spans="2:17" x14ac:dyDescent="0.2">
      <c r="B49" s="432" t="s">
        <v>469</v>
      </c>
      <c r="C49" s="520"/>
      <c r="D49" s="382"/>
      <c r="E49" s="521"/>
      <c r="F49" s="381"/>
      <c r="G49" s="522"/>
      <c r="H49" s="523"/>
      <c r="I49" s="524"/>
      <c r="J49" s="524"/>
      <c r="K49" s="381"/>
      <c r="L49" s="525"/>
      <c r="M49" s="373"/>
      <c r="N49" s="373"/>
      <c r="O49" s="390"/>
      <c r="P49" s="390"/>
      <c r="Q49" s="389"/>
    </row>
    <row r="50" spans="2:17" x14ac:dyDescent="0.2">
      <c r="B50" s="386"/>
      <c r="C50" s="359"/>
      <c r="D50" s="389"/>
      <c r="E50" s="453"/>
      <c r="F50" s="397"/>
      <c r="G50" s="440"/>
      <c r="H50" s="444"/>
      <c r="I50" s="544"/>
      <c r="J50" s="545"/>
      <c r="K50" s="397"/>
      <c r="L50" s="552"/>
      <c r="M50" s="553"/>
      <c r="N50" s="373"/>
      <c r="O50" s="390"/>
      <c r="P50" s="390"/>
      <c r="Q50" s="403"/>
    </row>
    <row r="51" spans="2:17" x14ac:dyDescent="0.2">
      <c r="B51" s="472" t="s">
        <v>423</v>
      </c>
      <c r="C51" s="527" t="s">
        <v>22</v>
      </c>
      <c r="D51" s="403">
        <f>D34+D12</f>
        <v>1593.7874432425674</v>
      </c>
      <c r="E51" s="436"/>
      <c r="F51" s="397">
        <f>F12+F34</f>
        <v>1325336.18</v>
      </c>
      <c r="H51" s="444"/>
      <c r="I51" s="397">
        <f>I12+I34</f>
        <v>1290332.54</v>
      </c>
      <c r="J51" s="545"/>
      <c r="K51" s="397">
        <f>I51-F51</f>
        <v>-35003.639999999898</v>
      </c>
      <c r="L51" s="552"/>
      <c r="M51" s="553"/>
      <c r="N51" s="373"/>
      <c r="O51" s="390"/>
      <c r="P51" s="390"/>
      <c r="Q51" s="261"/>
    </row>
    <row r="52" spans="2:17" x14ac:dyDescent="0.2">
      <c r="B52" s="484" t="s">
        <v>395</v>
      </c>
      <c r="C52" s="399" t="s">
        <v>29</v>
      </c>
      <c r="D52" s="403">
        <f>D35+D13</f>
        <v>859137.70500000007</v>
      </c>
      <c r="E52" s="436"/>
      <c r="F52" s="397">
        <f>F13+F35</f>
        <v>988008.36</v>
      </c>
      <c r="H52" s="444"/>
      <c r="I52" s="397">
        <f>I13+I35</f>
        <v>1039556.63</v>
      </c>
      <c r="J52" s="545"/>
      <c r="K52" s="397">
        <f>I52-F52</f>
        <v>51548.270000000019</v>
      </c>
      <c r="L52" s="552"/>
      <c r="M52" s="553"/>
      <c r="N52" s="373"/>
      <c r="O52" s="390"/>
      <c r="P52" s="390"/>
      <c r="Q52" s="261"/>
    </row>
    <row r="53" spans="2:17" x14ac:dyDescent="0.2">
      <c r="B53" s="484" t="s">
        <v>441</v>
      </c>
      <c r="C53" s="399" t="s">
        <v>10</v>
      </c>
      <c r="D53" s="403">
        <f>D36+D14</f>
        <v>17139795.438999999</v>
      </c>
      <c r="E53" s="436"/>
      <c r="F53" s="397">
        <f>F14</f>
        <v>116893.40489397998</v>
      </c>
      <c r="H53" s="444"/>
      <c r="I53" s="397">
        <f>I14</f>
        <v>128034.27</v>
      </c>
      <c r="J53" s="545"/>
      <c r="K53" s="397">
        <f>I53-F53</f>
        <v>11140.865106020021</v>
      </c>
      <c r="L53" s="552"/>
      <c r="M53" s="553"/>
      <c r="N53" s="373"/>
      <c r="O53" s="390"/>
      <c r="P53" s="390"/>
      <c r="Q53" s="261"/>
    </row>
    <row r="54" spans="2:17" x14ac:dyDescent="0.2">
      <c r="B54" s="484" t="s">
        <v>463</v>
      </c>
      <c r="C54" s="399"/>
      <c r="D54" s="482"/>
      <c r="E54" s="436"/>
      <c r="F54" s="554">
        <f>F15+F36</f>
        <v>61812.049999999996</v>
      </c>
      <c r="H54" s="444"/>
      <c r="I54" s="554">
        <f>I15+I36</f>
        <v>61812.049999999996</v>
      </c>
      <c r="J54" s="545"/>
      <c r="K54" s="397">
        <f>I54-F54</f>
        <v>0</v>
      </c>
      <c r="L54" s="552"/>
      <c r="M54" s="553"/>
      <c r="N54" s="373"/>
      <c r="O54" s="390"/>
      <c r="P54" s="390"/>
      <c r="Q54" s="403"/>
    </row>
    <row r="55" spans="2:17" x14ac:dyDescent="0.2">
      <c r="B55" s="484"/>
      <c r="C55" s="399"/>
      <c r="D55" s="389"/>
      <c r="E55" s="437"/>
      <c r="F55" s="390"/>
      <c r="H55" s="453"/>
      <c r="I55" s="390"/>
      <c r="J55" s="444"/>
      <c r="K55" s="397"/>
      <c r="L55" s="552"/>
      <c r="M55" s="553"/>
      <c r="N55" s="373"/>
      <c r="O55" s="390"/>
      <c r="P55" s="390"/>
      <c r="Q55" s="403"/>
    </row>
    <row r="56" spans="2:17" x14ac:dyDescent="0.2">
      <c r="B56" s="484" t="s">
        <v>448</v>
      </c>
      <c r="C56" s="359"/>
      <c r="D56" s="389"/>
      <c r="E56" s="437"/>
      <c r="F56" s="397"/>
      <c r="H56" s="453"/>
      <c r="I56" s="397"/>
      <c r="J56" s="545"/>
      <c r="K56" s="397"/>
      <c r="L56" s="552"/>
      <c r="M56" s="553"/>
      <c r="N56" s="373"/>
      <c r="O56" s="390"/>
      <c r="P56" s="390"/>
      <c r="Q56" s="403"/>
    </row>
    <row r="57" spans="2:17" x14ac:dyDescent="0.2">
      <c r="B57" s="386" t="s">
        <v>464</v>
      </c>
      <c r="C57" s="399" t="s">
        <v>10</v>
      </c>
      <c r="D57" s="403">
        <f>D40+D18</f>
        <v>36445912.770000003</v>
      </c>
      <c r="E57" s="437"/>
      <c r="F57" s="397">
        <f>F18+F40</f>
        <v>3719669.85</v>
      </c>
      <c r="H57" s="437"/>
      <c r="I57" s="397">
        <f>I18+I40</f>
        <v>3621265.8899999997</v>
      </c>
      <c r="J57" s="545"/>
      <c r="K57" s="397">
        <f>I57-F57</f>
        <v>-98403.960000000428</v>
      </c>
      <c r="L57" s="552"/>
      <c r="M57" s="553"/>
      <c r="N57" s="373"/>
      <c r="O57" s="460"/>
      <c r="P57" s="390"/>
      <c r="Q57" s="403"/>
    </row>
    <row r="58" spans="2:17" x14ac:dyDescent="0.2">
      <c r="B58" s="386" t="s">
        <v>465</v>
      </c>
      <c r="C58" s="399" t="s">
        <v>10</v>
      </c>
      <c r="D58" s="403">
        <f>D41+D19</f>
        <v>23263229.053000003</v>
      </c>
      <c r="E58" s="437"/>
      <c r="F58" s="397">
        <f>F19+F41</f>
        <v>1174793.06</v>
      </c>
      <c r="H58" s="437"/>
      <c r="I58" s="397">
        <f>I19+I41</f>
        <v>1143852.97</v>
      </c>
      <c r="J58" s="545"/>
      <c r="K58" s="397">
        <f>I58-F58</f>
        <v>-30940.090000000084</v>
      </c>
      <c r="L58" s="552"/>
      <c r="M58" s="553"/>
      <c r="N58" s="373"/>
      <c r="O58" s="460"/>
      <c r="P58" s="390"/>
      <c r="Q58" s="403"/>
    </row>
    <row r="59" spans="2:17" x14ac:dyDescent="0.2">
      <c r="B59" s="386" t="s">
        <v>466</v>
      </c>
      <c r="C59" s="399" t="s">
        <v>10</v>
      </c>
      <c r="D59" s="403">
        <f>D42+D20</f>
        <v>36910718.876000002</v>
      </c>
      <c r="E59" s="437"/>
      <c r="F59" s="427">
        <f>F20+F42</f>
        <v>1783525.94</v>
      </c>
      <c r="H59" s="453"/>
      <c r="I59" s="427">
        <f>I20+I42</f>
        <v>1736280.21</v>
      </c>
      <c r="J59" s="545"/>
      <c r="K59" s="397">
        <f>I59-F59</f>
        <v>-47245.729999999981</v>
      </c>
      <c r="L59" s="457"/>
      <c r="M59" s="553"/>
      <c r="N59" s="373"/>
      <c r="O59" s="460"/>
      <c r="P59" s="390"/>
      <c r="Q59" s="403"/>
    </row>
    <row r="60" spans="2:17" x14ac:dyDescent="0.2">
      <c r="B60" s="281" t="s">
        <v>429</v>
      </c>
      <c r="C60" s="407"/>
      <c r="D60" s="382">
        <f>SUM(D57:D59)</f>
        <v>96619860.699000001</v>
      </c>
      <c r="E60" s="444"/>
      <c r="F60" s="555">
        <f>SUM(F51:F59)</f>
        <v>9170038.8448939789</v>
      </c>
      <c r="H60" s="444"/>
      <c r="I60" s="555">
        <f>SUM(I51:I59)</f>
        <v>9021134.5599999987</v>
      </c>
      <c r="J60" s="545"/>
      <c r="K60" s="555">
        <f>SUM(K51:K59)</f>
        <v>-148904.28489398037</v>
      </c>
      <c r="L60" s="533">
        <f>K60/F60</f>
        <v>-1.6238130220886972E-2</v>
      </c>
      <c r="M60" s="553"/>
      <c r="N60" s="373"/>
      <c r="O60" s="460"/>
      <c r="P60" s="390"/>
      <c r="Q60" s="403"/>
    </row>
    <row r="61" spans="2:17" x14ac:dyDescent="0.2">
      <c r="B61" s="419"/>
      <c r="C61" s="407"/>
      <c r="D61" s="389"/>
      <c r="E61" s="444"/>
      <c r="F61" s="544"/>
      <c r="H61" s="444"/>
      <c r="I61" s="544"/>
      <c r="J61" s="545"/>
      <c r="K61" s="397"/>
      <c r="L61" s="552"/>
      <c r="M61" s="553"/>
      <c r="N61" s="373"/>
      <c r="O61" s="460"/>
      <c r="P61" s="390"/>
      <c r="Q61" s="403"/>
    </row>
    <row r="62" spans="2:17" x14ac:dyDescent="0.2">
      <c r="B62" s="249" t="s">
        <v>426</v>
      </c>
      <c r="C62" s="407"/>
      <c r="D62" s="389"/>
      <c r="E62" s="444"/>
      <c r="F62" s="544"/>
      <c r="H62" s="444"/>
      <c r="I62" s="544"/>
      <c r="J62" s="545"/>
      <c r="K62" s="397"/>
      <c r="L62" s="556"/>
      <c r="M62" s="553"/>
      <c r="N62" s="373"/>
      <c r="O62" s="460"/>
      <c r="P62" s="390"/>
      <c r="Q62" s="403"/>
    </row>
    <row r="63" spans="2:17" x14ac:dyDescent="0.2">
      <c r="B63" s="484" t="s">
        <v>451</v>
      </c>
      <c r="C63" s="407"/>
      <c r="D63" s="389">
        <f>D24</f>
        <v>17139795.438999999</v>
      </c>
      <c r="E63" s="444"/>
      <c r="F63" s="544">
        <f>F24</f>
        <v>6137589.3487515105</v>
      </c>
      <c r="H63" s="444"/>
      <c r="I63" s="544">
        <f>I24</f>
        <v>6725827.1282179896</v>
      </c>
      <c r="J63" s="545"/>
      <c r="K63" s="397">
        <f>I63-F63</f>
        <v>588237.77946647909</v>
      </c>
      <c r="L63" s="552"/>
      <c r="M63" s="553"/>
      <c r="N63" s="373"/>
      <c r="O63" s="460"/>
      <c r="P63" s="390"/>
      <c r="Q63" s="403"/>
    </row>
    <row r="64" spans="2:17" x14ac:dyDescent="0.2">
      <c r="B64" s="484" t="s">
        <v>395</v>
      </c>
      <c r="C64" s="407"/>
      <c r="D64" s="389">
        <f>D25</f>
        <v>110230.038</v>
      </c>
      <c r="E64" s="444"/>
      <c r="F64" s="544">
        <f>F25</f>
        <v>115741.5399</v>
      </c>
      <c r="H64" s="444"/>
      <c r="I64" s="544">
        <f>I25</f>
        <v>115741.5399</v>
      </c>
      <c r="J64" s="545"/>
      <c r="K64" s="397">
        <f>I64-F64</f>
        <v>0</v>
      </c>
      <c r="L64" s="552"/>
      <c r="M64" s="553"/>
      <c r="N64" s="373"/>
      <c r="O64" s="460"/>
      <c r="P64" s="390"/>
      <c r="Q64" s="403"/>
    </row>
    <row r="65" spans="1:17" x14ac:dyDescent="0.2">
      <c r="B65" s="484" t="s">
        <v>443</v>
      </c>
      <c r="C65" s="399" t="s">
        <v>10</v>
      </c>
      <c r="D65" s="403">
        <f>D45</f>
        <v>79480065.260000005</v>
      </c>
      <c r="E65" s="444"/>
      <c r="F65" s="544">
        <f>F45</f>
        <v>55636.045682000004</v>
      </c>
      <c r="H65" s="444"/>
      <c r="I65" s="544">
        <f>I45</f>
        <v>55636.045682000004</v>
      </c>
      <c r="J65" s="545"/>
      <c r="K65" s="397">
        <f>I65-F65</f>
        <v>0</v>
      </c>
      <c r="L65" s="552"/>
      <c r="M65" s="553"/>
      <c r="N65" s="373"/>
      <c r="O65" s="460"/>
      <c r="P65" s="390"/>
      <c r="Q65" s="403"/>
    </row>
    <row r="66" spans="1:17" x14ac:dyDescent="0.2">
      <c r="B66" s="472" t="s">
        <v>452</v>
      </c>
      <c r="C66" s="407"/>
      <c r="D66" s="389"/>
      <c r="E66" s="444"/>
      <c r="F66" s="555">
        <f>SUM(F63:F65)</f>
        <v>6308966.9343335107</v>
      </c>
      <c r="H66" s="444"/>
      <c r="I66" s="555">
        <f>SUM(I63:I65)</f>
        <v>6897204.7137999898</v>
      </c>
      <c r="J66" s="545"/>
      <c r="K66" s="555">
        <f>SUM(K63:K65)</f>
        <v>588237.77946647909</v>
      </c>
      <c r="L66" s="533">
        <f>K66/F66</f>
        <v>9.3238367800800886E-2</v>
      </c>
      <c r="M66" s="553"/>
      <c r="N66" s="373"/>
      <c r="O66" s="460"/>
      <c r="P66" s="390"/>
      <c r="Q66" s="403"/>
    </row>
    <row r="67" spans="1:17" x14ac:dyDescent="0.2">
      <c r="B67" s="419"/>
      <c r="C67" s="407"/>
      <c r="D67" s="389"/>
      <c r="E67" s="444"/>
      <c r="F67" s="544"/>
      <c r="H67" s="444"/>
      <c r="I67" s="544"/>
      <c r="J67" s="545"/>
      <c r="K67" s="397"/>
      <c r="L67" s="552"/>
      <c r="M67" s="553"/>
      <c r="N67" s="373"/>
      <c r="O67" s="390"/>
      <c r="P67" s="390"/>
      <c r="Q67" s="389"/>
    </row>
    <row r="68" spans="1:17" x14ac:dyDescent="0.2">
      <c r="B68" s="386" t="s">
        <v>427</v>
      </c>
      <c r="C68" s="359"/>
      <c r="D68" s="389"/>
      <c r="E68" s="444"/>
      <c r="F68" s="555">
        <f>F60+F66</f>
        <v>15479005.77922749</v>
      </c>
      <c r="H68" s="444"/>
      <c r="I68" s="555">
        <f>I60+I66</f>
        <v>15918339.273799989</v>
      </c>
      <c r="J68" s="545"/>
      <c r="K68" s="555">
        <f>K60+K66</f>
        <v>439333.49457249872</v>
      </c>
      <c r="L68" s="533">
        <f>K68/F68</f>
        <v>2.8382539604841762E-2</v>
      </c>
      <c r="M68" s="553"/>
      <c r="N68" s="373"/>
    </row>
    <row r="69" spans="1:17" x14ac:dyDescent="0.2">
      <c r="B69" s="421"/>
      <c r="C69" s="539"/>
      <c r="D69" s="540"/>
      <c r="E69" s="557"/>
      <c r="F69" s="427"/>
      <c r="G69" s="540"/>
      <c r="H69" s="542"/>
      <c r="I69" s="558"/>
      <c r="J69" s="559"/>
      <c r="K69" s="427"/>
      <c r="L69" s="475"/>
      <c r="M69" s="553"/>
      <c r="N69" s="373"/>
    </row>
    <row r="70" spans="1:17" x14ac:dyDescent="0.2">
      <c r="A70" s="359"/>
      <c r="B70" s="359"/>
      <c r="C70" s="359"/>
      <c r="D70" s="389"/>
      <c r="E70" s="415"/>
      <c r="F70" s="388"/>
      <c r="H70" s="444"/>
      <c r="I70" s="430"/>
      <c r="J70" s="404"/>
      <c r="K70" s="388"/>
      <c r="L70" s="431"/>
      <c r="M70" s="373"/>
      <c r="N70" s="373"/>
      <c r="O70" s="539"/>
    </row>
    <row r="71" spans="1:17" x14ac:dyDescent="0.2">
      <c r="B71" s="378" t="s">
        <v>470</v>
      </c>
      <c r="C71" s="520"/>
      <c r="D71" s="382"/>
      <c r="E71" s="521"/>
      <c r="F71" s="381"/>
      <c r="G71" s="382"/>
      <c r="H71" s="523"/>
      <c r="I71" s="465"/>
      <c r="J71" s="524"/>
      <c r="K71" s="381"/>
      <c r="L71" s="384"/>
      <c r="M71" s="373"/>
      <c r="N71" s="560"/>
      <c r="O71" s="561" t="s">
        <v>471</v>
      </c>
    </row>
    <row r="72" spans="1:17" x14ac:dyDescent="0.2">
      <c r="B72" s="386"/>
      <c r="C72" s="359"/>
      <c r="D72" s="389"/>
      <c r="E72" s="415"/>
      <c r="F72" s="388"/>
      <c r="G72" s="440"/>
      <c r="H72" s="444"/>
      <c r="I72" s="430"/>
      <c r="J72" s="404"/>
      <c r="K72" s="388"/>
      <c r="L72" s="526"/>
      <c r="M72" s="373"/>
      <c r="N72" s="560"/>
      <c r="O72" s="442">
        <v>-36090.447132685651</v>
      </c>
    </row>
    <row r="73" spans="1:17" x14ac:dyDescent="0.2">
      <c r="B73" s="472" t="s">
        <v>423</v>
      </c>
      <c r="C73" s="527" t="s">
        <v>22</v>
      </c>
      <c r="D73" s="395">
        <v>2858.9139747435988</v>
      </c>
      <c r="E73" s="396">
        <v>144.01</v>
      </c>
      <c r="F73" s="388">
        <f>ROUND(D73*E73,2)</f>
        <v>411712.2</v>
      </c>
      <c r="H73" s="479">
        <f>ROUND(E73*(1+$O$79),2)</f>
        <v>139.36000000000001</v>
      </c>
      <c r="I73" s="430">
        <f>ROUND(D73*H73,2)</f>
        <v>398418.25</v>
      </c>
      <c r="J73" s="404"/>
      <c r="K73" s="388">
        <f>I73-F73</f>
        <v>-13293.950000000012</v>
      </c>
      <c r="L73" s="526"/>
      <c r="M73" s="373"/>
      <c r="N73" s="528"/>
      <c r="O73" s="402" t="s">
        <v>425</v>
      </c>
      <c r="Q73" s="261">
        <f>H73/E73-1</f>
        <v>-3.2289424345531392E-2</v>
      </c>
    </row>
    <row r="74" spans="1:17" x14ac:dyDescent="0.2">
      <c r="B74" s="484" t="s">
        <v>395</v>
      </c>
      <c r="C74" s="399" t="s">
        <v>29</v>
      </c>
      <c r="D74" s="395">
        <v>84423.830999999991</v>
      </c>
      <c r="E74" s="396">
        <v>1.1499999999999999</v>
      </c>
      <c r="F74" s="388">
        <f>ROUND(D74*E74,2)</f>
        <v>97087.41</v>
      </c>
      <c r="H74" s="396">
        <v>1.22</v>
      </c>
      <c r="I74" s="430">
        <f>ROUND(D74*H74,2)</f>
        <v>102997.07</v>
      </c>
      <c r="J74" s="404"/>
      <c r="K74" s="388">
        <f>I74-F74</f>
        <v>5909.6600000000035</v>
      </c>
      <c r="L74" s="526"/>
      <c r="M74" s="373"/>
      <c r="N74" s="373"/>
      <c r="O74" s="529">
        <f>K81+K100-O72</f>
        <v>-73.622867314545147</v>
      </c>
      <c r="Q74" s="261">
        <f>H74/E74-1</f>
        <v>6.0869565217391397E-2</v>
      </c>
    </row>
    <row r="75" spans="1:17" x14ac:dyDescent="0.2">
      <c r="B75" s="386" t="s">
        <v>441</v>
      </c>
      <c r="C75" s="399" t="s">
        <v>10</v>
      </c>
      <c r="D75" s="389">
        <f>D81</f>
        <v>9926029.5299999993</v>
      </c>
      <c r="E75" s="400">
        <v>6.8100000000000001E-3</v>
      </c>
      <c r="F75" s="388">
        <f>ROUND(D75*E75,2)</f>
        <v>67596.259999999995</v>
      </c>
      <c r="H75" s="400">
        <v>9.0699999999999999E-3</v>
      </c>
      <c r="I75" s="430">
        <f>ROUND(D81*H75,2)</f>
        <v>90029.09</v>
      </c>
      <c r="J75" s="404"/>
      <c r="K75" s="388">
        <f>I75-F75</f>
        <v>22432.83</v>
      </c>
      <c r="L75" s="526"/>
      <c r="M75" s="373"/>
      <c r="N75" s="373"/>
      <c r="Q75" s="261">
        <f>H75/E75-1</f>
        <v>0.33186490455212914</v>
      </c>
    </row>
    <row r="76" spans="1:17" x14ac:dyDescent="0.2">
      <c r="B76" s="484" t="s">
        <v>463</v>
      </c>
      <c r="C76" s="359"/>
      <c r="D76" s="389"/>
      <c r="E76" s="400"/>
      <c r="F76" s="547">
        <v>32304.22</v>
      </c>
      <c r="H76" s="453"/>
      <c r="I76" s="548">
        <f>F76</f>
        <v>32304.22</v>
      </c>
      <c r="J76" s="562"/>
      <c r="K76" s="388">
        <f>I76-F76</f>
        <v>0</v>
      </c>
      <c r="L76" s="526"/>
      <c r="M76" s="373"/>
      <c r="N76" s="373"/>
      <c r="O76" s="531"/>
    </row>
    <row r="77" spans="1:17" x14ac:dyDescent="0.2">
      <c r="B77" s="386"/>
      <c r="C77" s="359"/>
      <c r="D77" s="389"/>
      <c r="E77" s="400"/>
      <c r="F77" s="388"/>
      <c r="H77" s="453"/>
      <c r="I77" s="430"/>
      <c r="J77" s="404"/>
      <c r="K77" s="388"/>
      <c r="L77" s="526"/>
      <c r="M77" s="373"/>
      <c r="N77" s="528"/>
      <c r="O77" s="231"/>
      <c r="P77" s="495"/>
      <c r="Q77" s="495"/>
    </row>
    <row r="78" spans="1:17" x14ac:dyDescent="0.2">
      <c r="B78" s="484" t="s">
        <v>448</v>
      </c>
      <c r="C78" s="359"/>
      <c r="D78" s="389"/>
      <c r="E78" s="400"/>
      <c r="F78" s="388"/>
      <c r="H78" s="453"/>
      <c r="I78" s="430"/>
      <c r="J78" s="404"/>
      <c r="K78" s="388"/>
      <c r="L78" s="526"/>
      <c r="M78" s="373"/>
      <c r="N78" s="528"/>
      <c r="O78" s="563"/>
      <c r="P78" s="231"/>
      <c r="Q78" s="495"/>
    </row>
    <row r="79" spans="1:17" x14ac:dyDescent="0.2">
      <c r="B79" s="439" t="s">
        <v>375</v>
      </c>
      <c r="C79" s="460" t="s">
        <v>10</v>
      </c>
      <c r="D79" s="395">
        <v>2175439.4739999999</v>
      </c>
      <c r="E79" s="400">
        <v>0.19916</v>
      </c>
      <c r="F79" s="388">
        <f>ROUND(D79*E79,2)</f>
        <v>433260.53</v>
      </c>
      <c r="H79" s="401">
        <f>ROUND(E79*(1+$O$79),5)</f>
        <v>0.19273999999999999</v>
      </c>
      <c r="I79" s="430">
        <f>ROUND(D79*H79,2)</f>
        <v>419294.2</v>
      </c>
      <c r="J79" s="404"/>
      <c r="K79" s="388">
        <f>I79-F79</f>
        <v>-13966.330000000016</v>
      </c>
      <c r="L79" s="526"/>
      <c r="M79" s="373"/>
      <c r="N79" s="373"/>
      <c r="O79" s="277">
        <v>-3.226024143962801E-2</v>
      </c>
      <c r="P79" s="495"/>
      <c r="Q79" s="261">
        <f>H79/E79-1</f>
        <v>-3.2235388632255502E-2</v>
      </c>
    </row>
    <row r="80" spans="1:17" ht="12.75" customHeight="1" x14ac:dyDescent="0.2">
      <c r="B80" s="439" t="s">
        <v>376</v>
      </c>
      <c r="C80" s="460" t="s">
        <v>10</v>
      </c>
      <c r="D80" s="395">
        <v>7750590.0559999999</v>
      </c>
      <c r="E80" s="400">
        <v>0.14119999999999999</v>
      </c>
      <c r="F80" s="388">
        <f>ROUND(D80*E80,2)</f>
        <v>1094383.32</v>
      </c>
      <c r="H80" s="401">
        <f>ROUND(E80*(1+$O$79),5)</f>
        <v>0.13664000000000001</v>
      </c>
      <c r="I80" s="430">
        <f>ROUND(D80*H80,2)</f>
        <v>1059040.6299999999</v>
      </c>
      <c r="J80" s="404"/>
      <c r="K80" s="388">
        <f>I80-F80</f>
        <v>-35342.690000000177</v>
      </c>
      <c r="L80" s="526"/>
      <c r="M80" s="373"/>
      <c r="N80" s="373"/>
      <c r="O80" s="563"/>
      <c r="P80" s="495"/>
      <c r="Q80" s="261">
        <f>H80/E80-1</f>
        <v>-3.2294617563739192E-2</v>
      </c>
    </row>
    <row r="81" spans="1:17" ht="12.75" customHeight="1" x14ac:dyDescent="0.2">
      <c r="B81" s="281" t="s">
        <v>429</v>
      </c>
      <c r="C81" s="399" t="s">
        <v>10</v>
      </c>
      <c r="D81" s="382">
        <f>SUM(D79:D80)</f>
        <v>9926029.5299999993</v>
      </c>
      <c r="E81" s="564"/>
      <c r="F81" s="465">
        <f>SUM(F73:F80)</f>
        <v>2136343.94</v>
      </c>
      <c r="H81" s="444"/>
      <c r="I81" s="465">
        <f>SUM(I73:I80)</f>
        <v>2102083.46</v>
      </c>
      <c r="J81" s="404"/>
      <c r="K81" s="465">
        <f>SUM(K73:K80)</f>
        <v>-34260.4800000002</v>
      </c>
      <c r="L81" s="525">
        <f>K81/F81</f>
        <v>-1.6036968279555305E-2</v>
      </c>
      <c r="M81" s="373"/>
      <c r="N81" s="373"/>
      <c r="O81" s="494"/>
      <c r="P81" s="495"/>
      <c r="Q81" s="496"/>
    </row>
    <row r="82" spans="1:17" x14ac:dyDescent="0.2">
      <c r="B82" s="419"/>
      <c r="C82" s="407"/>
      <c r="D82" s="389"/>
      <c r="E82" s="564"/>
      <c r="F82" s="430"/>
      <c r="H82" s="444"/>
      <c r="I82" s="430"/>
      <c r="J82" s="404"/>
      <c r="K82" s="388"/>
      <c r="L82" s="391"/>
      <c r="M82" s="373"/>
      <c r="N82" s="538"/>
      <c r="O82" s="535"/>
      <c r="P82" s="495"/>
      <c r="Q82" s="496"/>
    </row>
    <row r="83" spans="1:17" x14ac:dyDescent="0.2">
      <c r="B83" s="249" t="s">
        <v>426</v>
      </c>
      <c r="C83" s="407"/>
      <c r="D83" s="389"/>
      <c r="E83" s="564"/>
      <c r="F83" s="430"/>
      <c r="H83" s="444"/>
      <c r="I83" s="430"/>
      <c r="J83" s="404"/>
      <c r="K83" s="388"/>
      <c r="L83" s="391"/>
      <c r="M83" s="373"/>
      <c r="N83" s="373"/>
    </row>
    <row r="84" spans="1:17" x14ac:dyDescent="0.2">
      <c r="B84" s="484" t="s">
        <v>451</v>
      </c>
      <c r="C84" s="399" t="s">
        <v>10</v>
      </c>
      <c r="D84" s="536">
        <f>D81</f>
        <v>9926029.5299999993</v>
      </c>
      <c r="E84" s="400">
        <v>0.34773999999999999</v>
      </c>
      <c r="F84" s="430">
        <f>+D84*E84</f>
        <v>3451677.5087621999</v>
      </c>
      <c r="G84" s="537"/>
      <c r="H84" s="400">
        <v>0.39258999999999999</v>
      </c>
      <c r="I84" s="430">
        <f>+D84*H84</f>
        <v>3896859.9331826996</v>
      </c>
      <c r="J84" s="404"/>
      <c r="K84" s="388">
        <f>I84-F84</f>
        <v>445182.42442049971</v>
      </c>
      <c r="L84" s="526"/>
      <c r="M84" s="373"/>
      <c r="N84" s="373"/>
      <c r="O84" s="535"/>
      <c r="P84" s="495"/>
      <c r="Q84" s="496"/>
    </row>
    <row r="85" spans="1:17" x14ac:dyDescent="0.2">
      <c r="B85" s="484" t="s">
        <v>395</v>
      </c>
      <c r="C85" s="399" t="s">
        <v>29</v>
      </c>
      <c r="D85" s="536">
        <f>D74</f>
        <v>84423.830999999991</v>
      </c>
      <c r="E85" s="396">
        <v>1.05</v>
      </c>
      <c r="F85" s="430">
        <f>D85*E85</f>
        <v>88645.022549999994</v>
      </c>
      <c r="G85" s="537"/>
      <c r="H85" s="396">
        <v>1.05</v>
      </c>
      <c r="I85" s="430">
        <f>D85*H85</f>
        <v>88645.022549999994</v>
      </c>
      <c r="J85" s="404"/>
      <c r="K85" s="388">
        <f>I85-F85</f>
        <v>0</v>
      </c>
      <c r="L85" s="391"/>
      <c r="M85" s="373"/>
      <c r="N85" s="373"/>
    </row>
    <row r="86" spans="1:17" x14ac:dyDescent="0.2">
      <c r="B86" s="472" t="s">
        <v>452</v>
      </c>
      <c r="C86" s="407"/>
      <c r="D86" s="390"/>
      <c r="E86" s="473"/>
      <c r="F86" s="465">
        <f>SUM(F84:F85)</f>
        <v>3540322.5313121998</v>
      </c>
      <c r="G86" s="390"/>
      <c r="H86" s="444"/>
      <c r="I86" s="465">
        <f>SUM(I84:I85)</f>
        <v>3985504.9557326995</v>
      </c>
      <c r="J86" s="473"/>
      <c r="K86" s="465">
        <f>SUM(K84:K85)</f>
        <v>445182.42442049971</v>
      </c>
      <c r="L86" s="525">
        <f>ROUND(K86/F86,5)</f>
        <v>0.12575</v>
      </c>
      <c r="M86" s="373"/>
      <c r="N86" s="373"/>
    </row>
    <row r="87" spans="1:17" x14ac:dyDescent="0.2">
      <c r="B87" s="386"/>
      <c r="C87" s="359"/>
      <c r="D87" s="389"/>
      <c r="E87" s="415"/>
      <c r="F87" s="430"/>
      <c r="H87" s="444"/>
      <c r="I87" s="430"/>
      <c r="J87" s="404"/>
      <c r="K87" s="388"/>
      <c r="L87" s="391"/>
      <c r="M87" s="373"/>
      <c r="N87" s="373"/>
    </row>
    <row r="88" spans="1:17" s="359" customFormat="1" x14ac:dyDescent="0.2">
      <c r="B88" s="386" t="s">
        <v>427</v>
      </c>
      <c r="D88" s="389"/>
      <c r="E88" s="473"/>
      <c r="F88" s="465">
        <f>F86+F81</f>
        <v>5676666.4713121997</v>
      </c>
      <c r="G88" s="389"/>
      <c r="H88" s="444"/>
      <c r="I88" s="465">
        <f>I86+I81</f>
        <v>6087588.4157326994</v>
      </c>
      <c r="J88" s="404"/>
      <c r="K88" s="465">
        <f>K86+K81</f>
        <v>410921.94442049949</v>
      </c>
      <c r="L88" s="525">
        <f>K88/F88</f>
        <v>7.238789639961217E-2</v>
      </c>
      <c r="M88" s="373"/>
      <c r="N88" s="373"/>
    </row>
    <row r="89" spans="1:17" x14ac:dyDescent="0.2">
      <c r="A89" s="359"/>
      <c r="B89" s="421"/>
      <c r="C89" s="539"/>
      <c r="D89" s="485"/>
      <c r="E89" s="565"/>
      <c r="F89" s="427"/>
      <c r="G89" s="540"/>
      <c r="H89" s="542"/>
      <c r="I89" s="558"/>
      <c r="J89" s="543"/>
      <c r="K89" s="428"/>
      <c r="L89" s="566"/>
      <c r="M89" s="373"/>
      <c r="N89" s="373"/>
    </row>
    <row r="90" spans="1:17" s="359" customFormat="1" x14ac:dyDescent="0.2">
      <c r="D90" s="403"/>
      <c r="E90" s="567"/>
      <c r="F90" s="397"/>
      <c r="G90" s="389"/>
      <c r="H90" s="444"/>
      <c r="I90" s="544"/>
      <c r="J90" s="404"/>
      <c r="K90" s="388"/>
      <c r="L90" s="568"/>
      <c r="M90" s="373"/>
      <c r="N90" s="373"/>
    </row>
    <row r="91" spans="1:17" x14ac:dyDescent="0.2">
      <c r="A91" s="359"/>
      <c r="B91" s="378" t="s">
        <v>472</v>
      </c>
      <c r="C91" s="520"/>
      <c r="D91" s="382"/>
      <c r="E91" s="521"/>
      <c r="F91" s="381"/>
      <c r="G91" s="382"/>
      <c r="H91" s="523"/>
      <c r="I91" s="465"/>
      <c r="J91" s="524"/>
      <c r="K91" s="381"/>
      <c r="L91" s="384"/>
      <c r="M91" s="373"/>
      <c r="N91" s="373"/>
    </row>
    <row r="92" spans="1:17" x14ac:dyDescent="0.2">
      <c r="A92" s="359"/>
      <c r="B92" s="386"/>
      <c r="C92" s="359"/>
      <c r="D92" s="389"/>
      <c r="E92" s="415"/>
      <c r="F92" s="388"/>
      <c r="G92" s="440"/>
      <c r="H92" s="444"/>
      <c r="I92" s="430"/>
      <c r="J92" s="404"/>
      <c r="K92" s="388"/>
      <c r="L92" s="526"/>
      <c r="M92" s="373"/>
      <c r="N92" s="373"/>
    </row>
    <row r="93" spans="1:17" x14ac:dyDescent="0.2">
      <c r="A93" s="359"/>
      <c r="B93" s="472" t="s">
        <v>423</v>
      </c>
      <c r="C93" s="527" t="s">
        <v>22</v>
      </c>
      <c r="D93" s="395">
        <v>49</v>
      </c>
      <c r="E93" s="396">
        <v>458.22</v>
      </c>
      <c r="F93" s="388">
        <f>ROUND(D93*E93,2)</f>
        <v>22452.78</v>
      </c>
      <c r="H93" s="479">
        <f>ROUND(E93*(1+$O$79),2)</f>
        <v>443.44</v>
      </c>
      <c r="I93" s="430">
        <f>ROUND(D93*H93,2)</f>
        <v>21728.560000000001</v>
      </c>
      <c r="J93" s="404"/>
      <c r="K93" s="388">
        <f>I93-F93</f>
        <v>-724.21999999999753</v>
      </c>
      <c r="L93" s="526"/>
      <c r="M93" s="373"/>
      <c r="N93" s="373"/>
      <c r="Q93" s="261">
        <f>H93/E93-1</f>
        <v>-3.2255248570555728E-2</v>
      </c>
    </row>
    <row r="94" spans="1:17" x14ac:dyDescent="0.2">
      <c r="A94" s="359"/>
      <c r="B94" s="484" t="s">
        <v>395</v>
      </c>
      <c r="C94" s="399" t="s">
        <v>29</v>
      </c>
      <c r="D94" s="395">
        <v>8250</v>
      </c>
      <c r="E94" s="396">
        <v>1.1499999999999999</v>
      </c>
      <c r="F94" s="388">
        <f>ROUND(D94*E94,2)</f>
        <v>9487.5</v>
      </c>
      <c r="H94" s="479">
        <f>H74</f>
        <v>1.22</v>
      </c>
      <c r="I94" s="430">
        <f>ROUND(D94*H94,2)</f>
        <v>10065</v>
      </c>
      <c r="J94" s="404"/>
      <c r="K94" s="388">
        <f>I94-F94</f>
        <v>577.5</v>
      </c>
      <c r="L94" s="526"/>
      <c r="M94" s="373"/>
      <c r="N94" s="373"/>
      <c r="Q94" s="261">
        <f>H94/E94-1</f>
        <v>6.0869565217391397E-2</v>
      </c>
    </row>
    <row r="95" spans="1:17" x14ac:dyDescent="0.2">
      <c r="A95" s="359"/>
      <c r="B95" s="484" t="s">
        <v>463</v>
      </c>
      <c r="C95" s="359"/>
      <c r="D95" s="395"/>
      <c r="E95" s="400"/>
      <c r="F95" s="547">
        <v>0</v>
      </c>
      <c r="H95" s="453"/>
      <c r="I95" s="548">
        <f>F95</f>
        <v>0</v>
      </c>
      <c r="J95" s="562"/>
      <c r="K95" s="388">
        <f>I95-F95</f>
        <v>0</v>
      </c>
      <c r="L95" s="526"/>
      <c r="M95" s="373"/>
      <c r="N95" s="373"/>
    </row>
    <row r="96" spans="1:17" x14ac:dyDescent="0.2">
      <c r="A96" s="359"/>
      <c r="B96" s="386"/>
      <c r="C96" s="359"/>
      <c r="D96" s="395"/>
      <c r="E96" s="400"/>
      <c r="F96" s="388"/>
      <c r="H96" s="453"/>
      <c r="I96" s="430"/>
      <c r="J96" s="404"/>
      <c r="K96" s="388"/>
      <c r="L96" s="526"/>
      <c r="M96" s="373"/>
      <c r="N96" s="373"/>
    </row>
    <row r="97" spans="1:17" x14ac:dyDescent="0.2">
      <c r="A97" s="359"/>
      <c r="B97" s="484" t="s">
        <v>448</v>
      </c>
      <c r="C97" s="359"/>
      <c r="D97" s="395"/>
      <c r="E97" s="400"/>
      <c r="F97" s="388"/>
      <c r="H97" s="453"/>
      <c r="I97" s="430"/>
      <c r="J97" s="404"/>
      <c r="K97" s="388"/>
      <c r="L97" s="526"/>
      <c r="M97" s="373"/>
      <c r="N97" s="373"/>
    </row>
    <row r="98" spans="1:17" x14ac:dyDescent="0.2">
      <c r="A98" s="359"/>
      <c r="B98" s="439" t="s">
        <v>375</v>
      </c>
      <c r="C98" s="460" t="s">
        <v>10</v>
      </c>
      <c r="D98" s="395">
        <v>31000</v>
      </c>
      <c r="E98" s="400">
        <v>0.19916</v>
      </c>
      <c r="F98" s="388">
        <f>ROUND(D98*E98,2)</f>
        <v>6173.96</v>
      </c>
      <c r="H98" s="401">
        <f>H79</f>
        <v>0.19273999999999999</v>
      </c>
      <c r="I98" s="430">
        <f>ROUND(D98*H98,2)</f>
        <v>5974.94</v>
      </c>
      <c r="J98" s="404"/>
      <c r="K98" s="388">
        <f>I98-F98</f>
        <v>-199.02000000000044</v>
      </c>
      <c r="L98" s="526"/>
      <c r="M98" s="373"/>
      <c r="N98" s="373"/>
      <c r="Q98" s="261">
        <f>H98/E98-1</f>
        <v>-3.2235388632255502E-2</v>
      </c>
    </row>
    <row r="99" spans="1:17" x14ac:dyDescent="0.2">
      <c r="A99" s="359"/>
      <c r="B99" s="439" t="s">
        <v>376</v>
      </c>
      <c r="C99" s="460" t="s">
        <v>10</v>
      </c>
      <c r="D99" s="395">
        <v>341634.3</v>
      </c>
      <c r="E99" s="400">
        <v>0.14119999999999999</v>
      </c>
      <c r="F99" s="388">
        <f>ROUND(D99*E99,2)</f>
        <v>48238.76</v>
      </c>
      <c r="H99" s="401">
        <f>H80</f>
        <v>0.13664000000000001</v>
      </c>
      <c r="I99" s="430">
        <f>ROUND(D99*H99,2)</f>
        <v>46680.91</v>
      </c>
      <c r="J99" s="404"/>
      <c r="K99" s="388">
        <f>I99-F99</f>
        <v>-1557.8499999999985</v>
      </c>
      <c r="L99" s="526"/>
      <c r="M99" s="373"/>
      <c r="N99" s="373"/>
      <c r="Q99" s="261">
        <f>H99/E99-1</f>
        <v>-3.2294617563739192E-2</v>
      </c>
    </row>
    <row r="100" spans="1:17" x14ac:dyDescent="0.2">
      <c r="A100" s="359"/>
      <c r="B100" s="281" t="s">
        <v>429</v>
      </c>
      <c r="C100" s="399" t="s">
        <v>10</v>
      </c>
      <c r="D100" s="382">
        <f>SUM(D98:D99)</f>
        <v>372634.3</v>
      </c>
      <c r="E100" s="564"/>
      <c r="F100" s="465">
        <f>SUM(F93:F99)</f>
        <v>86353</v>
      </c>
      <c r="H100" s="444"/>
      <c r="I100" s="465">
        <f>SUM(I93:I99)</f>
        <v>84449.41</v>
      </c>
      <c r="J100" s="404"/>
      <c r="K100" s="465">
        <f>SUM(K93:K99)</f>
        <v>-1903.5899999999965</v>
      </c>
      <c r="L100" s="525"/>
      <c r="M100" s="373"/>
      <c r="N100" s="373"/>
    </row>
    <row r="101" spans="1:17" x14ac:dyDescent="0.2">
      <c r="A101" s="359"/>
      <c r="B101" s="419"/>
      <c r="C101" s="407"/>
      <c r="D101" s="389"/>
      <c r="E101" s="564"/>
      <c r="F101" s="430"/>
      <c r="H101" s="444"/>
      <c r="I101" s="430"/>
      <c r="J101" s="404"/>
      <c r="K101" s="388"/>
      <c r="L101" s="391"/>
      <c r="M101" s="373"/>
      <c r="N101" s="373"/>
    </row>
    <row r="102" spans="1:17" x14ac:dyDescent="0.2">
      <c r="A102" s="359"/>
      <c r="B102" s="484" t="s">
        <v>443</v>
      </c>
      <c r="C102" s="399" t="s">
        <v>10</v>
      </c>
      <c r="D102" s="536">
        <f>D100</f>
        <v>372634.3</v>
      </c>
      <c r="E102" s="400">
        <v>6.9999999999999999E-4</v>
      </c>
      <c r="F102" s="430">
        <f>E102*D102</f>
        <v>260.84400999999997</v>
      </c>
      <c r="G102" s="537"/>
      <c r="H102" s="437">
        <v>6.9999999999999999E-4</v>
      </c>
      <c r="I102" s="388">
        <f>H102*D102</f>
        <v>260.84400999999997</v>
      </c>
      <c r="J102" s="404"/>
      <c r="K102" s="388">
        <f>I102-F102</f>
        <v>0</v>
      </c>
      <c r="L102" s="526"/>
      <c r="M102" s="373"/>
      <c r="N102" s="373"/>
    </row>
    <row r="103" spans="1:17" x14ac:dyDescent="0.2">
      <c r="A103" s="359"/>
      <c r="B103" s="472" t="s">
        <v>427</v>
      </c>
      <c r="C103" s="359"/>
      <c r="D103" s="389"/>
      <c r="E103" s="436"/>
      <c r="F103" s="465">
        <f>F102+F100</f>
        <v>86613.844010000001</v>
      </c>
      <c r="G103" s="465"/>
      <c r="H103" s="444"/>
      <c r="I103" s="465">
        <f>I102+I100</f>
        <v>84710.254010000004</v>
      </c>
      <c r="J103" s="473"/>
      <c r="K103" s="465">
        <f>K102+K100</f>
        <v>-1903.5899999999965</v>
      </c>
      <c r="L103" s="384"/>
      <c r="M103" s="373"/>
      <c r="N103" s="373"/>
    </row>
    <row r="104" spans="1:17" x14ac:dyDescent="0.2">
      <c r="A104" s="359"/>
      <c r="B104" s="421"/>
      <c r="C104" s="539"/>
      <c r="D104" s="540"/>
      <c r="E104" s="541"/>
      <c r="F104" s="428"/>
      <c r="G104" s="540"/>
      <c r="H104" s="542"/>
      <c r="I104" s="551"/>
      <c r="J104" s="543"/>
      <c r="K104" s="428"/>
      <c r="L104" s="429"/>
      <c r="M104" s="373"/>
      <c r="N104" s="373"/>
    </row>
    <row r="105" spans="1:17" s="359" customFormat="1" x14ac:dyDescent="0.2">
      <c r="D105" s="403"/>
      <c r="E105" s="567"/>
      <c r="F105" s="397"/>
      <c r="G105" s="389"/>
      <c r="H105" s="444"/>
      <c r="I105" s="544"/>
      <c r="J105" s="404"/>
      <c r="K105" s="388"/>
      <c r="L105" s="568"/>
      <c r="M105" s="373"/>
      <c r="N105" s="373"/>
    </row>
    <row r="106" spans="1:17" x14ac:dyDescent="0.2">
      <c r="A106" s="359"/>
      <c r="B106" s="378" t="s">
        <v>473</v>
      </c>
      <c r="C106" s="520"/>
      <c r="D106" s="382"/>
      <c r="E106" s="521"/>
      <c r="F106" s="381"/>
      <c r="G106" s="382"/>
      <c r="H106" s="523"/>
      <c r="I106" s="465"/>
      <c r="J106" s="524"/>
      <c r="K106" s="381"/>
      <c r="L106" s="384"/>
      <c r="M106" s="373"/>
      <c r="N106" s="373"/>
    </row>
    <row r="107" spans="1:17" x14ac:dyDescent="0.2">
      <c r="A107" s="359"/>
      <c r="B107" s="386"/>
      <c r="C107" s="359"/>
      <c r="D107" s="389"/>
      <c r="E107" s="415"/>
      <c r="F107" s="388"/>
      <c r="G107" s="440"/>
      <c r="H107" s="444"/>
      <c r="I107" s="430"/>
      <c r="J107" s="404"/>
      <c r="K107" s="388"/>
      <c r="L107" s="526"/>
      <c r="M107" s="373"/>
      <c r="N107" s="373"/>
    </row>
    <row r="108" spans="1:17" x14ac:dyDescent="0.2">
      <c r="A108" s="359"/>
      <c r="B108" s="472" t="s">
        <v>423</v>
      </c>
      <c r="C108" s="527" t="s">
        <v>22</v>
      </c>
      <c r="D108" s="403">
        <f>D73+D93</f>
        <v>2907.9139747435988</v>
      </c>
      <c r="E108" s="436"/>
      <c r="F108" s="388">
        <f>F73+F93</f>
        <v>434164.98</v>
      </c>
      <c r="H108" s="436"/>
      <c r="I108" s="388">
        <f>I73+I93</f>
        <v>420146.81</v>
      </c>
      <c r="J108" s="404"/>
      <c r="K108" s="388">
        <f>I108-F108</f>
        <v>-14018.169999999984</v>
      </c>
      <c r="L108" s="526"/>
      <c r="M108" s="373"/>
      <c r="N108" s="373"/>
    </row>
    <row r="109" spans="1:17" x14ac:dyDescent="0.2">
      <c r="A109" s="359"/>
      <c r="B109" s="484" t="s">
        <v>395</v>
      </c>
      <c r="C109" s="399" t="s">
        <v>29</v>
      </c>
      <c r="D109" s="403">
        <f>D74+D94</f>
        <v>92673.830999999991</v>
      </c>
      <c r="E109" s="436"/>
      <c r="F109" s="388">
        <f>F74+F94</f>
        <v>106574.91</v>
      </c>
      <c r="H109" s="436"/>
      <c r="I109" s="388">
        <f>I74+I94</f>
        <v>113062.07</v>
      </c>
      <c r="J109" s="404"/>
      <c r="K109" s="388">
        <f>I109-F109</f>
        <v>6487.1600000000035</v>
      </c>
      <c r="L109" s="526"/>
      <c r="M109" s="373"/>
      <c r="N109" s="373"/>
    </row>
    <row r="110" spans="1:17" x14ac:dyDescent="0.2">
      <c r="A110" s="359"/>
      <c r="B110" s="386" t="s">
        <v>441</v>
      </c>
      <c r="C110" s="399" t="s">
        <v>10</v>
      </c>
      <c r="D110" s="403">
        <f>D75</f>
        <v>9926029.5299999993</v>
      </c>
      <c r="E110" s="437"/>
      <c r="F110" s="388">
        <f>F75</f>
        <v>67596.259999999995</v>
      </c>
      <c r="H110" s="437"/>
      <c r="I110" s="388">
        <f>I75</f>
        <v>90029.09</v>
      </c>
      <c r="J110" s="404"/>
      <c r="K110" s="388">
        <f>I110-F110</f>
        <v>22432.83</v>
      </c>
      <c r="L110" s="526"/>
      <c r="M110" s="373"/>
      <c r="N110" s="373"/>
    </row>
    <row r="111" spans="1:17" x14ac:dyDescent="0.2">
      <c r="A111" s="359"/>
      <c r="B111" s="484" t="s">
        <v>463</v>
      </c>
      <c r="C111" s="359"/>
      <c r="D111" s="389"/>
      <c r="E111" s="437"/>
      <c r="F111" s="548">
        <f>F76+F95</f>
        <v>32304.22</v>
      </c>
      <c r="H111" s="453"/>
      <c r="I111" s="548">
        <f>I76+I95</f>
        <v>32304.22</v>
      </c>
      <c r="J111" s="562"/>
      <c r="K111" s="388">
        <f>I111-F111</f>
        <v>0</v>
      </c>
      <c r="L111" s="526"/>
      <c r="M111" s="373"/>
      <c r="N111" s="373"/>
    </row>
    <row r="112" spans="1:17" x14ac:dyDescent="0.2">
      <c r="A112" s="359"/>
      <c r="B112" s="386"/>
      <c r="C112" s="359"/>
      <c r="D112" s="389"/>
      <c r="E112" s="437"/>
      <c r="F112" s="388"/>
      <c r="H112" s="453"/>
      <c r="I112" s="388"/>
      <c r="J112" s="404"/>
      <c r="K112" s="388"/>
      <c r="L112" s="526"/>
      <c r="M112" s="373"/>
      <c r="N112" s="373"/>
    </row>
    <row r="113" spans="1:15" x14ac:dyDescent="0.2">
      <c r="A113" s="359"/>
      <c r="B113" s="484" t="s">
        <v>448</v>
      </c>
      <c r="C113" s="359"/>
      <c r="D113" s="389"/>
      <c r="E113" s="437"/>
      <c r="F113" s="388"/>
      <c r="H113" s="453"/>
      <c r="I113" s="388"/>
      <c r="J113" s="404"/>
      <c r="K113" s="388"/>
      <c r="L113" s="526"/>
      <c r="M113" s="373"/>
      <c r="N113" s="373"/>
    </row>
    <row r="114" spans="1:15" x14ac:dyDescent="0.2">
      <c r="A114" s="359"/>
      <c r="B114" s="439" t="s">
        <v>375</v>
      </c>
      <c r="C114" s="460" t="s">
        <v>10</v>
      </c>
      <c r="D114" s="403">
        <f>D79+D98</f>
        <v>2206439.4739999999</v>
      </c>
      <c r="E114" s="437"/>
      <c r="F114" s="388">
        <f>F79+F98</f>
        <v>439434.49000000005</v>
      </c>
      <c r="H114" s="401"/>
      <c r="I114" s="388">
        <f>I79+I98</f>
        <v>425269.14</v>
      </c>
      <c r="J114" s="404"/>
      <c r="K114" s="388">
        <f>I114-F114</f>
        <v>-14165.350000000035</v>
      </c>
      <c r="L114" s="526"/>
      <c r="M114" s="373"/>
      <c r="N114" s="373"/>
    </row>
    <row r="115" spans="1:15" x14ac:dyDescent="0.2">
      <c r="A115" s="359"/>
      <c r="B115" s="439" t="s">
        <v>376</v>
      </c>
      <c r="C115" s="460" t="s">
        <v>10</v>
      </c>
      <c r="D115" s="403">
        <f>D80+D99</f>
        <v>8092224.3559999997</v>
      </c>
      <c r="E115" s="437"/>
      <c r="F115" s="388">
        <f>F80+F99</f>
        <v>1142622.08</v>
      </c>
      <c r="H115" s="401"/>
      <c r="I115" s="388">
        <f>I80+I99</f>
        <v>1105721.5399999998</v>
      </c>
      <c r="J115" s="404"/>
      <c r="K115" s="388">
        <f>I115-F115</f>
        <v>-36900.54000000027</v>
      </c>
      <c r="L115" s="526"/>
      <c r="M115" s="373"/>
      <c r="N115" s="373"/>
    </row>
    <row r="116" spans="1:15" x14ac:dyDescent="0.2">
      <c r="A116" s="359"/>
      <c r="B116" s="281" t="s">
        <v>429</v>
      </c>
      <c r="C116" s="399" t="s">
        <v>10</v>
      </c>
      <c r="D116" s="382">
        <f>SUM(D114:D115)</f>
        <v>10298663.83</v>
      </c>
      <c r="E116" s="415"/>
      <c r="F116" s="465">
        <f>SUM(F108:F115)</f>
        <v>2222696.9400000004</v>
      </c>
      <c r="H116" s="444"/>
      <c r="I116" s="465">
        <f>SUM(I108:I115)</f>
        <v>2186532.87</v>
      </c>
      <c r="J116" s="404"/>
      <c r="K116" s="465">
        <f>SUM(K108:K115)</f>
        <v>-36164.070000000283</v>
      </c>
      <c r="L116" s="525">
        <f>K116/F116</f>
        <v>-1.6270355777787807E-2</v>
      </c>
      <c r="M116" s="373"/>
      <c r="N116" s="373"/>
    </row>
    <row r="117" spans="1:15" x14ac:dyDescent="0.2">
      <c r="A117" s="359"/>
      <c r="B117" s="419"/>
      <c r="C117" s="407"/>
      <c r="D117" s="389"/>
      <c r="E117" s="415"/>
      <c r="F117" s="430"/>
      <c r="H117" s="444"/>
      <c r="I117" s="430"/>
      <c r="J117" s="404"/>
      <c r="K117" s="388"/>
      <c r="L117" s="391"/>
      <c r="M117" s="373"/>
      <c r="N117" s="373"/>
    </row>
    <row r="118" spans="1:15" x14ac:dyDescent="0.2">
      <c r="A118" s="359"/>
      <c r="B118" s="249" t="s">
        <v>426</v>
      </c>
      <c r="C118" s="407"/>
      <c r="D118" s="389"/>
      <c r="E118" s="415"/>
      <c r="F118" s="430"/>
      <c r="H118" s="444"/>
      <c r="I118" s="430"/>
      <c r="J118" s="404"/>
      <c r="K118" s="388"/>
      <c r="L118" s="391"/>
      <c r="M118" s="373"/>
      <c r="N118" s="373"/>
    </row>
    <row r="119" spans="1:15" x14ac:dyDescent="0.2">
      <c r="A119" s="359"/>
      <c r="B119" s="484" t="s">
        <v>451</v>
      </c>
      <c r="C119" s="399" t="s">
        <v>10</v>
      </c>
      <c r="D119" s="536">
        <f>D116</f>
        <v>10298663.83</v>
      </c>
      <c r="E119" s="437"/>
      <c r="F119" s="430">
        <f>F84</f>
        <v>3451677.5087621999</v>
      </c>
      <c r="G119" s="537"/>
      <c r="H119" s="437"/>
      <c r="I119" s="430">
        <f>I84</f>
        <v>3896859.9331826996</v>
      </c>
      <c r="J119" s="404"/>
      <c r="K119" s="388">
        <f>I119-F119</f>
        <v>445182.42442049971</v>
      </c>
      <c r="L119" s="526"/>
      <c r="M119" s="373"/>
      <c r="N119" s="373"/>
    </row>
    <row r="120" spans="1:15" x14ac:dyDescent="0.2">
      <c r="A120" s="359"/>
      <c r="B120" s="484" t="s">
        <v>395</v>
      </c>
      <c r="C120" s="399" t="s">
        <v>29</v>
      </c>
      <c r="D120" s="536">
        <f>D109</f>
        <v>92673.830999999991</v>
      </c>
      <c r="E120" s="436"/>
      <c r="F120" s="430">
        <f>F85</f>
        <v>88645.022549999994</v>
      </c>
      <c r="G120" s="537"/>
      <c r="H120" s="436"/>
      <c r="I120" s="430">
        <f>I85</f>
        <v>88645.022549999994</v>
      </c>
      <c r="J120" s="404"/>
      <c r="K120" s="388">
        <f>I120-F120</f>
        <v>0</v>
      </c>
      <c r="L120" s="391"/>
      <c r="M120" s="373"/>
      <c r="N120" s="373"/>
    </row>
    <row r="121" spans="1:15" x14ac:dyDescent="0.2">
      <c r="A121" s="359"/>
      <c r="B121" s="484" t="s">
        <v>443</v>
      </c>
      <c r="C121" s="399" t="s">
        <v>10</v>
      </c>
      <c r="D121" s="536">
        <f>D119</f>
        <v>10298663.83</v>
      </c>
      <c r="E121" s="436"/>
      <c r="F121" s="430">
        <f>F102</f>
        <v>260.84400999999997</v>
      </c>
      <c r="G121" s="537"/>
      <c r="H121" s="436"/>
      <c r="I121" s="430">
        <f>I102</f>
        <v>260.84400999999997</v>
      </c>
      <c r="J121" s="404"/>
      <c r="K121" s="388">
        <f>I121-F121</f>
        <v>0</v>
      </c>
      <c r="L121" s="391"/>
      <c r="M121" s="373"/>
      <c r="N121" s="373"/>
    </row>
    <row r="122" spans="1:15" x14ac:dyDescent="0.2">
      <c r="A122" s="359"/>
      <c r="B122" s="472" t="s">
        <v>452</v>
      </c>
      <c r="C122" s="407"/>
      <c r="D122" s="390"/>
      <c r="E122" s="473"/>
      <c r="F122" s="465">
        <f>SUM(F119:F121)</f>
        <v>3540583.3753221999</v>
      </c>
      <c r="G122" s="390"/>
      <c r="H122" s="444"/>
      <c r="I122" s="465">
        <f>SUM(I119:I121)</f>
        <v>3985765.7997426996</v>
      </c>
      <c r="J122" s="473"/>
      <c r="K122" s="465">
        <f>SUM(K119:K121)</f>
        <v>445182.42442049971</v>
      </c>
      <c r="L122" s="525">
        <f>ROUND(K122/F122,5)</f>
        <v>0.12573999999999999</v>
      </c>
      <c r="M122" s="373"/>
      <c r="N122" s="373"/>
    </row>
    <row r="123" spans="1:15" x14ac:dyDescent="0.2">
      <c r="A123" s="359"/>
      <c r="B123" s="419"/>
      <c r="C123" s="407"/>
      <c r="D123" s="390"/>
      <c r="E123" s="473"/>
      <c r="F123" s="430"/>
      <c r="G123" s="390"/>
      <c r="H123" s="444"/>
      <c r="I123" s="430"/>
      <c r="J123" s="473"/>
      <c r="K123" s="430"/>
      <c r="L123" s="526"/>
      <c r="M123" s="373"/>
      <c r="N123" s="373"/>
    </row>
    <row r="124" spans="1:15" x14ac:dyDescent="0.2">
      <c r="A124" s="359"/>
      <c r="B124" s="472" t="s">
        <v>427</v>
      </c>
      <c r="C124" s="407"/>
      <c r="D124" s="390"/>
      <c r="E124" s="473"/>
      <c r="F124" s="465">
        <f>F116+F122</f>
        <v>5763280.3153221998</v>
      </c>
      <c r="G124" s="390"/>
      <c r="H124" s="444"/>
      <c r="I124" s="465">
        <f>I116+I122</f>
        <v>6172298.6697426997</v>
      </c>
      <c r="J124" s="473"/>
      <c r="K124" s="465">
        <f>K116+K122</f>
        <v>409018.35442049941</v>
      </c>
      <c r="L124" s="525">
        <f>ROUND(K124/F124,5)</f>
        <v>7.0970000000000005E-2</v>
      </c>
      <c r="M124" s="373"/>
      <c r="N124" s="373"/>
    </row>
    <row r="125" spans="1:15" x14ac:dyDescent="0.2">
      <c r="A125" s="359"/>
      <c r="B125" s="421"/>
      <c r="C125" s="539"/>
      <c r="D125" s="540"/>
      <c r="E125" s="541"/>
      <c r="F125" s="428"/>
      <c r="G125" s="540"/>
      <c r="H125" s="542"/>
      <c r="I125" s="551"/>
      <c r="J125" s="543"/>
      <c r="K125" s="428"/>
      <c r="L125" s="566"/>
      <c r="M125" s="373"/>
      <c r="N125" s="373"/>
    </row>
    <row r="126" spans="1:15" s="359" customFormat="1" x14ac:dyDescent="0.2">
      <c r="B126" s="390"/>
      <c r="C126" s="390"/>
      <c r="D126" s="403"/>
      <c r="E126" s="567"/>
      <c r="F126" s="397"/>
      <c r="G126" s="389"/>
      <c r="H126" s="444"/>
      <c r="I126" s="544"/>
      <c r="J126" s="545"/>
      <c r="K126" s="397"/>
      <c r="L126" s="569"/>
      <c r="M126" s="373"/>
      <c r="N126" s="373"/>
    </row>
    <row r="127" spans="1:15" s="359" customFormat="1" x14ac:dyDescent="0.2">
      <c r="B127" s="390"/>
      <c r="C127" s="390"/>
      <c r="D127" s="389"/>
      <c r="E127" s="453"/>
      <c r="F127" s="397"/>
      <c r="G127" s="389"/>
      <c r="H127" s="444"/>
      <c r="I127" s="544"/>
      <c r="J127" s="545"/>
      <c r="K127" s="397"/>
      <c r="L127" s="569"/>
      <c r="M127" s="373"/>
      <c r="N127" s="373"/>
    </row>
    <row r="128" spans="1:15" x14ac:dyDescent="0.2">
      <c r="B128" s="378" t="s">
        <v>474</v>
      </c>
      <c r="C128" s="520"/>
      <c r="D128" s="382"/>
      <c r="E128" s="521"/>
      <c r="F128" s="381"/>
      <c r="G128" s="382"/>
      <c r="H128" s="523"/>
      <c r="I128" s="465"/>
      <c r="J128" s="524"/>
      <c r="K128" s="381"/>
      <c r="L128" s="525"/>
      <c r="M128" s="373"/>
      <c r="N128" s="560"/>
      <c r="O128" s="570" t="s">
        <v>475</v>
      </c>
    </row>
    <row r="129" spans="2:17" x14ac:dyDescent="0.2">
      <c r="B129" s="386"/>
      <c r="C129" s="359"/>
      <c r="D129" s="389"/>
      <c r="E129" s="415"/>
      <c r="F129" s="388"/>
      <c r="H129" s="444"/>
      <c r="I129" s="430"/>
      <c r="J129" s="404"/>
      <c r="K129" s="388"/>
      <c r="L129" s="526"/>
      <c r="M129" s="373"/>
      <c r="N129" s="560"/>
      <c r="O129" s="571">
        <v>-77892.813406896064</v>
      </c>
    </row>
    <row r="130" spans="2:17" x14ac:dyDescent="0.2">
      <c r="B130" s="472" t="s">
        <v>423</v>
      </c>
      <c r="C130" s="527" t="s">
        <v>22</v>
      </c>
      <c r="D130" s="395">
        <v>59.787364924481885</v>
      </c>
      <c r="E130" s="396">
        <v>579.19000000000005</v>
      </c>
      <c r="F130" s="388">
        <f>ROUND(D130*E130,2)</f>
        <v>34628.239999999998</v>
      </c>
      <c r="H130" s="479">
        <f>ROUND(E130*(1+$O$140),2)</f>
        <v>557.39</v>
      </c>
      <c r="I130" s="430">
        <f>ROUND(D130*H130,2)</f>
        <v>33324.879999999997</v>
      </c>
      <c r="J130" s="404"/>
      <c r="K130" s="388">
        <f>I130-F130</f>
        <v>-1303.3600000000006</v>
      </c>
      <c r="L130" s="405"/>
      <c r="M130" s="373"/>
      <c r="N130" s="560"/>
      <c r="O130" s="572" t="s">
        <v>425</v>
      </c>
      <c r="Q130" s="261">
        <f>H130/E130-1</f>
        <v>-3.7638771387627612E-2</v>
      </c>
    </row>
    <row r="131" spans="2:17" x14ac:dyDescent="0.2">
      <c r="B131" s="484" t="s">
        <v>395</v>
      </c>
      <c r="C131" s="399" t="s">
        <v>29</v>
      </c>
      <c r="D131" s="395">
        <v>0</v>
      </c>
      <c r="E131" s="396">
        <v>1.1499999999999999</v>
      </c>
      <c r="F131" s="388">
        <f>ROUND(D131*E131,2)</f>
        <v>0</v>
      </c>
      <c r="H131" s="396">
        <v>1.38</v>
      </c>
      <c r="I131" s="430">
        <f>ROUND(D131*H131,2)</f>
        <v>0</v>
      </c>
      <c r="J131" s="404"/>
      <c r="K131" s="388">
        <f>I131-F131</f>
        <v>0</v>
      </c>
      <c r="L131" s="405"/>
      <c r="M131" s="373"/>
      <c r="N131" s="573"/>
      <c r="O131" s="574">
        <f>+K142+K165-O129</f>
        <v>158.90340689585719</v>
      </c>
      <c r="Q131" s="261">
        <f>H131/E131-1</f>
        <v>0.19999999999999996</v>
      </c>
    </row>
    <row r="132" spans="2:17" x14ac:dyDescent="0.2">
      <c r="B132" s="386" t="s">
        <v>441</v>
      </c>
      <c r="C132" s="399"/>
      <c r="D132" s="403">
        <f>D142</f>
        <v>23311381.287999999</v>
      </c>
      <c r="E132" s="400">
        <v>5.3899999999999998E-3</v>
      </c>
      <c r="F132" s="388">
        <f>ROUND(D132*E132,2)</f>
        <v>125648.35</v>
      </c>
      <c r="H132" s="400">
        <v>5.94E-3</v>
      </c>
      <c r="I132" s="388">
        <f>ROUND(D132*H132,2)</f>
        <v>138469.6</v>
      </c>
      <c r="J132" s="404"/>
      <c r="K132" s="388">
        <f>I132-F132</f>
        <v>12821.25</v>
      </c>
      <c r="L132" s="405"/>
      <c r="M132" s="373"/>
      <c r="N132" s="373"/>
      <c r="O132" s="448"/>
      <c r="Q132" s="261">
        <f>H132/E132-1</f>
        <v>0.10204081632653073</v>
      </c>
    </row>
    <row r="133" spans="2:17" x14ac:dyDescent="0.2">
      <c r="B133" s="435" t="s">
        <v>463</v>
      </c>
      <c r="C133" s="390"/>
      <c r="D133" s="389"/>
      <c r="E133" s="396"/>
      <c r="F133" s="530">
        <v>83383.63</v>
      </c>
      <c r="H133" s="401" t="s">
        <v>249</v>
      </c>
      <c r="I133" s="548">
        <f>F133</f>
        <v>83383.63</v>
      </c>
      <c r="J133" s="404"/>
      <c r="K133" s="388">
        <f>I133-F133</f>
        <v>0</v>
      </c>
      <c r="L133" s="405"/>
      <c r="M133" s="373"/>
      <c r="N133" s="373"/>
      <c r="O133" s="575"/>
    </row>
    <row r="134" spans="2:17" x14ac:dyDescent="0.2">
      <c r="B134" s="386"/>
      <c r="C134" s="359"/>
      <c r="D134" s="389"/>
      <c r="E134" s="549"/>
      <c r="F134" s="388"/>
      <c r="H134" s="401"/>
      <c r="I134" s="430"/>
      <c r="J134" s="404"/>
      <c r="K134" s="448"/>
      <c r="L134" s="405"/>
      <c r="M134" s="373"/>
      <c r="N134" s="528"/>
      <c r="O134" s="576"/>
    </row>
    <row r="135" spans="2:17" x14ac:dyDescent="0.2">
      <c r="B135" s="484" t="s">
        <v>448</v>
      </c>
      <c r="C135" s="359"/>
      <c r="D135" s="389"/>
      <c r="E135" s="549"/>
      <c r="F135" s="388"/>
      <c r="H135" s="453"/>
      <c r="I135" s="430"/>
      <c r="J135" s="404"/>
      <c r="K135" s="448"/>
      <c r="L135" s="405"/>
      <c r="M135" s="373"/>
      <c r="N135" s="373"/>
      <c r="O135" s="577"/>
      <c r="P135" s="495"/>
      <c r="Q135" s="495"/>
    </row>
    <row r="136" spans="2:17" x14ac:dyDescent="0.2">
      <c r="B136" s="386" t="s">
        <v>464</v>
      </c>
      <c r="C136" s="399" t="s">
        <v>10</v>
      </c>
      <c r="D136" s="395">
        <v>1467943.9100000001</v>
      </c>
      <c r="E136" s="400">
        <v>0.14454</v>
      </c>
      <c r="F136" s="388">
        <f t="shared" ref="F136:F141" si="0">ROUND(D136*E136,2)</f>
        <v>212176.61</v>
      </c>
      <c r="H136" s="401">
        <f t="shared" ref="H136:H141" si="1">ROUND(E136*(1+$O$140),5)</f>
        <v>0.1391</v>
      </c>
      <c r="I136" s="430">
        <f t="shared" ref="I136:I141" si="2">ROUND(D136*H136,2)</f>
        <v>204191</v>
      </c>
      <c r="J136" s="404"/>
      <c r="K136" s="388">
        <f t="shared" ref="K136:K141" si="3">I136-F136</f>
        <v>-7985.609999999986</v>
      </c>
      <c r="L136" s="405"/>
      <c r="M136" s="373"/>
      <c r="N136" s="373"/>
      <c r="O136" s="578"/>
      <c r="P136" s="579"/>
      <c r="Q136" s="261">
        <f>H136/E136-1</f>
        <v>-3.7636640376366381E-2</v>
      </c>
    </row>
    <row r="137" spans="2:17" x14ac:dyDescent="0.2">
      <c r="B137" s="386" t="s">
        <v>465</v>
      </c>
      <c r="C137" s="399" t="s">
        <v>10</v>
      </c>
      <c r="D137" s="395">
        <v>1444685</v>
      </c>
      <c r="E137" s="400">
        <v>8.7349999999999997E-2</v>
      </c>
      <c r="F137" s="388">
        <f t="shared" si="0"/>
        <v>126193.23</v>
      </c>
      <c r="H137" s="401">
        <f t="shared" si="1"/>
        <v>8.4059999999999996E-2</v>
      </c>
      <c r="I137" s="430">
        <f t="shared" si="2"/>
        <v>121440.22</v>
      </c>
      <c r="J137" s="404"/>
      <c r="K137" s="388">
        <f t="shared" si="3"/>
        <v>-4753.0099999999948</v>
      </c>
      <c r="L137" s="405"/>
      <c r="M137" s="373"/>
      <c r="N137" s="373"/>
      <c r="O137" s="476"/>
      <c r="P137" s="359"/>
      <c r="Q137" s="261">
        <f>H137/E137-1</f>
        <v>-3.7664567830566709E-2</v>
      </c>
    </row>
    <row r="138" spans="2:17" x14ac:dyDescent="0.2">
      <c r="B138" s="386" t="s">
        <v>468</v>
      </c>
      <c r="C138" s="399" t="s">
        <v>10</v>
      </c>
      <c r="D138" s="395">
        <v>2610928.531</v>
      </c>
      <c r="E138" s="400">
        <v>5.5579999999999997E-2</v>
      </c>
      <c r="F138" s="388">
        <f t="shared" si="0"/>
        <v>145115.41</v>
      </c>
      <c r="H138" s="401">
        <f t="shared" si="1"/>
        <v>5.3490000000000003E-2</v>
      </c>
      <c r="I138" s="430">
        <f t="shared" si="2"/>
        <v>139658.57</v>
      </c>
      <c r="J138" s="404"/>
      <c r="K138" s="388">
        <f t="shared" si="3"/>
        <v>-5456.8399999999965</v>
      </c>
      <c r="L138" s="526"/>
      <c r="M138" s="373"/>
      <c r="N138" s="373"/>
      <c r="O138" s="527"/>
      <c r="P138" s="527"/>
      <c r="Q138" s="261">
        <f>H138/E138-1</f>
        <v>-3.7603454480028664E-2</v>
      </c>
    </row>
    <row r="139" spans="2:17" x14ac:dyDescent="0.2">
      <c r="B139" s="386" t="s">
        <v>34</v>
      </c>
      <c r="C139" s="399" t="s">
        <v>10</v>
      </c>
      <c r="D139" s="395">
        <v>3148639.4549999996</v>
      </c>
      <c r="E139" s="400">
        <v>3.5639999999999998E-2</v>
      </c>
      <c r="F139" s="388">
        <f t="shared" si="0"/>
        <v>112217.51</v>
      </c>
      <c r="H139" s="401">
        <f t="shared" si="1"/>
        <v>3.4299999999999997E-2</v>
      </c>
      <c r="I139" s="430">
        <f t="shared" si="2"/>
        <v>107998.33</v>
      </c>
      <c r="J139" s="404"/>
      <c r="K139" s="388">
        <f t="shared" si="3"/>
        <v>-4219.179999999993</v>
      </c>
      <c r="L139" s="526"/>
      <c r="M139" s="373"/>
      <c r="N139" s="373"/>
      <c r="O139" s="399"/>
      <c r="P139" s="399"/>
      <c r="Q139" s="261">
        <f>H139/E139-1</f>
        <v>-3.7598204264870927E-2</v>
      </c>
    </row>
    <row r="140" spans="2:17" x14ac:dyDescent="0.2">
      <c r="B140" s="386" t="s">
        <v>382</v>
      </c>
      <c r="C140" s="399" t="s">
        <v>10</v>
      </c>
      <c r="D140" s="395">
        <v>3956750.5819999999</v>
      </c>
      <c r="E140" s="400">
        <v>2.564E-2</v>
      </c>
      <c r="F140" s="388">
        <f t="shared" si="0"/>
        <v>101451.08</v>
      </c>
      <c r="H140" s="401">
        <f>ROUND(E140*(1+$O$140),5)</f>
        <v>2.4680000000000001E-2</v>
      </c>
      <c r="I140" s="430">
        <f t="shared" si="2"/>
        <v>97652.6</v>
      </c>
      <c r="J140" s="404"/>
      <c r="K140" s="388">
        <f t="shared" si="3"/>
        <v>-3798.4799999999959</v>
      </c>
      <c r="L140" s="526"/>
      <c r="M140" s="373"/>
      <c r="N140" s="373"/>
      <c r="O140" s="413">
        <v>-3.7635543330283718E-2</v>
      </c>
      <c r="P140" s="359"/>
      <c r="Q140" s="261">
        <f>H140/E140-1</f>
        <v>-3.7441497659906342E-2</v>
      </c>
    </row>
    <row r="141" spans="2:17" x14ac:dyDescent="0.2">
      <c r="B141" s="386" t="s">
        <v>383</v>
      </c>
      <c r="C141" s="399" t="s">
        <v>10</v>
      </c>
      <c r="D141" s="395">
        <v>10682433.809999999</v>
      </c>
      <c r="E141" s="400">
        <v>1.9769999999999999E-2</v>
      </c>
      <c r="F141" s="388">
        <f t="shared" si="0"/>
        <v>211191.72</v>
      </c>
      <c r="H141" s="401">
        <f t="shared" si="1"/>
        <v>1.9029999999999998E-2</v>
      </c>
      <c r="I141" s="430">
        <f t="shared" si="2"/>
        <v>203286.72</v>
      </c>
      <c r="J141" s="404"/>
      <c r="K141" s="388">
        <f t="shared" si="3"/>
        <v>-7905</v>
      </c>
      <c r="L141" s="526"/>
      <c r="M141" s="373"/>
      <c r="N141" s="373"/>
      <c r="O141" s="399"/>
      <c r="P141" s="407"/>
      <c r="Q141" s="336"/>
    </row>
    <row r="142" spans="2:17" x14ac:dyDescent="0.2">
      <c r="B142" s="281" t="s">
        <v>429</v>
      </c>
      <c r="C142" s="399" t="s">
        <v>10</v>
      </c>
      <c r="D142" s="580">
        <f>SUM(D136:D141)</f>
        <v>23311381.287999999</v>
      </c>
      <c r="E142" s="564"/>
      <c r="F142" s="465">
        <f>SUM(F130:F141)</f>
        <v>1152005.78</v>
      </c>
      <c r="H142" s="444"/>
      <c r="I142" s="465">
        <f>SUM(I130:I141)</f>
        <v>1129405.5499999998</v>
      </c>
      <c r="J142" s="404"/>
      <c r="K142" s="465">
        <f>I142-F142</f>
        <v>-22600.230000000214</v>
      </c>
      <c r="L142" s="525">
        <f>K142/F142</f>
        <v>-1.9618156776956636E-2</v>
      </c>
      <c r="M142" s="373"/>
      <c r="N142" s="373"/>
      <c r="O142" s="399"/>
      <c r="P142" s="581"/>
      <c r="Q142" s="336"/>
    </row>
    <row r="143" spans="2:17" x14ac:dyDescent="0.2">
      <c r="B143" s="419"/>
      <c r="C143" s="407"/>
      <c r="D143" s="389"/>
      <c r="E143" s="564"/>
      <c r="F143" s="388"/>
      <c r="H143" s="444"/>
      <c r="I143" s="430"/>
      <c r="J143" s="404"/>
      <c r="K143" s="388"/>
      <c r="L143" s="391"/>
      <c r="M143" s="373"/>
      <c r="N143" s="538"/>
      <c r="O143" s="582"/>
      <c r="P143" s="399"/>
      <c r="Q143" s="389"/>
    </row>
    <row r="144" spans="2:17" x14ac:dyDescent="0.2">
      <c r="B144" s="249" t="s">
        <v>426</v>
      </c>
      <c r="C144" s="407"/>
      <c r="D144" s="389"/>
      <c r="E144" s="564"/>
      <c r="F144" s="388"/>
      <c r="H144" s="444"/>
      <c r="I144" s="430"/>
      <c r="J144" s="404"/>
      <c r="K144" s="388"/>
      <c r="L144" s="391"/>
      <c r="M144" s="373"/>
      <c r="N144" s="373"/>
      <c r="O144" s="407"/>
      <c r="P144" s="407"/>
      <c r="Q144" s="390"/>
    </row>
    <row r="145" spans="1:17" x14ac:dyDescent="0.2">
      <c r="B145" s="484" t="s">
        <v>451</v>
      </c>
      <c r="C145" s="399" t="s">
        <v>10</v>
      </c>
      <c r="D145" s="536">
        <f>D142</f>
        <v>23311381.287999999</v>
      </c>
      <c r="E145" s="400">
        <v>0.34531000000000001</v>
      </c>
      <c r="F145" s="430">
        <f>+E145*D145</f>
        <v>8049653.0725592794</v>
      </c>
      <c r="G145" s="537"/>
      <c r="H145" s="400">
        <v>0.39035999999999998</v>
      </c>
      <c r="I145" s="430">
        <f>+H145*D145</f>
        <v>9099830.7995836791</v>
      </c>
      <c r="J145" s="404"/>
      <c r="K145" s="388">
        <f>I145-F145</f>
        <v>1050177.7270243997</v>
      </c>
      <c r="L145" s="526"/>
      <c r="M145" s="373"/>
      <c r="N145" s="373"/>
      <c r="O145" s="359"/>
      <c r="P145" s="359"/>
      <c r="Q145" s="390"/>
    </row>
    <row r="146" spans="1:17" x14ac:dyDescent="0.2">
      <c r="B146" s="484" t="s">
        <v>395</v>
      </c>
      <c r="C146" s="399" t="s">
        <v>29</v>
      </c>
      <c r="D146" s="536">
        <f>D131</f>
        <v>0</v>
      </c>
      <c r="E146" s="396">
        <v>1.05</v>
      </c>
      <c r="F146" s="430">
        <f>D146*E146</f>
        <v>0</v>
      </c>
      <c r="G146" s="537"/>
      <c r="H146" s="396">
        <v>1.05</v>
      </c>
      <c r="I146" s="430">
        <f>D146*H146</f>
        <v>0</v>
      </c>
      <c r="J146" s="404"/>
      <c r="K146" s="388">
        <f>I146-F146</f>
        <v>0</v>
      </c>
      <c r="L146" s="391"/>
      <c r="M146" s="373"/>
      <c r="N146" s="373"/>
      <c r="O146" s="407"/>
      <c r="P146" s="407"/>
      <c r="Q146" s="390"/>
    </row>
    <row r="147" spans="1:17" x14ac:dyDescent="0.2">
      <c r="B147" s="472" t="s">
        <v>452</v>
      </c>
      <c r="C147" s="407"/>
      <c r="D147" s="390"/>
      <c r="E147" s="473"/>
      <c r="F147" s="465">
        <f>SUM(F145:F146)</f>
        <v>8049653.0725592794</v>
      </c>
      <c r="G147" s="390"/>
      <c r="H147" s="444"/>
      <c r="I147" s="465">
        <f>SUM(I145:I146)</f>
        <v>9099830.7995836791</v>
      </c>
      <c r="J147" s="465"/>
      <c r="K147" s="465">
        <f>I147-F147</f>
        <v>1050177.7270243997</v>
      </c>
      <c r="L147" s="525">
        <f>ROUND(K147/F147,5)</f>
        <v>0.13045999999999999</v>
      </c>
      <c r="M147" s="373"/>
      <c r="N147" s="373"/>
      <c r="O147" s="359"/>
      <c r="P147" s="359"/>
      <c r="Q147" s="390"/>
    </row>
    <row r="148" spans="1:17" x14ac:dyDescent="0.2">
      <c r="B148" s="386"/>
      <c r="C148" s="359"/>
      <c r="D148" s="389"/>
      <c r="E148" s="473"/>
      <c r="F148" s="430"/>
      <c r="H148" s="444"/>
      <c r="I148" s="430"/>
      <c r="J148" s="430"/>
      <c r="K148" s="388"/>
      <c r="L148" s="391"/>
      <c r="M148" s="373"/>
      <c r="N148" s="373"/>
      <c r="O148" s="527"/>
      <c r="P148" s="399"/>
      <c r="Q148" s="389"/>
    </row>
    <row r="149" spans="1:17" x14ac:dyDescent="0.2">
      <c r="B149" s="386" t="s">
        <v>427</v>
      </c>
      <c r="C149" s="359"/>
      <c r="D149" s="389"/>
      <c r="E149" s="473"/>
      <c r="F149" s="465">
        <f>F142+F147</f>
        <v>9201658.8525592797</v>
      </c>
      <c r="H149" s="444"/>
      <c r="I149" s="465">
        <f>I142+I147</f>
        <v>10229236.349583678</v>
      </c>
      <c r="J149" s="404"/>
      <c r="K149" s="465">
        <f>K142+K147</f>
        <v>1027577.4970243995</v>
      </c>
      <c r="L149" s="525">
        <f>K149/F149</f>
        <v>0.11167307042018808</v>
      </c>
      <c r="M149" s="373"/>
      <c r="N149" s="373"/>
      <c r="O149" s="399"/>
      <c r="P149" s="399"/>
      <c r="Q149" s="389"/>
    </row>
    <row r="150" spans="1:17" x14ac:dyDescent="0.2">
      <c r="A150" s="359"/>
      <c r="B150" s="421"/>
      <c r="C150" s="539"/>
      <c r="D150" s="540"/>
      <c r="E150" s="557"/>
      <c r="F150" s="427"/>
      <c r="G150" s="540"/>
      <c r="H150" s="542"/>
      <c r="I150" s="551"/>
      <c r="J150" s="543"/>
      <c r="K150" s="428"/>
      <c r="L150" s="566"/>
      <c r="M150" s="373"/>
      <c r="N150" s="373"/>
      <c r="O150" s="527"/>
      <c r="P150" s="399"/>
      <c r="Q150" s="389"/>
    </row>
    <row r="151" spans="1:17" x14ac:dyDescent="0.2">
      <c r="A151" s="359"/>
      <c r="B151" s="359"/>
      <c r="C151" s="359"/>
      <c r="D151" s="389"/>
      <c r="E151" s="453"/>
      <c r="F151" s="397"/>
      <c r="H151" s="444"/>
      <c r="I151" s="430"/>
      <c r="J151" s="404"/>
      <c r="K151" s="388"/>
      <c r="L151" s="568"/>
      <c r="M151" s="373"/>
      <c r="N151" s="373"/>
      <c r="O151" s="399"/>
      <c r="P151" s="399"/>
      <c r="Q151" s="389"/>
    </row>
    <row r="152" spans="1:17" x14ac:dyDescent="0.2">
      <c r="A152" s="359"/>
      <c r="B152" s="378" t="s">
        <v>476</v>
      </c>
      <c r="C152" s="520"/>
      <c r="D152" s="382"/>
      <c r="E152" s="521"/>
      <c r="F152" s="381"/>
      <c r="G152" s="382"/>
      <c r="H152" s="523"/>
      <c r="I152" s="465"/>
      <c r="J152" s="524"/>
      <c r="K152" s="381"/>
      <c r="L152" s="525"/>
      <c r="M152" s="373"/>
      <c r="N152" s="373"/>
      <c r="O152" s="359"/>
      <c r="P152" s="359"/>
      <c r="Q152" s="389"/>
    </row>
    <row r="153" spans="1:17" x14ac:dyDescent="0.2">
      <c r="A153" s="359"/>
      <c r="B153" s="386"/>
      <c r="C153" s="359"/>
      <c r="D153" s="389"/>
      <c r="E153" s="415"/>
      <c r="F153" s="388"/>
      <c r="H153" s="444"/>
      <c r="I153" s="430"/>
      <c r="J153" s="404"/>
      <c r="K153" s="388"/>
      <c r="L153" s="526"/>
      <c r="M153" s="373"/>
      <c r="N153" s="373"/>
      <c r="O153" s="359"/>
      <c r="P153" s="359"/>
      <c r="Q153" s="389"/>
    </row>
    <row r="154" spans="1:17" x14ac:dyDescent="0.2">
      <c r="A154" s="359"/>
      <c r="B154" s="472" t="s">
        <v>423</v>
      </c>
      <c r="C154" s="527" t="s">
        <v>22</v>
      </c>
      <c r="D154" s="395">
        <v>129.03333266999661</v>
      </c>
      <c r="E154" s="396">
        <v>926.71</v>
      </c>
      <c r="F154" s="388">
        <f>ROUND(D154*E154,2)</f>
        <v>119576.48</v>
      </c>
      <c r="H154" s="479">
        <f>ROUND(E154*(1+$O$140),2)</f>
        <v>891.83</v>
      </c>
      <c r="I154" s="430">
        <f>ROUND(D154*H154,2)</f>
        <v>115075.8</v>
      </c>
      <c r="J154" s="404"/>
      <c r="K154" s="388">
        <f>I154-F154</f>
        <v>-4500.679999999993</v>
      </c>
      <c r="L154" s="405"/>
      <c r="M154" s="373"/>
      <c r="N154" s="373"/>
      <c r="O154" s="359"/>
      <c r="P154" s="359"/>
      <c r="Q154" s="261">
        <f>H154/E154-1</f>
        <v>-3.763852769474807E-2</v>
      </c>
    </row>
    <row r="155" spans="1:17" x14ac:dyDescent="0.2">
      <c r="A155" s="359"/>
      <c r="B155" s="484" t="s">
        <v>395</v>
      </c>
      <c r="C155" s="399" t="s">
        <v>29</v>
      </c>
      <c r="D155" s="395">
        <v>295626.66599999997</v>
      </c>
      <c r="E155" s="396">
        <v>1.1499999999999999</v>
      </c>
      <c r="F155" s="388">
        <f>ROUND(D155*E155,2)</f>
        <v>339970.67</v>
      </c>
      <c r="H155" s="479">
        <f>H131</f>
        <v>1.38</v>
      </c>
      <c r="I155" s="430">
        <f>ROUND(D155*H155,2)</f>
        <v>407964.8</v>
      </c>
      <c r="J155" s="404"/>
      <c r="K155" s="388">
        <f>I155-F155</f>
        <v>67994.13</v>
      </c>
      <c r="L155" s="405"/>
      <c r="M155" s="373"/>
      <c r="N155" s="373"/>
      <c r="Q155" s="261">
        <f>H155/E155-1</f>
        <v>0.19999999999999996</v>
      </c>
    </row>
    <row r="156" spans="1:17" x14ac:dyDescent="0.2">
      <c r="A156" s="359"/>
      <c r="B156" s="484" t="s">
        <v>463</v>
      </c>
      <c r="C156" s="399"/>
      <c r="D156" s="395"/>
      <c r="E156" s="396"/>
      <c r="F156" s="530">
        <v>24437.89</v>
      </c>
      <c r="H156" s="444"/>
      <c r="I156" s="548">
        <f>F156</f>
        <v>24437.89</v>
      </c>
      <c r="J156" s="404"/>
      <c r="K156" s="448"/>
      <c r="L156" s="405"/>
      <c r="M156" s="373"/>
      <c r="N156" s="373"/>
    </row>
    <row r="157" spans="1:17" x14ac:dyDescent="0.2">
      <c r="A157" s="359"/>
      <c r="B157" s="439"/>
      <c r="C157" s="399"/>
      <c r="D157" s="395"/>
      <c r="E157" s="400"/>
      <c r="F157" s="388"/>
      <c r="H157" s="437"/>
      <c r="I157" s="430"/>
      <c r="J157" s="404"/>
      <c r="K157" s="448"/>
      <c r="L157" s="405"/>
      <c r="M157" s="373"/>
      <c r="N157" s="373"/>
    </row>
    <row r="158" spans="1:17" x14ac:dyDescent="0.2">
      <c r="A158" s="359"/>
      <c r="B158" s="484" t="s">
        <v>448</v>
      </c>
      <c r="C158" s="359"/>
      <c r="D158" s="395"/>
      <c r="E158" s="549"/>
      <c r="F158" s="388"/>
      <c r="H158" s="453"/>
      <c r="I158" s="430"/>
      <c r="J158" s="404"/>
      <c r="K158" s="448"/>
      <c r="L158" s="405"/>
      <c r="M158" s="373"/>
      <c r="N158" s="373"/>
    </row>
    <row r="159" spans="1:17" x14ac:dyDescent="0.2">
      <c r="A159" s="359"/>
      <c r="B159" s="386" t="s">
        <v>464</v>
      </c>
      <c r="C159" s="399" t="s">
        <v>10</v>
      </c>
      <c r="D159" s="395">
        <v>3241892.74</v>
      </c>
      <c r="E159" s="400">
        <v>0.14454</v>
      </c>
      <c r="F159" s="397">
        <f t="shared" ref="F159:F164" si="4">ROUND(D159*E159,2)</f>
        <v>468583.18</v>
      </c>
      <c r="H159" s="401">
        <f t="shared" ref="H159:H164" si="5">H136</f>
        <v>0.1391</v>
      </c>
      <c r="I159" s="430">
        <f t="shared" ref="I159:I164" si="6">ROUND(D159*H159,2)</f>
        <v>450947.28</v>
      </c>
      <c r="J159" s="404"/>
      <c r="K159" s="388">
        <f t="shared" ref="K159:K164" si="7">I159-F159</f>
        <v>-17635.899999999965</v>
      </c>
      <c r="L159" s="583"/>
      <c r="M159" s="373"/>
      <c r="N159" s="373"/>
      <c r="Q159" s="261">
        <f t="shared" ref="Q159:Q164" si="8">H159/E159-1</f>
        <v>-3.7636640376366381E-2</v>
      </c>
    </row>
    <row r="160" spans="1:17" x14ac:dyDescent="0.2">
      <c r="A160" s="359"/>
      <c r="B160" s="386" t="s">
        <v>465</v>
      </c>
      <c r="C160" s="399" t="s">
        <v>10</v>
      </c>
      <c r="D160" s="395">
        <v>3200834</v>
      </c>
      <c r="E160" s="400">
        <v>8.7349999999999997E-2</v>
      </c>
      <c r="F160" s="397">
        <f t="shared" si="4"/>
        <v>279592.84999999998</v>
      </c>
      <c r="H160" s="401">
        <f t="shared" si="5"/>
        <v>8.4059999999999996E-2</v>
      </c>
      <c r="I160" s="430">
        <f t="shared" si="6"/>
        <v>269062.11</v>
      </c>
      <c r="J160" s="404"/>
      <c r="K160" s="388">
        <f t="shared" si="7"/>
        <v>-10530.739999999991</v>
      </c>
      <c r="L160" s="583"/>
      <c r="M160" s="373"/>
      <c r="N160" s="373"/>
      <c r="Q160" s="261">
        <f t="shared" si="8"/>
        <v>-3.7664567830566709E-2</v>
      </c>
    </row>
    <row r="161" spans="1:17" x14ac:dyDescent="0.2">
      <c r="A161" s="359"/>
      <c r="B161" s="386" t="s">
        <v>468</v>
      </c>
      <c r="C161" s="399" t="s">
        <v>10</v>
      </c>
      <c r="D161" s="395">
        <v>6355015.8100000005</v>
      </c>
      <c r="E161" s="400">
        <v>5.5579999999999997E-2</v>
      </c>
      <c r="F161" s="397">
        <f t="shared" si="4"/>
        <v>353211.78</v>
      </c>
      <c r="H161" s="401">
        <f t="shared" si="5"/>
        <v>5.3490000000000003E-2</v>
      </c>
      <c r="I161" s="430">
        <f t="shared" si="6"/>
        <v>339929.8</v>
      </c>
      <c r="J161" s="404"/>
      <c r="K161" s="388">
        <f t="shared" si="7"/>
        <v>-13281.98000000004</v>
      </c>
      <c r="L161" s="583"/>
      <c r="M161" s="373"/>
      <c r="N161" s="373"/>
      <c r="Q161" s="261">
        <f t="shared" si="8"/>
        <v>-3.7603454480028664E-2</v>
      </c>
    </row>
    <row r="162" spans="1:17" x14ac:dyDescent="0.2">
      <c r="A162" s="359"/>
      <c r="B162" s="386" t="s">
        <v>34</v>
      </c>
      <c r="C162" s="399" t="s">
        <v>10</v>
      </c>
      <c r="D162" s="395">
        <v>12008960.810000001</v>
      </c>
      <c r="E162" s="400">
        <v>3.5639999999999998E-2</v>
      </c>
      <c r="F162" s="397">
        <f t="shared" si="4"/>
        <v>427999.36</v>
      </c>
      <c r="H162" s="401">
        <f t="shared" si="5"/>
        <v>3.4299999999999997E-2</v>
      </c>
      <c r="I162" s="430">
        <f t="shared" si="6"/>
        <v>411907.36</v>
      </c>
      <c r="J162" s="404"/>
      <c r="K162" s="388">
        <f t="shared" si="7"/>
        <v>-16092</v>
      </c>
      <c r="L162" s="583"/>
      <c r="M162" s="373"/>
      <c r="N162" s="373"/>
      <c r="Q162" s="261">
        <f t="shared" si="8"/>
        <v>-3.7598204264870927E-2</v>
      </c>
    </row>
    <row r="163" spans="1:17" x14ac:dyDescent="0.2">
      <c r="A163" s="359"/>
      <c r="B163" s="386" t="s">
        <v>382</v>
      </c>
      <c r="C163" s="399" t="s">
        <v>10</v>
      </c>
      <c r="D163" s="395">
        <v>27176210.120000001</v>
      </c>
      <c r="E163" s="400">
        <v>2.564E-2</v>
      </c>
      <c r="F163" s="397">
        <f t="shared" si="4"/>
        <v>696798.03</v>
      </c>
      <c r="H163" s="401">
        <f t="shared" si="5"/>
        <v>2.4680000000000001E-2</v>
      </c>
      <c r="I163" s="430">
        <f t="shared" si="6"/>
        <v>670708.87</v>
      </c>
      <c r="J163" s="404"/>
      <c r="K163" s="388">
        <f t="shared" si="7"/>
        <v>-26089.160000000033</v>
      </c>
      <c r="L163" s="583"/>
      <c r="M163" s="373"/>
      <c r="N163" s="373"/>
      <c r="Q163" s="261">
        <f t="shared" si="8"/>
        <v>-3.7441497659906342E-2</v>
      </c>
    </row>
    <row r="164" spans="1:17" x14ac:dyDescent="0.2">
      <c r="A164" s="359"/>
      <c r="B164" s="386" t="s">
        <v>383</v>
      </c>
      <c r="C164" s="399" t="s">
        <v>10</v>
      </c>
      <c r="D164" s="395">
        <v>47293725.469999999</v>
      </c>
      <c r="E164" s="400">
        <v>1.9769999999999999E-2</v>
      </c>
      <c r="F164" s="397">
        <f t="shared" si="4"/>
        <v>934996.95</v>
      </c>
      <c r="H164" s="401">
        <f t="shared" si="5"/>
        <v>1.9029999999999998E-2</v>
      </c>
      <c r="I164" s="430">
        <f t="shared" si="6"/>
        <v>899999.6</v>
      </c>
      <c r="J164" s="404"/>
      <c r="K164" s="388">
        <f t="shared" si="7"/>
        <v>-34997.349999999977</v>
      </c>
      <c r="L164" s="583"/>
      <c r="M164" s="373"/>
      <c r="N164" s="373"/>
      <c r="Q164" s="261">
        <f t="shared" si="8"/>
        <v>-3.7430450177035945E-2</v>
      </c>
    </row>
    <row r="165" spans="1:17" x14ac:dyDescent="0.2">
      <c r="A165" s="359"/>
      <c r="B165" s="281" t="s">
        <v>429</v>
      </c>
      <c r="C165" s="399"/>
      <c r="D165" s="580">
        <f>SUM(D159:D164)</f>
        <v>99276638.950000003</v>
      </c>
      <c r="E165" s="400"/>
      <c r="F165" s="555">
        <f>SUM(F154:F164)</f>
        <v>3645167.1900000004</v>
      </c>
      <c r="H165" s="453"/>
      <c r="I165" s="555">
        <f>SUM(I154:I164)</f>
        <v>3590033.5100000002</v>
      </c>
      <c r="J165" s="404"/>
      <c r="K165" s="555">
        <f>SUM(K154:K164)</f>
        <v>-55133.679999999993</v>
      </c>
      <c r="L165" s="525">
        <f>K165/F165</f>
        <v>-1.5125144369578281E-2</v>
      </c>
      <c r="M165" s="373"/>
      <c r="N165" s="373"/>
    </row>
    <row r="166" spans="1:17" x14ac:dyDescent="0.2">
      <c r="A166" s="359"/>
      <c r="B166" s="484"/>
      <c r="C166" s="407"/>
      <c r="D166" s="389"/>
      <c r="E166" s="400"/>
      <c r="F166" s="388"/>
      <c r="H166" s="444"/>
      <c r="I166" s="430"/>
      <c r="J166" s="404"/>
      <c r="K166" s="388"/>
      <c r="L166" s="391"/>
      <c r="M166" s="373"/>
      <c r="N166" s="373"/>
    </row>
    <row r="167" spans="1:17" x14ac:dyDescent="0.2">
      <c r="A167" s="359"/>
      <c r="B167" s="472" t="s">
        <v>443</v>
      </c>
      <c r="C167" s="399" t="s">
        <v>10</v>
      </c>
      <c r="D167" s="536">
        <f>D165</f>
        <v>99276638.950000003</v>
      </c>
      <c r="E167" s="400">
        <v>6.9999999999999999E-4</v>
      </c>
      <c r="F167" s="430">
        <f>+E167*D167</f>
        <v>69493.647265000007</v>
      </c>
      <c r="G167" s="537"/>
      <c r="H167" s="437">
        <v>6.9999999999999999E-4</v>
      </c>
      <c r="I167" s="430">
        <f>+H167*D167</f>
        <v>69493.647265000007</v>
      </c>
      <c r="J167" s="404"/>
      <c r="K167" s="388">
        <f>I167-F167</f>
        <v>0</v>
      </c>
      <c r="L167" s="526"/>
      <c r="M167" s="373"/>
      <c r="N167" s="373"/>
    </row>
    <row r="168" spans="1:17" x14ac:dyDescent="0.2">
      <c r="A168" s="359"/>
      <c r="B168" s="386" t="s">
        <v>427</v>
      </c>
      <c r="C168" s="359"/>
      <c r="D168" s="389"/>
      <c r="E168" s="473"/>
      <c r="F168" s="465">
        <f>F167+F165</f>
        <v>3714660.8372650002</v>
      </c>
      <c r="H168" s="444"/>
      <c r="I168" s="465">
        <f>I167+I165</f>
        <v>3659527.157265</v>
      </c>
      <c r="J168" s="404"/>
      <c r="K168" s="465">
        <f>K167+K165</f>
        <v>-55133.679999999993</v>
      </c>
      <c r="L168" s="525">
        <f>K168/F168</f>
        <v>-1.4842184095760776E-2</v>
      </c>
      <c r="M168" s="373"/>
      <c r="N168" s="373"/>
      <c r="O168" s="490"/>
    </row>
    <row r="169" spans="1:17" s="359" customFormat="1" x14ac:dyDescent="0.2">
      <c r="B169" s="421"/>
      <c r="C169" s="539"/>
      <c r="D169" s="540"/>
      <c r="E169" s="557"/>
      <c r="F169" s="427"/>
      <c r="G169" s="540"/>
      <c r="H169" s="542"/>
      <c r="I169" s="551"/>
      <c r="J169" s="543"/>
      <c r="K169" s="428"/>
      <c r="L169" s="566"/>
      <c r="M169" s="373"/>
      <c r="N169" s="373"/>
    </row>
    <row r="170" spans="1:17" s="359" customFormat="1" x14ac:dyDescent="0.2">
      <c r="D170" s="389"/>
      <c r="E170" s="453"/>
      <c r="F170" s="397"/>
      <c r="G170" s="389"/>
      <c r="H170" s="444"/>
      <c r="I170" s="430"/>
      <c r="J170" s="404"/>
      <c r="K170" s="388"/>
      <c r="L170" s="568"/>
      <c r="M170" s="373"/>
      <c r="N170" s="373"/>
    </row>
    <row r="171" spans="1:17" x14ac:dyDescent="0.2">
      <c r="A171" s="359"/>
      <c r="B171" s="432" t="s">
        <v>477</v>
      </c>
      <c r="C171" s="584"/>
      <c r="D171" s="382"/>
      <c r="E171" s="585"/>
      <c r="F171" s="409"/>
      <c r="G171" s="382"/>
      <c r="H171" s="523"/>
      <c r="I171" s="555"/>
      <c r="J171" s="586"/>
      <c r="K171" s="409"/>
      <c r="L171" s="533"/>
      <c r="M171" s="373"/>
      <c r="N171" s="373"/>
    </row>
    <row r="172" spans="1:17" x14ac:dyDescent="0.2">
      <c r="A172" s="359"/>
      <c r="B172" s="439"/>
      <c r="C172" s="390"/>
      <c r="D172" s="389"/>
      <c r="E172" s="453"/>
      <c r="F172" s="397"/>
      <c r="H172" s="444"/>
      <c r="I172" s="544"/>
      <c r="J172" s="545"/>
      <c r="K172" s="397"/>
      <c r="L172" s="552"/>
      <c r="M172" s="373"/>
      <c r="N172" s="373"/>
    </row>
    <row r="173" spans="1:17" x14ac:dyDescent="0.2">
      <c r="A173" s="359"/>
      <c r="B173" s="433" t="s">
        <v>423</v>
      </c>
      <c r="C173" s="478" t="s">
        <v>22</v>
      </c>
      <c r="D173" s="403">
        <f>D154+D130</f>
        <v>188.8206975944785</v>
      </c>
      <c r="E173" s="436"/>
      <c r="F173" s="397">
        <f>F154+F130</f>
        <v>154204.72</v>
      </c>
      <c r="H173" s="436"/>
      <c r="I173" s="397">
        <f>I154+I130</f>
        <v>148400.68</v>
      </c>
      <c r="J173" s="545"/>
      <c r="K173" s="544">
        <f>I173-F173</f>
        <v>-5804.0400000000081</v>
      </c>
      <c r="L173" s="587"/>
      <c r="M173" s="373"/>
      <c r="N173" s="373"/>
    </row>
    <row r="174" spans="1:17" x14ac:dyDescent="0.2">
      <c r="A174" s="359"/>
      <c r="B174" s="435" t="s">
        <v>395</v>
      </c>
      <c r="C174" s="460" t="s">
        <v>29</v>
      </c>
      <c r="D174" s="403">
        <f>D155+D131</f>
        <v>295626.66599999997</v>
      </c>
      <c r="E174" s="436"/>
      <c r="F174" s="397">
        <f>F155+F131</f>
        <v>339970.67</v>
      </c>
      <c r="H174" s="436"/>
      <c r="I174" s="397">
        <f>I155+I131</f>
        <v>407964.8</v>
      </c>
      <c r="J174" s="545"/>
      <c r="K174" s="544">
        <f>I174-F174</f>
        <v>67994.13</v>
      </c>
      <c r="L174" s="587"/>
      <c r="M174" s="373"/>
      <c r="N174" s="373"/>
    </row>
    <row r="175" spans="1:17" x14ac:dyDescent="0.2">
      <c r="A175" s="359"/>
      <c r="B175" s="439" t="s">
        <v>441</v>
      </c>
      <c r="C175" s="460"/>
      <c r="D175" s="482"/>
      <c r="E175" s="436"/>
      <c r="F175" s="397">
        <f>F132</f>
        <v>125648.35</v>
      </c>
      <c r="H175" s="436"/>
      <c r="I175" s="397">
        <f>I132</f>
        <v>138469.6</v>
      </c>
      <c r="J175" s="545"/>
      <c r="K175" s="544">
        <f>I175-F175</f>
        <v>12821.25</v>
      </c>
      <c r="L175" s="587"/>
      <c r="M175" s="373"/>
      <c r="N175" s="373"/>
    </row>
    <row r="176" spans="1:17" x14ac:dyDescent="0.2">
      <c r="A176" s="359"/>
      <c r="B176" s="435" t="s">
        <v>463</v>
      </c>
      <c r="C176" s="460"/>
      <c r="D176" s="482"/>
      <c r="E176" s="436"/>
      <c r="F176" s="554">
        <f>F156+F133</f>
        <v>107821.52</v>
      </c>
      <c r="H176" s="444"/>
      <c r="I176" s="554">
        <f>I156+I133</f>
        <v>107821.52</v>
      </c>
      <c r="J176" s="545"/>
      <c r="K176" s="544">
        <f>I176-F176</f>
        <v>0</v>
      </c>
      <c r="L176" s="587"/>
      <c r="M176" s="373"/>
      <c r="N176" s="373"/>
    </row>
    <row r="177" spans="1:16" x14ac:dyDescent="0.2">
      <c r="A177" s="359"/>
      <c r="B177" s="435"/>
      <c r="C177" s="390"/>
      <c r="D177" s="389"/>
      <c r="E177" s="444"/>
      <c r="F177" s="588"/>
      <c r="H177" s="401"/>
      <c r="I177" s="588"/>
      <c r="J177" s="545"/>
      <c r="K177" s="544"/>
      <c r="L177" s="587"/>
      <c r="M177" s="373"/>
      <c r="N177" s="373"/>
    </row>
    <row r="178" spans="1:16" ht="12" customHeight="1" x14ac:dyDescent="0.2">
      <c r="A178" s="359"/>
      <c r="B178" s="435" t="s">
        <v>448</v>
      </c>
      <c r="C178" s="390"/>
      <c r="D178" s="389"/>
      <c r="E178" s="444"/>
      <c r="F178" s="397"/>
      <c r="H178" s="453"/>
      <c r="I178" s="397"/>
      <c r="J178" s="545"/>
      <c r="K178" s="544"/>
      <c r="L178" s="587"/>
      <c r="M178" s="373"/>
      <c r="N178" s="373"/>
    </row>
    <row r="179" spans="1:16" x14ac:dyDescent="0.2">
      <c r="A179" s="359"/>
      <c r="B179" s="439" t="s">
        <v>464</v>
      </c>
      <c r="C179" s="460" t="s">
        <v>10</v>
      </c>
      <c r="D179" s="403">
        <f t="shared" ref="D179:D184" si="9">D159+D136</f>
        <v>4709836.6500000004</v>
      </c>
      <c r="E179" s="437"/>
      <c r="F179" s="397">
        <f t="shared" ref="F179:F184" si="10">F159+F136</f>
        <v>680759.79</v>
      </c>
      <c r="H179" s="437"/>
      <c r="I179" s="397">
        <f t="shared" ref="I179:I184" si="11">I159+I136</f>
        <v>655138.28</v>
      </c>
      <c r="J179" s="545"/>
      <c r="K179" s="544">
        <f t="shared" ref="K179:K184" si="12">I179-F179</f>
        <v>-25621.510000000009</v>
      </c>
      <c r="L179" s="587"/>
      <c r="M179" s="373"/>
      <c r="N179" s="373"/>
    </row>
    <row r="180" spans="1:16" x14ac:dyDescent="0.2">
      <c r="A180" s="359"/>
      <c r="B180" s="439" t="s">
        <v>465</v>
      </c>
      <c r="C180" s="460" t="s">
        <v>10</v>
      </c>
      <c r="D180" s="403">
        <f t="shared" si="9"/>
        <v>4645519</v>
      </c>
      <c r="E180" s="437"/>
      <c r="F180" s="397">
        <f t="shared" si="10"/>
        <v>405786.07999999996</v>
      </c>
      <c r="H180" s="437"/>
      <c r="I180" s="397">
        <f t="shared" si="11"/>
        <v>390502.32999999996</v>
      </c>
      <c r="J180" s="545"/>
      <c r="K180" s="544">
        <f t="shared" si="12"/>
        <v>-15283.75</v>
      </c>
      <c r="L180" s="587"/>
      <c r="M180" s="373"/>
      <c r="N180" s="373"/>
    </row>
    <row r="181" spans="1:16" x14ac:dyDescent="0.2">
      <c r="A181" s="359"/>
      <c r="B181" s="439" t="s">
        <v>468</v>
      </c>
      <c r="C181" s="460" t="s">
        <v>10</v>
      </c>
      <c r="D181" s="403">
        <f t="shared" si="9"/>
        <v>8965944.341</v>
      </c>
      <c r="E181" s="437"/>
      <c r="F181" s="397">
        <f t="shared" si="10"/>
        <v>498327.19000000006</v>
      </c>
      <c r="H181" s="437"/>
      <c r="I181" s="397">
        <f t="shared" si="11"/>
        <v>479588.37</v>
      </c>
      <c r="J181" s="545"/>
      <c r="K181" s="544">
        <f t="shared" si="12"/>
        <v>-18738.820000000065</v>
      </c>
      <c r="L181" s="552"/>
      <c r="M181" s="373"/>
      <c r="N181" s="373"/>
    </row>
    <row r="182" spans="1:16" x14ac:dyDescent="0.2">
      <c r="A182" s="359"/>
      <c r="B182" s="439" t="s">
        <v>34</v>
      </c>
      <c r="C182" s="460" t="s">
        <v>10</v>
      </c>
      <c r="D182" s="403">
        <f t="shared" si="9"/>
        <v>15157600.265000001</v>
      </c>
      <c r="E182" s="437"/>
      <c r="F182" s="397">
        <f t="shared" si="10"/>
        <v>540216.87</v>
      </c>
      <c r="H182" s="437"/>
      <c r="I182" s="397">
        <f t="shared" si="11"/>
        <v>519905.69</v>
      </c>
      <c r="J182" s="545"/>
      <c r="K182" s="544">
        <f t="shared" si="12"/>
        <v>-20311.179999999993</v>
      </c>
      <c r="L182" s="552"/>
      <c r="M182" s="373"/>
      <c r="N182" s="373"/>
    </row>
    <row r="183" spans="1:16" x14ac:dyDescent="0.2">
      <c r="A183" s="359"/>
      <c r="B183" s="439" t="s">
        <v>382</v>
      </c>
      <c r="C183" s="460" t="s">
        <v>10</v>
      </c>
      <c r="D183" s="403">
        <f t="shared" si="9"/>
        <v>31132960.702</v>
      </c>
      <c r="E183" s="437"/>
      <c r="F183" s="397">
        <f t="shared" si="10"/>
        <v>798249.11</v>
      </c>
      <c r="H183" s="437"/>
      <c r="I183" s="397">
        <f t="shared" si="11"/>
        <v>768361.47</v>
      </c>
      <c r="J183" s="545"/>
      <c r="K183" s="544">
        <f t="shared" si="12"/>
        <v>-29887.640000000014</v>
      </c>
      <c r="L183" s="552"/>
      <c r="M183" s="373"/>
      <c r="N183" s="373"/>
    </row>
    <row r="184" spans="1:16" x14ac:dyDescent="0.2">
      <c r="A184" s="359"/>
      <c r="B184" s="439" t="s">
        <v>383</v>
      </c>
      <c r="C184" s="460" t="s">
        <v>10</v>
      </c>
      <c r="D184" s="403">
        <f t="shared" si="9"/>
        <v>57976159.280000001</v>
      </c>
      <c r="E184" s="437"/>
      <c r="F184" s="397">
        <f t="shared" si="10"/>
        <v>1146188.67</v>
      </c>
      <c r="H184" s="437"/>
      <c r="I184" s="397">
        <f t="shared" si="11"/>
        <v>1103286.32</v>
      </c>
      <c r="J184" s="545"/>
      <c r="K184" s="544">
        <f t="shared" si="12"/>
        <v>-42902.34999999986</v>
      </c>
      <c r="L184" s="552"/>
      <c r="M184" s="373"/>
      <c r="N184" s="373"/>
    </row>
    <row r="185" spans="1:16" x14ac:dyDescent="0.2">
      <c r="A185" s="359"/>
      <c r="B185" s="281" t="s">
        <v>429</v>
      </c>
      <c r="C185" s="460" t="s">
        <v>10</v>
      </c>
      <c r="D185" s="580">
        <f>SUM(D179:D184)</f>
        <v>122588020.23800001</v>
      </c>
      <c r="E185" s="453"/>
      <c r="F185" s="409">
        <f>SUM(F173:F184)</f>
        <v>4797172.97</v>
      </c>
      <c r="H185" s="444"/>
      <c r="I185" s="409">
        <f>SUM(I173:I184)</f>
        <v>4719439.0600000005</v>
      </c>
      <c r="J185" s="545"/>
      <c r="K185" s="409">
        <f>SUM(K173:K184)</f>
        <v>-77733.909999999945</v>
      </c>
      <c r="L185" s="533">
        <f>K185/F185</f>
        <v>-1.6204108229184812E-2</v>
      </c>
      <c r="M185" s="373"/>
      <c r="N185" s="373"/>
      <c r="P185" s="581"/>
    </row>
    <row r="186" spans="1:16" x14ac:dyDescent="0.2">
      <c r="A186" s="359"/>
      <c r="B186" s="393"/>
      <c r="C186" s="394"/>
      <c r="D186" s="389"/>
      <c r="E186" s="453"/>
      <c r="F186" s="397"/>
      <c r="H186" s="444"/>
      <c r="I186" s="544"/>
      <c r="J186" s="545"/>
      <c r="K186" s="397"/>
      <c r="L186" s="457"/>
      <c r="M186" s="373"/>
      <c r="N186" s="373"/>
    </row>
    <row r="187" spans="1:16" x14ac:dyDescent="0.2">
      <c r="A187" s="359"/>
      <c r="B187" s="298" t="s">
        <v>426</v>
      </c>
      <c r="C187" s="394"/>
      <c r="D187" s="389"/>
      <c r="E187" s="453"/>
      <c r="F187" s="397"/>
      <c r="H187" s="444"/>
      <c r="I187" s="544"/>
      <c r="J187" s="545"/>
      <c r="K187" s="397"/>
      <c r="L187" s="457"/>
      <c r="M187" s="373"/>
      <c r="N187" s="373"/>
    </row>
    <row r="188" spans="1:16" x14ac:dyDescent="0.2">
      <c r="A188" s="359"/>
      <c r="B188" s="435" t="s">
        <v>451</v>
      </c>
      <c r="C188" s="394"/>
      <c r="D188" s="389"/>
      <c r="E188" s="453"/>
      <c r="F188" s="397">
        <f>F145</f>
        <v>8049653.0725592794</v>
      </c>
      <c r="H188" s="444"/>
      <c r="I188" s="397">
        <f>I145</f>
        <v>9099830.7995836791</v>
      </c>
      <c r="J188" s="545"/>
      <c r="K188" s="544">
        <f>I188-F188</f>
        <v>1050177.7270243997</v>
      </c>
      <c r="L188" s="457"/>
      <c r="M188" s="373"/>
      <c r="N188" s="373"/>
    </row>
    <row r="189" spans="1:16" x14ac:dyDescent="0.2">
      <c r="A189" s="359"/>
      <c r="B189" s="435" t="s">
        <v>395</v>
      </c>
      <c r="C189" s="394"/>
      <c r="D189" s="389"/>
      <c r="E189" s="453"/>
      <c r="F189" s="397">
        <f>F146</f>
        <v>0</v>
      </c>
      <c r="H189" s="444"/>
      <c r="I189" s="397">
        <f>I146</f>
        <v>0</v>
      </c>
      <c r="J189" s="545"/>
      <c r="K189" s="544">
        <f>I189-F189</f>
        <v>0</v>
      </c>
      <c r="L189" s="457"/>
      <c r="M189" s="373"/>
      <c r="N189" s="373"/>
    </row>
    <row r="190" spans="1:16" x14ac:dyDescent="0.2">
      <c r="A190" s="359"/>
      <c r="B190" s="435" t="s">
        <v>443</v>
      </c>
      <c r="C190" s="460" t="s">
        <v>10</v>
      </c>
      <c r="D190" s="403">
        <f>D167</f>
        <v>99276638.950000003</v>
      </c>
      <c r="E190" s="437"/>
      <c r="F190" s="544">
        <f>F167</f>
        <v>69493.647265000007</v>
      </c>
      <c r="G190" s="537"/>
      <c r="H190" s="437"/>
      <c r="I190" s="544">
        <f>I167</f>
        <v>69493.647265000007</v>
      </c>
      <c r="J190" s="545"/>
      <c r="K190" s="544">
        <f>I190-F190</f>
        <v>0</v>
      </c>
      <c r="L190" s="552"/>
      <c r="M190" s="373"/>
      <c r="N190" s="373"/>
    </row>
    <row r="191" spans="1:16" x14ac:dyDescent="0.2">
      <c r="A191" s="359"/>
      <c r="B191" s="472" t="s">
        <v>452</v>
      </c>
      <c r="C191" s="460"/>
      <c r="D191" s="537"/>
      <c r="E191" s="437"/>
      <c r="F191" s="555">
        <f>SUM(F188:F190)</f>
        <v>8119146.7198242797</v>
      </c>
      <c r="G191" s="537"/>
      <c r="H191" s="437"/>
      <c r="I191" s="555">
        <f>SUM(I188:I190)</f>
        <v>9169324.4468486793</v>
      </c>
      <c r="J191" s="555"/>
      <c r="K191" s="555">
        <f>SUM(K188:K190)</f>
        <v>1050177.7270243997</v>
      </c>
      <c r="L191" s="533">
        <f>K191/F191</f>
        <v>0.12934582453845941</v>
      </c>
      <c r="M191" s="373"/>
      <c r="N191" s="373"/>
    </row>
    <row r="192" spans="1:16" x14ac:dyDescent="0.2">
      <c r="A192" s="359"/>
      <c r="B192" s="393"/>
      <c r="C192" s="460"/>
      <c r="D192" s="537"/>
      <c r="E192" s="437"/>
      <c r="F192" s="544"/>
      <c r="G192" s="537"/>
      <c r="H192" s="437"/>
      <c r="I192" s="544"/>
      <c r="J192" s="545"/>
      <c r="K192" s="397"/>
      <c r="L192" s="552"/>
      <c r="M192" s="373"/>
      <c r="N192" s="373"/>
    </row>
    <row r="193" spans="1:15" x14ac:dyDescent="0.2">
      <c r="A193" s="359"/>
      <c r="B193" s="433" t="s">
        <v>427</v>
      </c>
      <c r="C193" s="394"/>
      <c r="D193" s="397"/>
      <c r="E193" s="444"/>
      <c r="F193" s="409">
        <f>F185+F191</f>
        <v>12916319.689824279</v>
      </c>
      <c r="G193" s="390"/>
      <c r="H193" s="444"/>
      <c r="I193" s="409">
        <f>I185+I191</f>
        <v>13888763.50684868</v>
      </c>
      <c r="J193" s="444"/>
      <c r="K193" s="409">
        <f>K185+K191</f>
        <v>972443.81702439976</v>
      </c>
      <c r="L193" s="589">
        <f>ROUND(K193/F193,5)</f>
        <v>7.5289999999999996E-2</v>
      </c>
      <c r="M193" s="373"/>
      <c r="N193" s="373"/>
    </row>
    <row r="194" spans="1:15" x14ac:dyDescent="0.2">
      <c r="A194" s="359"/>
      <c r="B194" s="421"/>
      <c r="C194" s="539"/>
      <c r="D194" s="540"/>
      <c r="E194" s="590"/>
      <c r="F194" s="551"/>
      <c r="G194" s="540"/>
      <c r="H194" s="542"/>
      <c r="I194" s="558"/>
      <c r="J194" s="543"/>
      <c r="K194" s="428"/>
      <c r="L194" s="429"/>
      <c r="M194" s="373"/>
      <c r="N194" s="373"/>
    </row>
    <row r="195" spans="1:15" x14ac:dyDescent="0.2">
      <c r="A195" s="359"/>
      <c r="B195" s="359"/>
      <c r="C195" s="359"/>
      <c r="D195" s="389"/>
      <c r="E195" s="453"/>
      <c r="F195" s="397"/>
      <c r="H195" s="444"/>
      <c r="I195" s="430"/>
      <c r="J195" s="404"/>
      <c r="K195" s="388"/>
      <c r="L195" s="568"/>
      <c r="M195" s="373"/>
      <c r="N195" s="373"/>
    </row>
    <row r="196" spans="1:15" x14ac:dyDescent="0.2">
      <c r="B196" s="493" t="s">
        <v>478</v>
      </c>
      <c r="C196" s="359"/>
      <c r="D196" s="389"/>
      <c r="E196" s="415"/>
      <c r="F196" s="473"/>
      <c r="H196" s="453"/>
      <c r="I196" s="473"/>
      <c r="J196" s="473"/>
      <c r="K196" s="473"/>
      <c r="L196" s="358"/>
      <c r="M196" s="373"/>
      <c r="N196" s="373"/>
      <c r="O196" s="410"/>
    </row>
    <row r="197" spans="1:15" x14ac:dyDescent="0.2">
      <c r="C197" s="359"/>
      <c r="D197" s="334" t="s">
        <v>10</v>
      </c>
      <c r="E197" s="415"/>
      <c r="F197" s="497" t="s">
        <v>410</v>
      </c>
      <c r="G197" s="491"/>
      <c r="H197" s="450"/>
      <c r="I197" s="497" t="s">
        <v>411</v>
      </c>
      <c r="J197" s="490"/>
      <c r="K197" s="497" t="s">
        <v>281</v>
      </c>
      <c r="L197" s="358"/>
      <c r="M197" s="373"/>
      <c r="N197" s="373"/>
      <c r="O197" s="410"/>
    </row>
    <row r="198" spans="1:15" x14ac:dyDescent="0.2">
      <c r="B198" s="212" t="s">
        <v>456</v>
      </c>
      <c r="C198" s="359"/>
      <c r="D198" s="403"/>
      <c r="E198" s="415"/>
      <c r="F198" s="591"/>
      <c r="G198" s="592"/>
      <c r="H198" s="592"/>
      <c r="I198" s="591"/>
      <c r="J198" s="591"/>
      <c r="K198" s="591"/>
      <c r="L198" s="358"/>
      <c r="M198" s="373"/>
      <c r="N198" s="373"/>
      <c r="O198" s="410"/>
    </row>
    <row r="199" spans="1:15" x14ac:dyDescent="0.2">
      <c r="B199" s="502" t="s">
        <v>479</v>
      </c>
      <c r="C199" s="359"/>
      <c r="D199" s="387"/>
      <c r="E199" s="415"/>
      <c r="F199" s="591">
        <f>F26+F45</f>
        <v>6308966.9343335107</v>
      </c>
      <c r="G199" s="592"/>
      <c r="H199" s="592"/>
      <c r="I199" s="591">
        <f>I26+I45</f>
        <v>6897204.7137999898</v>
      </c>
      <c r="J199" s="591"/>
      <c r="K199" s="591">
        <f>I199-F199</f>
        <v>588237.77946647909</v>
      </c>
      <c r="L199" s="358"/>
      <c r="M199" s="373"/>
      <c r="N199" s="373"/>
      <c r="O199" s="410"/>
    </row>
    <row r="200" spans="1:15" x14ac:dyDescent="0.2">
      <c r="B200" s="502" t="s">
        <v>480</v>
      </c>
      <c r="C200" s="359"/>
      <c r="D200" s="387"/>
      <c r="E200" s="415"/>
      <c r="F200" s="591">
        <f>F86+F102</f>
        <v>3540583.3753221999</v>
      </c>
      <c r="G200" s="592"/>
      <c r="H200" s="592"/>
      <c r="I200" s="591">
        <f>I86+I102</f>
        <v>3985765.7997426996</v>
      </c>
      <c r="J200" s="591"/>
      <c r="K200" s="591">
        <f>I200-F200</f>
        <v>445182.42442049971</v>
      </c>
      <c r="L200" s="358"/>
      <c r="M200" s="373"/>
      <c r="N200" s="373"/>
      <c r="O200" s="410"/>
    </row>
    <row r="201" spans="1:15" x14ac:dyDescent="0.2">
      <c r="B201" s="502" t="s">
        <v>481</v>
      </c>
      <c r="C201" s="359"/>
      <c r="D201" s="387"/>
      <c r="E201" s="415"/>
      <c r="F201" s="591">
        <f>F147+F167</f>
        <v>8119146.7198242797</v>
      </c>
      <c r="G201" s="592"/>
      <c r="H201" s="592"/>
      <c r="I201" s="591">
        <f>I147+I167</f>
        <v>9169324.4468486793</v>
      </c>
      <c r="J201" s="591"/>
      <c r="K201" s="591">
        <f>I201-F201</f>
        <v>1050177.7270243997</v>
      </c>
      <c r="L201" s="358"/>
      <c r="M201" s="373"/>
      <c r="N201" s="373"/>
      <c r="O201" s="410"/>
    </row>
    <row r="202" spans="1:15" x14ac:dyDescent="0.2">
      <c r="B202" s="502" t="s">
        <v>113</v>
      </c>
      <c r="C202" s="359"/>
      <c r="D202" s="387"/>
      <c r="E202" s="415"/>
      <c r="F202" s="593">
        <f>SUM(F199:F201)</f>
        <v>17968697.029479992</v>
      </c>
      <c r="G202" s="592"/>
      <c r="H202" s="592"/>
      <c r="I202" s="593">
        <f>SUM(I199:I201)</f>
        <v>20052294.960391369</v>
      </c>
      <c r="J202" s="591"/>
      <c r="K202" s="593">
        <f>SUM(K199:K201)</f>
        <v>2083597.9309113785</v>
      </c>
      <c r="L202" s="358"/>
      <c r="M202" s="373"/>
      <c r="N202" s="373"/>
      <c r="O202" s="410"/>
    </row>
    <row r="203" spans="1:15" x14ac:dyDescent="0.2">
      <c r="C203" s="359"/>
      <c r="D203" s="387"/>
      <c r="E203" s="415"/>
      <c r="F203" s="591"/>
      <c r="G203" s="592"/>
      <c r="H203" s="592"/>
      <c r="I203" s="591"/>
      <c r="J203" s="591"/>
      <c r="K203" s="591"/>
      <c r="L203" s="358"/>
      <c r="M203" s="373"/>
      <c r="N203" s="373"/>
      <c r="O203" s="410"/>
    </row>
    <row r="204" spans="1:15" x14ac:dyDescent="0.2">
      <c r="B204" s="212" t="s">
        <v>459</v>
      </c>
      <c r="C204" s="359"/>
      <c r="D204" s="387"/>
      <c r="E204" s="415"/>
      <c r="F204" s="591"/>
      <c r="G204" s="592"/>
      <c r="H204" s="592"/>
      <c r="I204" s="591"/>
      <c r="J204" s="591"/>
      <c r="K204" s="591"/>
      <c r="L204" s="358"/>
      <c r="M204" s="373"/>
      <c r="N204" s="373"/>
      <c r="O204" s="410"/>
    </row>
    <row r="205" spans="1:15" x14ac:dyDescent="0.2">
      <c r="B205" s="502" t="s">
        <v>479</v>
      </c>
      <c r="C205" s="359"/>
      <c r="D205" s="387"/>
      <c r="E205" s="415"/>
      <c r="F205" s="591">
        <f>F21+F43</f>
        <v>9170038.8448939808</v>
      </c>
      <c r="G205" s="592"/>
      <c r="H205" s="592"/>
      <c r="I205" s="591">
        <f>I21+I43</f>
        <v>9021134.5600000005</v>
      </c>
      <c r="J205" s="591"/>
      <c r="K205" s="591">
        <f>I205-F205</f>
        <v>-148904.28489398025</v>
      </c>
      <c r="L205" s="358"/>
      <c r="M205" s="373"/>
      <c r="N205" s="373"/>
      <c r="O205" s="410"/>
    </row>
    <row r="206" spans="1:15" x14ac:dyDescent="0.2">
      <c r="B206" s="502" t="s">
        <v>480</v>
      </c>
      <c r="C206" s="359"/>
      <c r="D206" s="387"/>
      <c r="E206" s="415"/>
      <c r="F206" s="591">
        <f>F81+F100</f>
        <v>2222696.94</v>
      </c>
      <c r="G206" s="592"/>
      <c r="H206" s="592"/>
      <c r="I206" s="591">
        <f>I81+I100</f>
        <v>2186532.87</v>
      </c>
      <c r="J206" s="591"/>
      <c r="K206" s="591">
        <f>I206-F206</f>
        <v>-36164.069999999832</v>
      </c>
      <c r="L206" s="358"/>
      <c r="M206" s="373"/>
      <c r="N206" s="373"/>
      <c r="O206" s="410"/>
    </row>
    <row r="207" spans="1:15" x14ac:dyDescent="0.2">
      <c r="B207" s="502" t="s">
        <v>481</v>
      </c>
      <c r="C207" s="359"/>
      <c r="D207" s="387"/>
      <c r="E207" s="415"/>
      <c r="F207" s="591">
        <f>F142+F165</f>
        <v>4797172.9700000007</v>
      </c>
      <c r="G207" s="592"/>
      <c r="H207" s="592"/>
      <c r="I207" s="591">
        <f>I142+I165</f>
        <v>4719439.0600000005</v>
      </c>
      <c r="J207" s="591"/>
      <c r="K207" s="591">
        <f>I207-F207</f>
        <v>-77733.910000000149</v>
      </c>
      <c r="L207" s="358"/>
      <c r="M207" s="373"/>
      <c r="N207" s="373"/>
      <c r="O207" s="410"/>
    </row>
    <row r="208" spans="1:15" x14ac:dyDescent="0.2">
      <c r="B208" s="502" t="s">
        <v>113</v>
      </c>
      <c r="C208" s="359"/>
      <c r="D208" s="387"/>
      <c r="E208" s="415"/>
      <c r="F208" s="593">
        <f>SUM(F205:F207)</f>
        <v>16189908.754893981</v>
      </c>
      <c r="G208" s="592"/>
      <c r="H208" s="592"/>
      <c r="I208" s="593">
        <f>SUM(I205:I207)</f>
        <v>15927106.49</v>
      </c>
      <c r="J208" s="591"/>
      <c r="K208" s="593">
        <f>SUM(K205:K207)</f>
        <v>-262802.26489398023</v>
      </c>
      <c r="L208" s="358"/>
      <c r="M208" s="373"/>
      <c r="N208" s="373"/>
      <c r="O208" s="410"/>
    </row>
    <row r="209" spans="2:15" x14ac:dyDescent="0.2">
      <c r="C209" s="359"/>
      <c r="D209" s="387"/>
      <c r="E209" s="415"/>
      <c r="F209" s="591"/>
      <c r="G209" s="592"/>
      <c r="H209" s="592"/>
      <c r="I209" s="591"/>
      <c r="J209" s="591"/>
      <c r="K209" s="591"/>
      <c r="L209" s="358"/>
      <c r="M209" s="373"/>
      <c r="N209" s="373"/>
      <c r="O209" s="410"/>
    </row>
    <row r="210" spans="2:15" x14ac:dyDescent="0.2">
      <c r="B210" s="493" t="s">
        <v>394</v>
      </c>
      <c r="C210" s="359"/>
      <c r="D210" s="387"/>
      <c r="E210" s="415"/>
      <c r="F210" s="591"/>
      <c r="G210" s="592"/>
      <c r="H210" s="592"/>
      <c r="I210" s="591"/>
      <c r="J210" s="591"/>
      <c r="K210" s="591"/>
      <c r="L210" s="358"/>
      <c r="M210" s="373"/>
      <c r="N210" s="373"/>
      <c r="O210" s="410"/>
    </row>
    <row r="211" spans="2:15" x14ac:dyDescent="0.2">
      <c r="B211" s="502" t="s">
        <v>479</v>
      </c>
      <c r="C211" s="359"/>
      <c r="D211" s="387">
        <f>D60</f>
        <v>96619860.699000001</v>
      </c>
      <c r="E211" s="415"/>
      <c r="F211" s="591">
        <f>F199+F205</f>
        <v>15479005.779227491</v>
      </c>
      <c r="G211" s="592"/>
      <c r="H211" s="592"/>
      <c r="I211" s="591">
        <f>I199+I205</f>
        <v>15918339.273799989</v>
      </c>
      <c r="J211" s="591"/>
      <c r="K211" s="591">
        <f>I211-F211</f>
        <v>439333.4945724979</v>
      </c>
      <c r="L211" s="358"/>
      <c r="M211" s="373"/>
      <c r="N211" s="373"/>
      <c r="O211" s="410"/>
    </row>
    <row r="212" spans="2:15" x14ac:dyDescent="0.2">
      <c r="B212" s="502" t="s">
        <v>480</v>
      </c>
      <c r="C212" s="359"/>
      <c r="D212" s="387">
        <f>D116</f>
        <v>10298663.83</v>
      </c>
      <c r="E212" s="415"/>
      <c r="F212" s="591">
        <f>F200+F206</f>
        <v>5763280.3153221998</v>
      </c>
      <c r="G212" s="592"/>
      <c r="H212" s="592"/>
      <c r="I212" s="591">
        <f>I200+I206</f>
        <v>6172298.6697426997</v>
      </c>
      <c r="J212" s="591"/>
      <c r="K212" s="591">
        <f>I212-F212</f>
        <v>409018.35442049988</v>
      </c>
      <c r="L212" s="358"/>
      <c r="M212" s="373"/>
      <c r="N212" s="373"/>
      <c r="O212" s="410"/>
    </row>
    <row r="213" spans="2:15" x14ac:dyDescent="0.2">
      <c r="B213" s="502" t="s">
        <v>481</v>
      </c>
      <c r="C213" s="359"/>
      <c r="D213" s="387">
        <f>D185</f>
        <v>122588020.23800001</v>
      </c>
      <c r="E213" s="415"/>
      <c r="F213" s="591">
        <f>F201+F207</f>
        <v>12916319.689824279</v>
      </c>
      <c r="G213" s="592"/>
      <c r="H213" s="592"/>
      <c r="I213" s="591">
        <f>I201+I207</f>
        <v>13888763.50684868</v>
      </c>
      <c r="J213" s="591"/>
      <c r="K213" s="591">
        <f>I213-F213</f>
        <v>972443.81702440046</v>
      </c>
      <c r="L213" s="358"/>
      <c r="M213" s="373"/>
      <c r="N213" s="373"/>
      <c r="O213" s="410"/>
    </row>
    <row r="214" spans="2:15" x14ac:dyDescent="0.2">
      <c r="B214" s="502" t="s">
        <v>113</v>
      </c>
      <c r="C214" s="359"/>
      <c r="D214" s="506">
        <f>SUM(D211:D213)</f>
        <v>229506544.76700002</v>
      </c>
      <c r="E214" s="415"/>
      <c r="F214" s="593">
        <f>SUM(F211:F213)</f>
        <v>34158605.784373969</v>
      </c>
      <c r="G214" s="592"/>
      <c r="H214" s="592"/>
      <c r="I214" s="593">
        <f>SUM(I211:I213)</f>
        <v>35979401.450391367</v>
      </c>
      <c r="J214" s="591"/>
      <c r="K214" s="593">
        <f>SUM(K211:K213)</f>
        <v>1820795.6660173982</v>
      </c>
      <c r="L214" s="358"/>
      <c r="M214" s="373"/>
      <c r="N214" s="373"/>
      <c r="O214" s="410"/>
    </row>
    <row r="215" spans="2:15" x14ac:dyDescent="0.2">
      <c r="B215" s="359"/>
      <c r="C215" s="359"/>
      <c r="D215" s="389"/>
      <c r="E215" s="415"/>
      <c r="F215" s="591"/>
      <c r="G215" s="592"/>
      <c r="H215" s="592"/>
      <c r="I215" s="591"/>
      <c r="J215" s="591"/>
      <c r="K215" s="591"/>
      <c r="L215" s="358"/>
      <c r="M215" s="373"/>
      <c r="N215" s="373"/>
      <c r="O215" s="490"/>
    </row>
    <row r="216" spans="2:15" x14ac:dyDescent="0.2">
      <c r="B216" s="493" t="s">
        <v>482</v>
      </c>
      <c r="E216" s="498"/>
      <c r="F216" s="594"/>
      <c r="G216" s="595"/>
      <c r="H216" s="596"/>
      <c r="I216" s="594"/>
      <c r="J216" s="594"/>
      <c r="K216" s="594"/>
      <c r="O216" s="490"/>
    </row>
    <row r="217" spans="2:15" x14ac:dyDescent="0.2">
      <c r="B217" s="598" t="s">
        <v>113</v>
      </c>
      <c r="D217" s="599">
        <f>'Rate Design Res'!D13+'Rate Design Res'!D25+'Rate Design Res'!D39+'Rate Design C&amp;I'!D36+'Rate Design C&amp;I'!D96+'Rate Design Int &amp; Trans'!D60+'Rate Design Int &amp; Trans'!D116+'Rate Design Int &amp; Trans'!D185</f>
        <v>1105327515.5699999</v>
      </c>
      <c r="E217" s="389"/>
      <c r="F217" s="600">
        <f>'Rate Design Res'!F18+'Rate Design Res'!F30+'Rate Design Res'!F43+'Rate Design C&amp;I'!F41+'Rate Design C&amp;I'!F106+'Rate Design Int &amp; Trans'!F68+'Rate Design Int &amp; Trans'!F124+'Rate Design Int &amp; Trans'!F193</f>
        <v>800067297.0762763</v>
      </c>
      <c r="G217" s="592"/>
      <c r="H217" s="596"/>
      <c r="I217" s="600">
        <f>'Rate Design Res'!I18+'Rate Design Res'!I30+'Rate Design Res'!I43+'Rate Design C&amp;I'!I41+'Rate Design C&amp;I'!I106+'Rate Design Int &amp; Trans'!I68+'Rate Design Int &amp; Trans'!I124+'Rate Design Int &amp; Trans'!I193</f>
        <v>794361606.44605815</v>
      </c>
      <c r="J217" s="594"/>
      <c r="K217" s="601">
        <f>I217-F217</f>
        <v>-5705690.6302181482</v>
      </c>
      <c r="L217" s="602">
        <f>K217/F217</f>
        <v>-7.1315133752732091E-3</v>
      </c>
      <c r="O217" s="490"/>
    </row>
    <row r="218" spans="2:15" x14ac:dyDescent="0.2">
      <c r="B218" s="598" t="s">
        <v>483</v>
      </c>
      <c r="D218" s="603">
        <v>37223237.460000001</v>
      </c>
      <c r="E218" s="389"/>
      <c r="F218" s="604">
        <v>1426817.449611546</v>
      </c>
      <c r="G218" s="592"/>
      <c r="H218" s="596"/>
      <c r="I218" s="604">
        <v>1465941.3557558353</v>
      </c>
      <c r="J218" s="594"/>
      <c r="K218" s="601">
        <f>I218-F218</f>
        <v>39123.9061442893</v>
      </c>
      <c r="L218" s="602">
        <f>K218/F218</f>
        <v>2.742040066508919E-2</v>
      </c>
      <c r="O218" s="490"/>
    </row>
    <row r="219" spans="2:15" x14ac:dyDescent="0.2">
      <c r="B219" s="598" t="s">
        <v>484</v>
      </c>
      <c r="E219" s="389"/>
      <c r="F219" s="604">
        <v>6041548.46</v>
      </c>
      <c r="G219" s="592"/>
      <c r="H219" s="596"/>
      <c r="I219" s="604">
        <v>5943249.8600000003</v>
      </c>
      <c r="J219" s="594"/>
      <c r="K219" s="601">
        <f>I219-F219</f>
        <v>-98298.599999999627</v>
      </c>
      <c r="L219" s="602">
        <f>K219/F219</f>
        <v>-1.627043143836665E-2</v>
      </c>
      <c r="O219" s="490"/>
    </row>
    <row r="220" spans="2:15" x14ac:dyDescent="0.2">
      <c r="B220" s="598" t="s">
        <v>485</v>
      </c>
      <c r="D220" s="382">
        <f>SUM(D217:D219)</f>
        <v>1142550753.03</v>
      </c>
      <c r="E220" s="389"/>
      <c r="F220" s="605">
        <f>SUM(F217:F219)</f>
        <v>807535662.98588789</v>
      </c>
      <c r="G220" s="592"/>
      <c r="H220" s="596"/>
      <c r="I220" s="605">
        <f>SUM(I217:I219)</f>
        <v>801770797.66181397</v>
      </c>
      <c r="J220" s="594"/>
      <c r="K220" s="605">
        <f>SUM(K217:K219)</f>
        <v>-5764865.3240738586</v>
      </c>
      <c r="L220" s="602">
        <f>K220/F220</f>
        <v>-7.1388368196125141E-3</v>
      </c>
      <c r="O220" s="490"/>
    </row>
    <row r="221" spans="2:15" x14ac:dyDescent="0.2">
      <c r="B221" s="606"/>
      <c r="C221" s="450"/>
      <c r="D221" s="603"/>
      <c r="E221" s="389"/>
      <c r="F221" s="607"/>
      <c r="G221" s="592"/>
      <c r="H221" s="596"/>
      <c r="I221" s="607"/>
      <c r="J221" s="594"/>
      <c r="K221" s="607"/>
      <c r="L221" s="602"/>
    </row>
    <row r="222" spans="2:15" x14ac:dyDescent="0.2">
      <c r="B222" s="598"/>
      <c r="E222" s="389"/>
      <c r="F222" s="591"/>
      <c r="G222" s="592"/>
      <c r="H222" s="596"/>
      <c r="I222" s="591"/>
      <c r="J222" s="594"/>
      <c r="K222" s="591"/>
    </row>
    <row r="223" spans="2:15" x14ac:dyDescent="0.2">
      <c r="B223" s="502"/>
      <c r="D223" s="608"/>
      <c r="F223" s="591"/>
      <c r="G223" s="592"/>
      <c r="H223" s="596"/>
      <c r="I223" s="591"/>
      <c r="J223" s="594"/>
      <c r="K223" s="591"/>
    </row>
    <row r="224" spans="2:15" x14ac:dyDescent="0.2">
      <c r="D224" s="608"/>
      <c r="F224" s="594"/>
      <c r="G224" s="592"/>
      <c r="H224" s="596"/>
      <c r="I224" s="594"/>
      <c r="J224" s="594"/>
      <c r="K224" s="594"/>
    </row>
    <row r="225" spans="2:4" x14ac:dyDescent="0.2">
      <c r="B225" s="207" t="s">
        <v>438</v>
      </c>
      <c r="D225" s="608"/>
    </row>
    <row r="227" spans="2:4" x14ac:dyDescent="0.2">
      <c r="D227" s="609"/>
    </row>
  </sheetData>
  <mergeCells count="1">
    <mergeCell ref="K7:L7"/>
  </mergeCells>
  <printOptions horizontalCentered="1"/>
  <pageMargins left="0.5" right="0.5" top="1" bottom="0.75" header="0.75" footer="0.5"/>
  <pageSetup scale="73" fitToHeight="2" orientation="landscape" blackAndWhite="1" r:id="rId1"/>
  <headerFooter alignWithMargins="0">
    <oddFooter>&amp;L&amp;F 
&amp;A&amp;C&amp;P&amp;R&amp;D</oddFooter>
  </headerFooter>
  <rowBreaks count="5" manualBreakCount="5">
    <brk id="47" max="16383" man="1"/>
    <brk id="89" min="1" max="16" man="1"/>
    <brk id="126" min="1" max="16" man="1"/>
    <brk id="169" max="16383" man="1"/>
    <brk id="21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workbookViewId="0">
      <selection activeCell="E33" sqref="E33"/>
    </sheetView>
  </sheetViews>
  <sheetFormatPr defaultRowHeight="12.75" x14ac:dyDescent="0.2"/>
  <cols>
    <col min="1" max="1" width="4.42578125" style="450" customWidth="1"/>
    <col min="2" max="2" width="4.42578125" style="450" bestFit="1" customWidth="1"/>
    <col min="3" max="3" width="11" style="450" customWidth="1"/>
    <col min="4" max="4" width="8.7109375" style="450" bestFit="1" customWidth="1"/>
    <col min="5" max="5" width="42.42578125" style="450" bestFit="1" customWidth="1"/>
    <col min="6" max="6" width="8.7109375" style="450" bestFit="1" customWidth="1"/>
    <col min="7" max="7" width="7.7109375" style="450" bestFit="1" customWidth="1"/>
    <col min="8" max="8" width="13.28515625" style="450" bestFit="1" customWidth="1"/>
    <col min="9" max="9" width="9.7109375" style="450" bestFit="1" customWidth="1"/>
    <col min="10" max="10" width="14.42578125" style="450" bestFit="1" customWidth="1"/>
    <col min="11" max="11" width="13.5703125" style="450" customWidth="1"/>
    <col min="12" max="12" width="14.7109375" style="450" customWidth="1"/>
    <col min="13" max="13" width="14" style="450" customWidth="1"/>
    <col min="14" max="14" width="10.28515625" style="390" bestFit="1" customWidth="1"/>
    <col min="15" max="15" width="8.85546875" style="390" bestFit="1" customWidth="1"/>
    <col min="16" max="16" width="14.7109375" style="450" customWidth="1"/>
    <col min="17" max="17" width="15.28515625" style="450" customWidth="1"/>
    <col min="18" max="19" width="14" style="450" customWidth="1"/>
    <col min="20" max="20" width="9.140625" style="450"/>
    <col min="21" max="21" width="14" style="450" customWidth="1"/>
    <col min="22" max="16384" width="9.140625" style="450"/>
  </cols>
  <sheetData>
    <row r="1" spans="1:21" x14ac:dyDescent="0.2">
      <c r="P1" s="390"/>
    </row>
    <row r="2" spans="1:21" x14ac:dyDescent="0.2">
      <c r="B2" s="199" t="s">
        <v>1</v>
      </c>
      <c r="C2" s="346"/>
      <c r="D2" s="346"/>
      <c r="E2" s="346"/>
      <c r="F2" s="346"/>
      <c r="G2" s="346"/>
      <c r="H2" s="346"/>
      <c r="I2" s="346"/>
      <c r="J2" s="346"/>
      <c r="K2" s="346"/>
      <c r="L2" s="346"/>
      <c r="P2" s="390"/>
    </row>
    <row r="3" spans="1:21" x14ac:dyDescent="0.2">
      <c r="B3" s="697" t="s">
        <v>541</v>
      </c>
      <c r="C3" s="346"/>
      <c r="D3" s="346"/>
      <c r="E3" s="346"/>
      <c r="F3" s="346"/>
      <c r="G3" s="346"/>
      <c r="H3" s="346"/>
      <c r="I3" s="346"/>
      <c r="J3" s="346"/>
      <c r="K3" s="346"/>
      <c r="L3" s="346"/>
      <c r="P3" s="390"/>
    </row>
    <row r="4" spans="1:21" x14ac:dyDescent="0.2">
      <c r="B4" s="697" t="s">
        <v>531</v>
      </c>
      <c r="C4" s="346"/>
      <c r="D4" s="346"/>
      <c r="E4" s="346"/>
      <c r="F4" s="346"/>
      <c r="G4" s="346"/>
      <c r="H4" s="346"/>
      <c r="I4" s="346"/>
      <c r="J4" s="346"/>
      <c r="K4" s="346"/>
      <c r="L4" s="346"/>
      <c r="P4" s="390"/>
    </row>
    <row r="5" spans="1:21" x14ac:dyDescent="0.2">
      <c r="B5" s="209" t="s">
        <v>408</v>
      </c>
      <c r="C5" s="346"/>
      <c r="D5" s="346"/>
      <c r="E5" s="346"/>
      <c r="F5" s="346"/>
      <c r="G5" s="346"/>
      <c r="H5" s="346"/>
      <c r="I5" s="346"/>
      <c r="J5" s="346"/>
      <c r="K5" s="346"/>
      <c r="L5" s="346"/>
      <c r="P5" s="390"/>
    </row>
    <row r="6" spans="1:21" s="355" customFormat="1" x14ac:dyDescent="0.2">
      <c r="A6" s="611"/>
      <c r="B6" s="612" t="s">
        <v>486</v>
      </c>
      <c r="C6" s="612"/>
      <c r="D6" s="612"/>
      <c r="E6" s="612"/>
      <c r="F6" s="612"/>
      <c r="G6" s="612"/>
      <c r="H6" s="612"/>
      <c r="I6" s="612"/>
      <c r="J6" s="612"/>
      <c r="K6" s="199"/>
      <c r="L6" s="346"/>
      <c r="M6" s="467"/>
      <c r="N6" s="365"/>
      <c r="O6" s="365"/>
      <c r="P6" s="365"/>
      <c r="Q6" s="467"/>
      <c r="R6" s="467"/>
      <c r="S6" s="467"/>
      <c r="T6" s="467"/>
      <c r="U6" s="467"/>
    </row>
    <row r="7" spans="1:21" s="355" customFormat="1" x14ac:dyDescent="0.2">
      <c r="A7" s="611"/>
      <c r="B7" s="365"/>
      <c r="C7" s="365"/>
      <c r="D7" s="365"/>
      <c r="E7" s="365"/>
      <c r="F7" s="613"/>
      <c r="G7" s="365"/>
      <c r="H7" s="365"/>
      <c r="I7" s="613"/>
      <c r="J7" s="365"/>
      <c r="K7" s="614"/>
      <c r="M7" s="467"/>
      <c r="N7" s="365"/>
      <c r="O7" s="611"/>
      <c r="P7" s="365"/>
      <c r="Q7" s="467"/>
      <c r="R7" s="467"/>
      <c r="S7" s="467"/>
      <c r="T7" s="467"/>
      <c r="U7" s="467"/>
    </row>
    <row r="8" spans="1:21" s="355" customFormat="1" x14ac:dyDescent="0.2">
      <c r="A8" s="611"/>
      <c r="B8" s="365"/>
      <c r="C8" s="365"/>
      <c r="D8" s="365"/>
      <c r="E8" s="365"/>
      <c r="F8" s="613"/>
      <c r="G8" s="365"/>
      <c r="H8" s="365"/>
      <c r="I8" s="365"/>
      <c r="J8" s="365"/>
      <c r="K8" s="614"/>
      <c r="M8" s="467"/>
      <c r="N8" s="365"/>
      <c r="O8" s="365"/>
      <c r="P8" s="365"/>
      <c r="Q8" s="467"/>
      <c r="R8" s="467"/>
      <c r="S8" s="467"/>
      <c r="T8" s="467"/>
      <c r="U8" s="467"/>
    </row>
    <row r="9" spans="1:21" s="355" customFormat="1" x14ac:dyDescent="0.2">
      <c r="B9" s="365"/>
      <c r="C9" s="365"/>
      <c r="D9" s="365"/>
      <c r="E9" s="365"/>
      <c r="F9" s="613"/>
      <c r="G9" s="365"/>
      <c r="H9" s="613" t="s">
        <v>111</v>
      </c>
      <c r="I9" s="365"/>
      <c r="J9" s="613" t="s">
        <v>111</v>
      </c>
      <c r="K9" s="614"/>
      <c r="M9" s="467"/>
      <c r="N9" s="613"/>
      <c r="O9" s="613"/>
      <c r="P9" s="365"/>
      <c r="Q9" s="467"/>
      <c r="R9" s="467"/>
      <c r="S9" s="467"/>
      <c r="T9" s="467"/>
      <c r="U9" s="467"/>
    </row>
    <row r="10" spans="1:21" s="355" customFormat="1" x14ac:dyDescent="0.2">
      <c r="B10" s="365"/>
      <c r="C10" s="365"/>
      <c r="D10" s="613" t="s">
        <v>487</v>
      </c>
      <c r="E10" s="365"/>
      <c r="F10" s="613" t="s">
        <v>488</v>
      </c>
      <c r="G10" s="613" t="s">
        <v>410</v>
      </c>
      <c r="H10" s="613" t="s">
        <v>489</v>
      </c>
      <c r="I10" s="613" t="s">
        <v>411</v>
      </c>
      <c r="J10" s="613" t="s">
        <v>489</v>
      </c>
      <c r="K10" s="614" t="s">
        <v>411</v>
      </c>
      <c r="M10" s="467"/>
      <c r="N10" s="613"/>
      <c r="O10" s="613"/>
      <c r="P10" s="365"/>
      <c r="Q10" s="467"/>
      <c r="R10" s="467"/>
      <c r="S10" s="467"/>
      <c r="T10" s="467"/>
      <c r="U10" s="467"/>
    </row>
    <row r="11" spans="1:21" s="355" customFormat="1" x14ac:dyDescent="0.2">
      <c r="B11" s="370" t="s">
        <v>112</v>
      </c>
      <c r="C11" s="370" t="s">
        <v>4</v>
      </c>
      <c r="D11" s="615" t="s">
        <v>4</v>
      </c>
      <c r="E11" s="615" t="s">
        <v>116</v>
      </c>
      <c r="F11" s="615" t="s">
        <v>490</v>
      </c>
      <c r="G11" s="615" t="s">
        <v>7</v>
      </c>
      <c r="H11" s="615" t="s">
        <v>491</v>
      </c>
      <c r="I11" s="615" t="s">
        <v>7</v>
      </c>
      <c r="J11" s="615" t="s">
        <v>492</v>
      </c>
      <c r="K11" s="615" t="s">
        <v>419</v>
      </c>
      <c r="M11" s="467"/>
      <c r="N11" s="613"/>
      <c r="O11" s="613"/>
      <c r="P11" s="365"/>
      <c r="Q11" s="467"/>
      <c r="R11" s="467"/>
      <c r="S11" s="467"/>
      <c r="T11" s="467"/>
      <c r="U11" s="467"/>
    </row>
    <row r="12" spans="1:21" x14ac:dyDescent="0.2">
      <c r="B12" s="467"/>
      <c r="C12" s="616" t="s">
        <v>173</v>
      </c>
      <c r="D12" s="616" t="s">
        <v>174</v>
      </c>
      <c r="E12" s="616" t="s">
        <v>175</v>
      </c>
      <c r="F12" s="616" t="s">
        <v>176</v>
      </c>
      <c r="G12" s="616" t="s">
        <v>177</v>
      </c>
      <c r="H12" s="616" t="s">
        <v>178</v>
      </c>
      <c r="I12" s="616" t="s">
        <v>179</v>
      </c>
      <c r="J12" s="616" t="s">
        <v>180</v>
      </c>
      <c r="K12" s="616" t="s">
        <v>181</v>
      </c>
      <c r="N12" s="616"/>
      <c r="P12" s="390"/>
    </row>
    <row r="13" spans="1:21" x14ac:dyDescent="0.2">
      <c r="B13" s="467"/>
      <c r="P13" s="390"/>
    </row>
    <row r="14" spans="1:21" ht="12.75" customHeight="1" x14ac:dyDescent="0.2">
      <c r="B14" s="617">
        <v>1</v>
      </c>
      <c r="C14" s="467" t="s">
        <v>493</v>
      </c>
      <c r="D14" s="450" t="s">
        <v>494</v>
      </c>
      <c r="E14" s="450" t="s">
        <v>495</v>
      </c>
      <c r="F14" s="618">
        <v>13837</v>
      </c>
      <c r="G14" s="619">
        <v>7.49</v>
      </c>
      <c r="H14" s="620">
        <f>F14*G14</f>
        <v>103639.13</v>
      </c>
      <c r="I14" s="621">
        <f>ROUND(G14*(1+$L$33),2)</f>
        <v>7.37</v>
      </c>
      <c r="J14" s="620">
        <f>F14*I14</f>
        <v>101978.69</v>
      </c>
      <c r="K14" s="622">
        <f>J14-H14</f>
        <v>-1660.4400000000023</v>
      </c>
      <c r="L14" s="623"/>
      <c r="M14" s="623"/>
      <c r="N14" s="624"/>
      <c r="O14" s="621"/>
      <c r="P14" s="625"/>
      <c r="Q14" s="623"/>
      <c r="R14" s="623"/>
      <c r="S14" s="623"/>
      <c r="U14" s="623"/>
    </row>
    <row r="15" spans="1:21" x14ac:dyDescent="0.2">
      <c r="B15" s="617">
        <f>B14+1</f>
        <v>2</v>
      </c>
      <c r="C15" s="467" t="s">
        <v>493</v>
      </c>
      <c r="D15" s="450" t="s">
        <v>496</v>
      </c>
      <c r="E15" s="450" t="s">
        <v>497</v>
      </c>
      <c r="F15" s="618">
        <v>215861</v>
      </c>
      <c r="G15" s="619">
        <v>12.29</v>
      </c>
      <c r="H15" s="626">
        <f>F15*G15</f>
        <v>2652931.69</v>
      </c>
      <c r="I15" s="621">
        <f t="shared" ref="I15:I30" si="0">ROUND(G15*(1+$L$33),2)</f>
        <v>12.09</v>
      </c>
      <c r="J15" s="626">
        <f>F15*I15</f>
        <v>2609759.4899999998</v>
      </c>
      <c r="K15" s="626">
        <f t="shared" ref="K15:K26" si="1">J15-H15</f>
        <v>-43172.200000000186</v>
      </c>
      <c r="L15" s="623"/>
      <c r="M15" s="623"/>
      <c r="N15" s="624"/>
      <c r="O15" s="621"/>
      <c r="P15" s="625"/>
      <c r="Q15" s="623"/>
      <c r="R15" s="623"/>
      <c r="S15" s="623"/>
      <c r="T15" s="623"/>
      <c r="U15" s="623"/>
    </row>
    <row r="16" spans="1:21" x14ac:dyDescent="0.2">
      <c r="B16" s="617">
        <f t="shared" ref="B16:B31" si="2">B15+1</f>
        <v>3</v>
      </c>
      <c r="C16" s="467" t="s">
        <v>493</v>
      </c>
      <c r="D16" s="450" t="s">
        <v>498</v>
      </c>
      <c r="E16" s="450" t="s">
        <v>499</v>
      </c>
      <c r="F16" s="618">
        <v>40579</v>
      </c>
      <c r="G16" s="619">
        <v>17.43</v>
      </c>
      <c r="H16" s="626">
        <f t="shared" ref="H16:H30" si="3">F16*G16</f>
        <v>707291.97</v>
      </c>
      <c r="I16" s="621">
        <f t="shared" si="0"/>
        <v>17.149999999999999</v>
      </c>
      <c r="J16" s="626">
        <f t="shared" ref="J16:J30" si="4">F16*I16</f>
        <v>695929.85</v>
      </c>
      <c r="K16" s="626">
        <f t="shared" si="1"/>
        <v>-11362.119999999995</v>
      </c>
      <c r="L16" s="623"/>
      <c r="M16" s="623"/>
      <c r="N16" s="624"/>
      <c r="O16" s="621"/>
      <c r="P16" s="625"/>
      <c r="Q16" s="623"/>
      <c r="R16" s="623"/>
      <c r="S16" s="623"/>
      <c r="T16" s="623"/>
      <c r="U16" s="623"/>
    </row>
    <row r="17" spans="2:21" x14ac:dyDescent="0.2">
      <c r="B17" s="617">
        <f t="shared" si="2"/>
        <v>4</v>
      </c>
      <c r="C17" s="467" t="s">
        <v>493</v>
      </c>
      <c r="D17" s="450" t="s">
        <v>500</v>
      </c>
      <c r="E17" s="450" t="s">
        <v>501</v>
      </c>
      <c r="F17" s="618">
        <v>9443</v>
      </c>
      <c r="G17" s="619">
        <v>17.059999999999999</v>
      </c>
      <c r="H17" s="626">
        <f t="shared" si="3"/>
        <v>161097.57999999999</v>
      </c>
      <c r="I17" s="621">
        <f t="shared" si="0"/>
        <v>16.78</v>
      </c>
      <c r="J17" s="626">
        <f>F17*I17</f>
        <v>158453.54</v>
      </c>
      <c r="K17" s="626">
        <f>J17-H17</f>
        <v>-2644.039999999979</v>
      </c>
      <c r="L17" s="623"/>
      <c r="M17" s="623"/>
      <c r="N17" s="624"/>
      <c r="O17" s="621"/>
      <c r="P17" s="625"/>
      <c r="Q17" s="623"/>
      <c r="R17" s="623"/>
      <c r="S17" s="623"/>
      <c r="T17" s="623"/>
      <c r="U17" s="623"/>
    </row>
    <row r="18" spans="2:21" x14ac:dyDescent="0.2">
      <c r="B18" s="617">
        <f t="shared" si="2"/>
        <v>5</v>
      </c>
      <c r="C18" s="467" t="s">
        <v>493</v>
      </c>
      <c r="D18" s="450" t="s">
        <v>502</v>
      </c>
      <c r="E18" s="450" t="s">
        <v>503</v>
      </c>
      <c r="F18" s="618">
        <v>44756</v>
      </c>
      <c r="G18" s="619">
        <v>5.93</v>
      </c>
      <c r="H18" s="626">
        <f t="shared" si="3"/>
        <v>265403.08</v>
      </c>
      <c r="I18" s="621">
        <f t="shared" si="0"/>
        <v>5.83</v>
      </c>
      <c r="J18" s="626">
        <f t="shared" si="4"/>
        <v>260927.48</v>
      </c>
      <c r="K18" s="626">
        <f t="shared" si="1"/>
        <v>-4475.6000000000058</v>
      </c>
      <c r="L18" s="623"/>
      <c r="M18" s="623"/>
      <c r="N18" s="624"/>
      <c r="O18" s="621"/>
      <c r="P18" s="625"/>
      <c r="Q18" s="623"/>
      <c r="R18" s="623"/>
      <c r="S18" s="623"/>
      <c r="T18" s="623"/>
      <c r="U18" s="623"/>
    </row>
    <row r="19" spans="2:21" x14ac:dyDescent="0.2">
      <c r="B19" s="617">
        <f t="shared" si="2"/>
        <v>6</v>
      </c>
      <c r="C19" s="467" t="s">
        <v>493</v>
      </c>
      <c r="D19" s="450" t="s">
        <v>504</v>
      </c>
      <c r="E19" s="450" t="s">
        <v>505</v>
      </c>
      <c r="F19" s="618">
        <v>2577</v>
      </c>
      <c r="G19" s="619">
        <v>10.74</v>
      </c>
      <c r="H19" s="626">
        <f t="shared" si="3"/>
        <v>27676.98</v>
      </c>
      <c r="I19" s="621">
        <f t="shared" si="0"/>
        <v>10.57</v>
      </c>
      <c r="J19" s="626">
        <f t="shared" si="4"/>
        <v>27238.89</v>
      </c>
      <c r="K19" s="626">
        <f t="shared" si="1"/>
        <v>-438.09000000000015</v>
      </c>
      <c r="L19" s="623"/>
      <c r="M19" s="623"/>
      <c r="N19" s="624"/>
      <c r="O19" s="621"/>
      <c r="P19" s="625"/>
      <c r="Q19" s="623"/>
      <c r="R19" s="623"/>
      <c r="S19" s="623"/>
      <c r="T19" s="623"/>
      <c r="U19" s="623"/>
    </row>
    <row r="20" spans="2:21" x14ac:dyDescent="0.2">
      <c r="B20" s="617">
        <f t="shared" si="2"/>
        <v>7</v>
      </c>
      <c r="C20" s="467" t="s">
        <v>506</v>
      </c>
      <c r="D20" s="450" t="s">
        <v>507</v>
      </c>
      <c r="E20" s="450" t="s">
        <v>508</v>
      </c>
      <c r="F20" s="618">
        <v>1528</v>
      </c>
      <c r="G20" s="619">
        <v>15.14</v>
      </c>
      <c r="H20" s="626">
        <f t="shared" si="3"/>
        <v>23133.920000000002</v>
      </c>
      <c r="I20" s="621">
        <f t="shared" si="0"/>
        <v>14.9</v>
      </c>
      <c r="J20" s="626">
        <f t="shared" si="4"/>
        <v>22767.200000000001</v>
      </c>
      <c r="K20" s="626">
        <f t="shared" si="1"/>
        <v>-366.72000000000116</v>
      </c>
      <c r="L20" s="623"/>
      <c r="M20" s="623"/>
      <c r="N20" s="624"/>
      <c r="O20" s="532"/>
      <c r="P20" s="625"/>
      <c r="Q20" s="623"/>
      <c r="R20" s="623"/>
      <c r="S20" s="623"/>
      <c r="T20" s="623"/>
      <c r="U20" s="623"/>
    </row>
    <row r="21" spans="2:21" x14ac:dyDescent="0.2">
      <c r="B21" s="617">
        <f t="shared" si="2"/>
        <v>8</v>
      </c>
      <c r="C21" s="467" t="s">
        <v>506</v>
      </c>
      <c r="D21" s="450" t="s">
        <v>509</v>
      </c>
      <c r="E21" s="450" t="s">
        <v>510</v>
      </c>
      <c r="F21" s="618">
        <v>1127</v>
      </c>
      <c r="G21" s="619">
        <v>19.920000000000002</v>
      </c>
      <c r="H21" s="626">
        <f t="shared" si="3"/>
        <v>22449.84</v>
      </c>
      <c r="I21" s="621">
        <f t="shared" si="0"/>
        <v>19.600000000000001</v>
      </c>
      <c r="J21" s="626">
        <f t="shared" si="4"/>
        <v>22089.200000000001</v>
      </c>
      <c r="K21" s="626">
        <f t="shared" si="1"/>
        <v>-360.63999999999942</v>
      </c>
      <c r="L21" s="623"/>
      <c r="M21" s="623"/>
      <c r="N21" s="624"/>
      <c r="O21" s="627"/>
      <c r="P21" s="625"/>
      <c r="Q21" s="623"/>
      <c r="R21" s="623"/>
      <c r="S21" s="623"/>
      <c r="T21" s="623"/>
      <c r="U21" s="623"/>
    </row>
    <row r="22" spans="2:21" x14ac:dyDescent="0.2">
      <c r="B22" s="617">
        <f t="shared" si="2"/>
        <v>9</v>
      </c>
      <c r="C22" s="467" t="s">
        <v>506</v>
      </c>
      <c r="D22" s="450" t="s">
        <v>511</v>
      </c>
      <c r="E22" s="450" t="s">
        <v>512</v>
      </c>
      <c r="F22" s="618">
        <v>3097</v>
      </c>
      <c r="G22" s="619">
        <v>19.920000000000002</v>
      </c>
      <c r="H22" s="626">
        <f t="shared" si="3"/>
        <v>61692.240000000005</v>
      </c>
      <c r="I22" s="621">
        <f t="shared" si="0"/>
        <v>19.600000000000001</v>
      </c>
      <c r="J22" s="626">
        <f t="shared" si="4"/>
        <v>60701.200000000004</v>
      </c>
      <c r="K22" s="626">
        <f t="shared" si="1"/>
        <v>-991.04000000000087</v>
      </c>
      <c r="L22" s="623"/>
      <c r="M22" s="623"/>
      <c r="N22" s="624"/>
      <c r="O22" s="627"/>
      <c r="P22" s="625"/>
      <c r="Q22" s="623"/>
      <c r="R22" s="623"/>
      <c r="S22" s="623"/>
      <c r="T22" s="623"/>
      <c r="U22" s="623"/>
    </row>
    <row r="23" spans="2:21" x14ac:dyDescent="0.2">
      <c r="B23" s="617">
        <f t="shared" si="2"/>
        <v>10</v>
      </c>
      <c r="C23" s="467" t="s">
        <v>506</v>
      </c>
      <c r="D23" s="450" t="s">
        <v>513</v>
      </c>
      <c r="E23" s="450" t="s">
        <v>514</v>
      </c>
      <c r="F23" s="618">
        <v>169</v>
      </c>
      <c r="G23" s="619">
        <v>31.46</v>
      </c>
      <c r="H23" s="626">
        <f t="shared" si="3"/>
        <v>5316.74</v>
      </c>
      <c r="I23" s="621">
        <f t="shared" si="0"/>
        <v>30.95</v>
      </c>
      <c r="J23" s="626">
        <f t="shared" si="4"/>
        <v>5230.55</v>
      </c>
      <c r="K23" s="626">
        <f t="shared" si="1"/>
        <v>-86.1899999999996</v>
      </c>
      <c r="L23" s="623"/>
      <c r="M23" s="623"/>
      <c r="N23" s="624"/>
      <c r="O23" s="627"/>
      <c r="P23" s="625"/>
      <c r="Q23" s="623"/>
      <c r="R23" s="623"/>
      <c r="S23" s="623"/>
      <c r="T23" s="623"/>
      <c r="U23" s="623"/>
    </row>
    <row r="24" spans="2:21" x14ac:dyDescent="0.2">
      <c r="B24" s="617">
        <f t="shared" si="2"/>
        <v>11</v>
      </c>
      <c r="C24" s="467" t="s">
        <v>506</v>
      </c>
      <c r="D24" s="450" t="s">
        <v>515</v>
      </c>
      <c r="E24" s="450" t="s">
        <v>516</v>
      </c>
      <c r="F24" s="618">
        <v>7262</v>
      </c>
      <c r="G24" s="619">
        <v>41.18</v>
      </c>
      <c r="H24" s="626">
        <f t="shared" si="3"/>
        <v>299049.15999999997</v>
      </c>
      <c r="I24" s="621">
        <f t="shared" si="0"/>
        <v>40.51</v>
      </c>
      <c r="J24" s="626">
        <f t="shared" si="4"/>
        <v>294183.62</v>
      </c>
      <c r="K24" s="626">
        <f t="shared" si="1"/>
        <v>-4865.539999999979</v>
      </c>
      <c r="L24" s="623"/>
      <c r="M24" s="623"/>
      <c r="N24" s="624"/>
      <c r="O24" s="627"/>
      <c r="P24" s="625"/>
      <c r="Q24" s="623"/>
      <c r="R24" s="623"/>
      <c r="S24" s="623"/>
      <c r="T24" s="623"/>
      <c r="U24" s="623"/>
    </row>
    <row r="25" spans="2:21" x14ac:dyDescent="0.2">
      <c r="B25" s="617">
        <f t="shared" si="2"/>
        <v>12</v>
      </c>
      <c r="C25" s="467" t="s">
        <v>506</v>
      </c>
      <c r="D25" s="450" t="s">
        <v>517</v>
      </c>
      <c r="E25" s="450" t="s">
        <v>518</v>
      </c>
      <c r="F25" s="618">
        <v>4883</v>
      </c>
      <c r="G25" s="619">
        <v>55.14</v>
      </c>
      <c r="H25" s="626">
        <f t="shared" si="3"/>
        <v>269248.62</v>
      </c>
      <c r="I25" s="621">
        <f t="shared" si="0"/>
        <v>54.25</v>
      </c>
      <c r="J25" s="626">
        <f t="shared" si="4"/>
        <v>264902.75</v>
      </c>
      <c r="K25" s="626">
        <f t="shared" si="1"/>
        <v>-4345.8699999999953</v>
      </c>
      <c r="L25" s="623"/>
      <c r="M25" s="623"/>
      <c r="N25" s="624"/>
      <c r="O25" s="627"/>
      <c r="P25" s="625"/>
      <c r="Q25" s="623"/>
      <c r="R25" s="623"/>
      <c r="S25" s="623"/>
      <c r="T25" s="623"/>
      <c r="U25" s="623"/>
    </row>
    <row r="26" spans="2:21" x14ac:dyDescent="0.2">
      <c r="B26" s="617">
        <f t="shared" si="2"/>
        <v>13</v>
      </c>
      <c r="C26" s="467" t="s">
        <v>506</v>
      </c>
      <c r="D26" s="450" t="s">
        <v>519</v>
      </c>
      <c r="E26" s="450" t="s">
        <v>520</v>
      </c>
      <c r="F26" s="618">
        <v>13877</v>
      </c>
      <c r="G26" s="619">
        <v>64.13</v>
      </c>
      <c r="H26" s="626">
        <f t="shared" si="3"/>
        <v>889932.00999999989</v>
      </c>
      <c r="I26" s="621">
        <f t="shared" si="0"/>
        <v>63.09</v>
      </c>
      <c r="J26" s="626">
        <f t="shared" si="4"/>
        <v>875499.93</v>
      </c>
      <c r="K26" s="626">
        <f t="shared" si="1"/>
        <v>-14432.079999999842</v>
      </c>
      <c r="L26" s="623"/>
      <c r="M26" s="623"/>
      <c r="N26" s="624"/>
      <c r="O26" s="627"/>
      <c r="P26" s="625"/>
      <c r="Q26" s="623"/>
      <c r="R26" s="623"/>
      <c r="S26" s="623"/>
      <c r="T26" s="623"/>
      <c r="U26" s="623"/>
    </row>
    <row r="27" spans="2:21" x14ac:dyDescent="0.2">
      <c r="B27" s="617">
        <f t="shared" si="2"/>
        <v>14</v>
      </c>
      <c r="C27" s="467" t="s">
        <v>521</v>
      </c>
      <c r="D27" s="450" t="s">
        <v>522</v>
      </c>
      <c r="E27" s="450" t="s">
        <v>523</v>
      </c>
      <c r="F27" s="618">
        <v>13829</v>
      </c>
      <c r="G27" s="619">
        <v>10.33</v>
      </c>
      <c r="H27" s="626">
        <f t="shared" si="3"/>
        <v>142853.57</v>
      </c>
      <c r="I27" s="621">
        <f t="shared" si="0"/>
        <v>10.16</v>
      </c>
      <c r="J27" s="626">
        <f t="shared" si="4"/>
        <v>140502.64000000001</v>
      </c>
      <c r="K27" s="626">
        <f>J27-H27</f>
        <v>-2350.929999999993</v>
      </c>
      <c r="L27" s="628" t="s">
        <v>524</v>
      </c>
      <c r="M27" s="623"/>
      <c r="N27" s="624"/>
      <c r="O27" s="621"/>
      <c r="P27" s="625"/>
      <c r="Q27" s="623"/>
      <c r="R27" s="623"/>
      <c r="S27" s="623"/>
      <c r="T27" s="623"/>
      <c r="U27" s="623"/>
    </row>
    <row r="28" spans="2:21" x14ac:dyDescent="0.2">
      <c r="B28" s="617">
        <f t="shared" si="2"/>
        <v>15</v>
      </c>
      <c r="C28" s="467" t="s">
        <v>521</v>
      </c>
      <c r="D28" s="450" t="s">
        <v>525</v>
      </c>
      <c r="E28" s="450" t="s">
        <v>526</v>
      </c>
      <c r="F28" s="618">
        <v>909</v>
      </c>
      <c r="G28" s="619">
        <v>28.17</v>
      </c>
      <c r="H28" s="626">
        <f t="shared" si="3"/>
        <v>25606.530000000002</v>
      </c>
      <c r="I28" s="621">
        <f t="shared" si="0"/>
        <v>27.71</v>
      </c>
      <c r="J28" s="626">
        <f t="shared" si="4"/>
        <v>25188.39</v>
      </c>
      <c r="K28" s="626">
        <f>J28-H28</f>
        <v>-418.14000000000306</v>
      </c>
      <c r="L28" s="629">
        <v>-98098.02769858684</v>
      </c>
      <c r="M28" s="623"/>
      <c r="N28" s="624"/>
      <c r="O28" s="621"/>
      <c r="P28" s="625"/>
      <c r="Q28" s="623"/>
      <c r="R28" s="623"/>
      <c r="S28" s="623"/>
      <c r="T28" s="623"/>
      <c r="U28" s="623"/>
    </row>
    <row r="29" spans="2:21" x14ac:dyDescent="0.2">
      <c r="B29" s="617">
        <f t="shared" si="2"/>
        <v>16</v>
      </c>
      <c r="C29" s="467" t="s">
        <v>521</v>
      </c>
      <c r="D29" s="450" t="s">
        <v>527</v>
      </c>
      <c r="E29" s="450" t="s">
        <v>528</v>
      </c>
      <c r="F29" s="618">
        <v>588</v>
      </c>
      <c r="G29" s="619">
        <v>38.200000000000003</v>
      </c>
      <c r="H29" s="626">
        <f t="shared" si="3"/>
        <v>22461.600000000002</v>
      </c>
      <c r="I29" s="621">
        <f t="shared" si="0"/>
        <v>37.58</v>
      </c>
      <c r="J29" s="626">
        <f t="shared" si="4"/>
        <v>22097.039999999997</v>
      </c>
      <c r="K29" s="626">
        <f>J29-H29</f>
        <v>-364.56000000000495</v>
      </c>
      <c r="L29" s="630" t="s">
        <v>425</v>
      </c>
      <c r="M29" s="623"/>
      <c r="N29" s="624"/>
      <c r="O29" s="621"/>
      <c r="P29" s="625"/>
      <c r="Q29" s="623"/>
      <c r="R29" s="623"/>
      <c r="S29" s="623"/>
      <c r="T29" s="623"/>
      <c r="U29" s="623"/>
    </row>
    <row r="30" spans="2:21" x14ac:dyDescent="0.2">
      <c r="B30" s="617">
        <f t="shared" si="2"/>
        <v>17</v>
      </c>
      <c r="C30" s="467" t="s">
        <v>521</v>
      </c>
      <c r="D30" s="450" t="s">
        <v>529</v>
      </c>
      <c r="E30" s="450" t="s">
        <v>530</v>
      </c>
      <c r="F30" s="618">
        <v>22940</v>
      </c>
      <c r="G30" s="619">
        <v>15.77</v>
      </c>
      <c r="H30" s="626">
        <f t="shared" si="3"/>
        <v>361763.8</v>
      </c>
      <c r="I30" s="621">
        <f t="shared" si="0"/>
        <v>15.51</v>
      </c>
      <c r="J30" s="626">
        <f t="shared" si="4"/>
        <v>355799.4</v>
      </c>
      <c r="K30" s="626">
        <f>J30-H30</f>
        <v>-5964.3999999999651</v>
      </c>
      <c r="L30" s="631">
        <f>K31-L28</f>
        <v>-200.5723014131072</v>
      </c>
      <c r="M30" s="623"/>
      <c r="N30" s="624"/>
      <c r="O30" s="621"/>
      <c r="P30" s="625"/>
      <c r="Q30" s="623"/>
      <c r="R30" s="623"/>
      <c r="S30" s="623"/>
      <c r="T30" s="623"/>
      <c r="U30" s="623"/>
    </row>
    <row r="31" spans="2:21" x14ac:dyDescent="0.2">
      <c r="B31" s="617">
        <f t="shared" si="2"/>
        <v>18</v>
      </c>
      <c r="E31" s="461" t="s">
        <v>113</v>
      </c>
      <c r="F31" s="382">
        <f>SUM(F14:F30)</f>
        <v>397262</v>
      </c>
      <c r="H31" s="632">
        <f>SUM(H14:H30)</f>
        <v>6041548.46</v>
      </c>
      <c r="I31" s="623"/>
      <c r="J31" s="632">
        <f>SUM(J14:J30)</f>
        <v>5943249.8599999994</v>
      </c>
      <c r="K31" s="633">
        <f>SUM(K14:K30)</f>
        <v>-98298.599999999948</v>
      </c>
      <c r="L31" s="634"/>
      <c r="O31" s="635"/>
      <c r="P31" s="634"/>
    </row>
    <row r="32" spans="2:21" s="390" customFormat="1" x14ac:dyDescent="0.2">
      <c r="B32" s="636"/>
      <c r="G32" s="634"/>
      <c r="H32" s="634"/>
      <c r="I32" s="634"/>
      <c r="J32" s="634"/>
      <c r="K32" s="634"/>
    </row>
    <row r="33" spans="2:21" s="390" customFormat="1" x14ac:dyDescent="0.2">
      <c r="B33" s="636"/>
      <c r="C33" s="461"/>
      <c r="D33" s="450"/>
      <c r="E33" s="450"/>
      <c r="F33" s="450"/>
      <c r="G33" s="637"/>
      <c r="H33" s="638"/>
      <c r="I33" s="623"/>
      <c r="J33" s="623"/>
      <c r="K33" s="634"/>
      <c r="L33" s="639">
        <v>-1.6169993745930988E-2</v>
      </c>
      <c r="M33" s="625"/>
      <c r="N33" s="640"/>
      <c r="O33" s="625"/>
      <c r="P33" s="625"/>
      <c r="Q33" s="625"/>
      <c r="R33" s="625"/>
      <c r="S33" s="625"/>
      <c r="U33" s="625"/>
    </row>
    <row r="34" spans="2:21" s="390" customFormat="1" x14ac:dyDescent="0.2">
      <c r="B34" s="636"/>
      <c r="G34" s="637"/>
      <c r="J34" s="365"/>
      <c r="K34" s="641"/>
    </row>
    <row r="35" spans="2:21" x14ac:dyDescent="0.2">
      <c r="B35" s="617"/>
      <c r="G35" s="637"/>
      <c r="O35" s="642"/>
      <c r="P35" s="625"/>
      <c r="Q35" s="623"/>
      <c r="R35" s="623"/>
      <c r="S35" s="623"/>
    </row>
    <row r="36" spans="2:21" x14ac:dyDescent="0.2">
      <c r="B36" s="617"/>
      <c r="G36" s="637"/>
      <c r="P36" s="625"/>
      <c r="Q36" s="623"/>
      <c r="R36" s="623"/>
      <c r="S36" s="623"/>
    </row>
    <row r="37" spans="2:21" x14ac:dyDescent="0.2">
      <c r="B37" s="617"/>
      <c r="G37" s="637"/>
      <c r="J37" s="623"/>
      <c r="K37" s="623"/>
      <c r="O37" s="636"/>
      <c r="P37" s="643"/>
      <c r="Q37" s="643"/>
      <c r="R37" s="644"/>
      <c r="S37" s="644"/>
    </row>
    <row r="38" spans="2:21" x14ac:dyDescent="0.2">
      <c r="B38" s="617"/>
      <c r="G38" s="637"/>
      <c r="P38" s="390"/>
    </row>
    <row r="39" spans="2:21" x14ac:dyDescent="0.2">
      <c r="B39" s="617"/>
    </row>
    <row r="40" spans="2:21" x14ac:dyDescent="0.2">
      <c r="B40" s="617"/>
    </row>
    <row r="41" spans="2:21" x14ac:dyDescent="0.2">
      <c r="B41" s="617"/>
    </row>
    <row r="42" spans="2:21" x14ac:dyDescent="0.2">
      <c r="B42" s="617"/>
    </row>
    <row r="43" spans="2:21" x14ac:dyDescent="0.2">
      <c r="B43" s="617"/>
    </row>
    <row r="44" spans="2:21" x14ac:dyDescent="0.2">
      <c r="B44" s="617"/>
    </row>
    <row r="45" spans="2:21" x14ac:dyDescent="0.2">
      <c r="B45" s="617"/>
    </row>
    <row r="46" spans="2:21" x14ac:dyDescent="0.2">
      <c r="B46" s="617"/>
    </row>
    <row r="47" spans="2:21" x14ac:dyDescent="0.2">
      <c r="B47" s="617"/>
    </row>
    <row r="48" spans="2:21" x14ac:dyDescent="0.2">
      <c r="B48" s="617"/>
    </row>
    <row r="49" spans="2:2" x14ac:dyDescent="0.2">
      <c r="B49" s="617"/>
    </row>
  </sheetData>
  <printOptions horizontalCentered="1"/>
  <pageMargins left="0.51" right="0.67" top="1" bottom="1" header="0.75" footer="0.5"/>
  <pageSetup scale="86" orientation="landscape" blackAndWhite="1" r:id="rId1"/>
  <headerFooter alignWithMargins="0">
    <oddFooter>&amp;L&amp;F 
&amp;A&amp;C&amp;P&amp;R&amp;D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N53" sqref="N53"/>
    </sheetView>
  </sheetViews>
  <sheetFormatPr defaultRowHeight="12.75" x14ac:dyDescent="0.2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335"/>
  <sheetViews>
    <sheetView workbookViewId="0">
      <pane xSplit="3" ySplit="7" topLeftCell="D165" activePane="bottomRight" state="frozen"/>
      <selection activeCell="AX41" sqref="AX41"/>
      <selection pane="topRight" activeCell="AX41" sqref="AX41"/>
      <selection pane="bottomLeft" activeCell="AX41" sqref="AX41"/>
      <selection pane="bottomRight" activeCell="P212" sqref="P212"/>
    </sheetView>
  </sheetViews>
  <sheetFormatPr defaultColWidth="9.140625" defaultRowHeight="12.75" x14ac:dyDescent="0.2"/>
  <cols>
    <col min="1" max="1" width="2.28515625" style="709" customWidth="1"/>
    <col min="2" max="2" width="41.7109375" style="709" customWidth="1"/>
    <col min="3" max="3" width="9.85546875" style="709" bestFit="1" customWidth="1"/>
    <col min="4" max="15" width="12.28515625" style="709" customWidth="1"/>
    <col min="16" max="16" width="14.42578125" style="709" customWidth="1"/>
    <col min="17" max="17" width="12.7109375" style="709" customWidth="1"/>
    <col min="18" max="18" width="10.7109375" style="709" bestFit="1" customWidth="1"/>
    <col min="19" max="16384" width="9.140625" style="709"/>
  </cols>
  <sheetData>
    <row r="1" spans="2:20" x14ac:dyDescent="0.2">
      <c r="B1" s="847" t="s">
        <v>1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7"/>
      <c r="Q1" s="708"/>
    </row>
    <row r="2" spans="2:20" x14ac:dyDescent="0.2">
      <c r="B2" s="847" t="s">
        <v>397</v>
      </c>
      <c r="C2" s="847"/>
      <c r="D2" s="847"/>
      <c r="E2" s="847"/>
      <c r="F2" s="847"/>
      <c r="G2" s="847"/>
      <c r="H2" s="847"/>
      <c r="I2" s="847"/>
      <c r="J2" s="847"/>
      <c r="K2" s="847"/>
      <c r="L2" s="847"/>
      <c r="M2" s="847"/>
      <c r="N2" s="847"/>
      <c r="O2" s="847"/>
      <c r="P2" s="847"/>
      <c r="Q2" s="708"/>
    </row>
    <row r="3" spans="2:20" x14ac:dyDescent="0.2">
      <c r="B3" s="847" t="s">
        <v>271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7"/>
      <c r="Q3" s="708"/>
    </row>
    <row r="4" spans="2:20" x14ac:dyDescent="0.2">
      <c r="B4" s="847" t="s">
        <v>542</v>
      </c>
      <c r="C4" s="847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847"/>
      <c r="O4" s="847"/>
      <c r="P4" s="847"/>
      <c r="Q4" s="708"/>
    </row>
    <row r="5" spans="2:20" x14ac:dyDescent="0.2">
      <c r="B5" s="710"/>
      <c r="C5" s="708"/>
      <c r="D5" s="708"/>
      <c r="E5" s="708"/>
      <c r="F5" s="708"/>
      <c r="G5" s="708"/>
      <c r="H5" s="708"/>
      <c r="I5" s="708"/>
      <c r="J5" s="708"/>
      <c r="K5" s="708"/>
      <c r="L5" s="708"/>
      <c r="M5" s="708"/>
      <c r="N5" s="708"/>
      <c r="O5" s="708"/>
      <c r="P5" s="708"/>
      <c r="Q5" s="708"/>
    </row>
    <row r="6" spans="2:20" x14ac:dyDescent="0.2">
      <c r="B6" s="711" t="s">
        <v>117</v>
      </c>
      <c r="C6" s="711" t="s">
        <v>118</v>
      </c>
      <c r="D6" s="712">
        <v>42917</v>
      </c>
      <c r="E6" s="712">
        <v>42948</v>
      </c>
      <c r="F6" s="712">
        <v>42979</v>
      </c>
      <c r="G6" s="712">
        <v>43009</v>
      </c>
      <c r="H6" s="712">
        <v>43040</v>
      </c>
      <c r="I6" s="712">
        <v>43070</v>
      </c>
      <c r="J6" s="712">
        <v>43101</v>
      </c>
      <c r="K6" s="712">
        <v>43132</v>
      </c>
      <c r="L6" s="712">
        <v>43160</v>
      </c>
      <c r="M6" s="712">
        <v>43191</v>
      </c>
      <c r="N6" s="712">
        <v>43221</v>
      </c>
      <c r="O6" s="712">
        <v>43252</v>
      </c>
      <c r="P6" s="713" t="s">
        <v>113</v>
      </c>
      <c r="Q6" s="714"/>
    </row>
    <row r="7" spans="2:20" x14ac:dyDescent="0.2">
      <c r="B7" s="715" t="s">
        <v>532</v>
      </c>
      <c r="C7" s="716"/>
      <c r="D7" s="717"/>
      <c r="E7" s="717"/>
      <c r="F7" s="717"/>
      <c r="G7" s="717"/>
      <c r="H7" s="717"/>
      <c r="I7" s="717"/>
      <c r="J7" s="717"/>
      <c r="K7" s="717"/>
      <c r="L7" s="717"/>
      <c r="M7" s="717"/>
      <c r="N7" s="717"/>
      <c r="O7" s="717"/>
      <c r="P7" s="717"/>
      <c r="Q7" s="717"/>
    </row>
    <row r="8" spans="2:20" s="718" customFormat="1" x14ac:dyDescent="0.2">
      <c r="B8" s="718" t="s">
        <v>168</v>
      </c>
      <c r="C8" s="719">
        <v>16</v>
      </c>
      <c r="D8" s="720">
        <v>826.07600000000002</v>
      </c>
      <c r="E8" s="720">
        <v>820.92700000000002</v>
      </c>
      <c r="F8" s="720">
        <v>774.51800000000003</v>
      </c>
      <c r="G8" s="720">
        <v>824.08199999999999</v>
      </c>
      <c r="H8" s="720">
        <v>783.54899999999998</v>
      </c>
      <c r="I8" s="720">
        <v>800.10699999999997</v>
      </c>
      <c r="J8" s="720">
        <v>797.62900000000002</v>
      </c>
      <c r="K8" s="720">
        <v>723.62300000000005</v>
      </c>
      <c r="L8" s="720">
        <v>835.85599999999999</v>
      </c>
      <c r="M8" s="720">
        <v>821.65099999999995</v>
      </c>
      <c r="N8" s="720">
        <v>818.67499999999995</v>
      </c>
      <c r="O8" s="720">
        <v>765.35199999999998</v>
      </c>
      <c r="P8" s="721">
        <f>SUM(D8:O8)</f>
        <v>9592.0450000000001</v>
      </c>
      <c r="Q8" s="721"/>
      <c r="S8" s="721"/>
    </row>
    <row r="9" spans="2:20" s="718" customFormat="1" x14ac:dyDescent="0.2">
      <c r="B9" s="718" t="s">
        <v>72</v>
      </c>
      <c r="C9" s="718">
        <v>23</v>
      </c>
      <c r="D9" s="720">
        <v>13443846.632999999</v>
      </c>
      <c r="E9" s="720">
        <v>12736009.979</v>
      </c>
      <c r="F9" s="720">
        <v>19953051.936999999</v>
      </c>
      <c r="G9" s="720">
        <v>46428765.25</v>
      </c>
      <c r="H9" s="720">
        <v>70958837.160999998</v>
      </c>
      <c r="I9" s="720">
        <v>92223262.627000004</v>
      </c>
      <c r="J9" s="720">
        <v>85100009.343999997</v>
      </c>
      <c r="K9" s="720">
        <v>80982698.152999997</v>
      </c>
      <c r="L9" s="720">
        <v>75370532.385000005</v>
      </c>
      <c r="M9" s="720">
        <v>47861731.055</v>
      </c>
      <c r="N9" s="720">
        <v>24077760.546</v>
      </c>
      <c r="O9" s="720">
        <v>17715113.866999999</v>
      </c>
      <c r="P9" s="721">
        <f t="shared" ref="P9:P30" si="0">SUM(D9:O9)</f>
        <v>586851618.93699992</v>
      </c>
      <c r="Q9" s="721"/>
      <c r="R9" s="722"/>
    </row>
    <row r="10" spans="2:20" s="718" customFormat="1" x14ac:dyDescent="0.2">
      <c r="B10" s="718" t="s">
        <v>75</v>
      </c>
      <c r="C10" s="718">
        <v>53</v>
      </c>
      <c r="D10" s="720">
        <v>9.0079999999999991</v>
      </c>
      <c r="E10" s="720">
        <v>9.2899999999999991</v>
      </c>
      <c r="F10" s="720">
        <v>23.614000000000001</v>
      </c>
      <c r="G10" s="720">
        <v>52.81</v>
      </c>
      <c r="H10" s="720">
        <v>67.945999999999998</v>
      </c>
      <c r="I10" s="720">
        <v>68.12700000000001</v>
      </c>
      <c r="J10" s="720">
        <v>56.914999999999999</v>
      </c>
      <c r="K10" s="720">
        <v>7.5629999999999997</v>
      </c>
      <c r="L10" s="720">
        <v>0</v>
      </c>
      <c r="M10" s="720">
        <v>0</v>
      </c>
      <c r="N10" s="720">
        <v>0</v>
      </c>
      <c r="O10" s="720">
        <v>0</v>
      </c>
      <c r="P10" s="721">
        <f t="shared" si="0"/>
        <v>295.27300000000002</v>
      </c>
      <c r="Q10" s="721"/>
      <c r="R10" s="722"/>
    </row>
    <row r="11" spans="2:20" s="718" customFormat="1" x14ac:dyDescent="0.2">
      <c r="B11" s="718" t="s">
        <v>101</v>
      </c>
      <c r="C11" s="718">
        <v>31</v>
      </c>
      <c r="D11" s="720">
        <v>7628079.7920000004</v>
      </c>
      <c r="E11" s="720">
        <v>7453085.6330000004</v>
      </c>
      <c r="F11" s="720">
        <v>9048012.2430000007</v>
      </c>
      <c r="G11" s="720">
        <v>15986076.433</v>
      </c>
      <c r="H11" s="720">
        <v>23305718.149999999</v>
      </c>
      <c r="I11" s="720">
        <v>30383409.791000001</v>
      </c>
      <c r="J11" s="720">
        <v>28408420.164999999</v>
      </c>
      <c r="K11" s="720">
        <v>26930271.664999999</v>
      </c>
      <c r="L11" s="720">
        <v>25549762.872000001</v>
      </c>
      <c r="M11" s="720">
        <v>17553561.793000001</v>
      </c>
      <c r="N11" s="720">
        <v>10844495.560000001</v>
      </c>
      <c r="O11" s="720">
        <v>8894243.5490000006</v>
      </c>
      <c r="P11" s="721">
        <f t="shared" si="0"/>
        <v>211985137.646</v>
      </c>
      <c r="Q11" s="721"/>
    </row>
    <row r="12" spans="2:20" s="718" customFormat="1" x14ac:dyDescent="0.2">
      <c r="B12" s="718" t="s">
        <v>102</v>
      </c>
      <c r="C12" s="718">
        <v>41</v>
      </c>
      <c r="D12" s="720">
        <v>2436691.1039999998</v>
      </c>
      <c r="E12" s="720">
        <v>2305053.4160000002</v>
      </c>
      <c r="F12" s="720">
        <v>2781084.9019999998</v>
      </c>
      <c r="G12" s="720">
        <v>4458896.4029999999</v>
      </c>
      <c r="H12" s="720">
        <v>5661872.9620000003</v>
      </c>
      <c r="I12" s="720">
        <v>6994015.2349999994</v>
      </c>
      <c r="J12" s="720">
        <v>6582985.9359999998</v>
      </c>
      <c r="K12" s="720">
        <v>6376722.0830000006</v>
      </c>
      <c r="L12" s="720">
        <v>6234660.6830000002</v>
      </c>
      <c r="M12" s="720">
        <v>4788918.1710000001</v>
      </c>
      <c r="N12" s="720">
        <v>3300949.523</v>
      </c>
      <c r="O12" s="720">
        <v>1563898.8959999999</v>
      </c>
      <c r="P12" s="721">
        <f t="shared" si="0"/>
        <v>53485749.313999996</v>
      </c>
      <c r="Q12" s="721"/>
      <c r="R12" s="723"/>
    </row>
    <row r="13" spans="2:20" s="718" customFormat="1" x14ac:dyDescent="0.2">
      <c r="B13" s="709" t="s">
        <v>535</v>
      </c>
      <c r="C13" s="719" t="s">
        <v>387</v>
      </c>
      <c r="D13" s="720">
        <v>76.98</v>
      </c>
      <c r="E13" s="720">
        <v>27.25</v>
      </c>
      <c r="F13" s="720">
        <v>218.87</v>
      </c>
      <c r="G13" s="720">
        <v>1982.63</v>
      </c>
      <c r="H13" s="720">
        <v>3323.76</v>
      </c>
      <c r="I13" s="720">
        <v>4410.21</v>
      </c>
      <c r="J13" s="720">
        <v>2530.87</v>
      </c>
      <c r="K13" s="720">
        <v>3905.98</v>
      </c>
      <c r="L13" s="720">
        <v>2821.34</v>
      </c>
      <c r="M13" s="720">
        <v>1980.65</v>
      </c>
      <c r="N13" s="720">
        <v>595.91</v>
      </c>
      <c r="O13" s="720">
        <v>27.44</v>
      </c>
      <c r="P13" s="721">
        <f t="shared" si="0"/>
        <v>21901.89</v>
      </c>
      <c r="Q13" s="721"/>
    </row>
    <row r="14" spans="2:20" s="718" customFormat="1" x14ac:dyDescent="0.2">
      <c r="B14" s="718" t="s">
        <v>103</v>
      </c>
      <c r="C14" s="718">
        <v>85</v>
      </c>
      <c r="D14" s="720">
        <v>718072.78200000001</v>
      </c>
      <c r="E14" s="720">
        <v>664389.50499999989</v>
      </c>
      <c r="F14" s="720">
        <v>792053.55200000003</v>
      </c>
      <c r="G14" s="720">
        <v>1250756.3330000001</v>
      </c>
      <c r="H14" s="720">
        <v>1551311.9750000001</v>
      </c>
      <c r="I14" s="720">
        <v>1866442.2080000001</v>
      </c>
      <c r="J14" s="720">
        <v>1710515.939</v>
      </c>
      <c r="K14" s="720">
        <v>1579736.5380000002</v>
      </c>
      <c r="L14" s="720">
        <v>1642259.1359999999</v>
      </c>
      <c r="M14" s="720">
        <v>1243655.1359999999</v>
      </c>
      <c r="N14" s="720">
        <v>920234.88600000006</v>
      </c>
      <c r="O14" s="720">
        <v>709740.74400000006</v>
      </c>
      <c r="P14" s="721">
        <f t="shared" si="0"/>
        <v>14649168.734000001</v>
      </c>
      <c r="Q14" s="721"/>
      <c r="R14" s="720"/>
      <c r="T14" s="721"/>
    </row>
    <row r="15" spans="2:20" s="718" customFormat="1" x14ac:dyDescent="0.2">
      <c r="B15" s="718" t="s">
        <v>108</v>
      </c>
      <c r="C15" s="718">
        <v>86</v>
      </c>
      <c r="D15" s="720">
        <v>208746.55599999998</v>
      </c>
      <c r="E15" s="720">
        <v>193052.79699999999</v>
      </c>
      <c r="F15" s="720">
        <v>320287.72700000001</v>
      </c>
      <c r="G15" s="720">
        <v>752339.98400000005</v>
      </c>
      <c r="H15" s="720">
        <v>1027027.388</v>
      </c>
      <c r="I15" s="720">
        <v>1282526.0389999999</v>
      </c>
      <c r="J15" s="720">
        <v>1186743.409</v>
      </c>
      <c r="K15" s="720">
        <v>1096745.9580000001</v>
      </c>
      <c r="L15" s="720">
        <v>1108771.162</v>
      </c>
      <c r="M15" s="720">
        <v>838893.72800000012</v>
      </c>
      <c r="N15" s="720">
        <v>477239.02300000004</v>
      </c>
      <c r="O15" s="720">
        <v>307851.304</v>
      </c>
      <c r="P15" s="721">
        <f t="shared" si="0"/>
        <v>8800225.0750000011</v>
      </c>
      <c r="Q15" s="721"/>
      <c r="R15" s="720"/>
      <c r="T15" s="721"/>
    </row>
    <row r="16" spans="2:20" s="718" customFormat="1" x14ac:dyDescent="0.2">
      <c r="B16" s="718" t="s">
        <v>110</v>
      </c>
      <c r="C16" s="718">
        <v>87</v>
      </c>
      <c r="D16" s="720">
        <v>1205163.1340000001</v>
      </c>
      <c r="E16" s="720">
        <v>1191232.98</v>
      </c>
      <c r="F16" s="720">
        <v>1297454.0249999999</v>
      </c>
      <c r="G16" s="720">
        <v>1958326.8969999999</v>
      </c>
      <c r="H16" s="720">
        <v>2341872.3509999998</v>
      </c>
      <c r="I16" s="720">
        <v>2817477.4819999998</v>
      </c>
      <c r="J16" s="720">
        <v>2488073.4070000001</v>
      </c>
      <c r="K16" s="720">
        <v>2506045.7620000001</v>
      </c>
      <c r="L16" s="720">
        <v>2429944.3769999999</v>
      </c>
      <c r="M16" s="720">
        <v>2066250.916</v>
      </c>
      <c r="N16" s="720">
        <v>1485710.202</v>
      </c>
      <c r="O16" s="720">
        <v>1430551.095</v>
      </c>
      <c r="P16" s="721">
        <f t="shared" si="0"/>
        <v>23218102.627999999</v>
      </c>
      <c r="Q16" s="721"/>
      <c r="R16" s="720"/>
      <c r="T16" s="721"/>
    </row>
    <row r="17" spans="2:20" s="718" customFormat="1" x14ac:dyDescent="0.2">
      <c r="B17" s="718" t="s">
        <v>104</v>
      </c>
      <c r="C17" s="718">
        <v>31</v>
      </c>
      <c r="D17" s="720">
        <v>395133.00599999999</v>
      </c>
      <c r="E17" s="720">
        <v>415618.07</v>
      </c>
      <c r="F17" s="720">
        <v>500846.97600000002</v>
      </c>
      <c r="G17" s="720">
        <v>1006993.794</v>
      </c>
      <c r="H17" s="720">
        <v>1528407.077</v>
      </c>
      <c r="I17" s="720">
        <v>2041098.7910000002</v>
      </c>
      <c r="J17" s="720">
        <v>1964791.37</v>
      </c>
      <c r="K17" s="720">
        <v>1882934.0430000001</v>
      </c>
      <c r="L17" s="720">
        <v>1682660.3740000001</v>
      </c>
      <c r="M17" s="720">
        <v>1063918.2120000001</v>
      </c>
      <c r="N17" s="720">
        <v>559791.22699999996</v>
      </c>
      <c r="O17" s="720">
        <v>429753.88400000002</v>
      </c>
      <c r="P17" s="721">
        <f t="shared" si="0"/>
        <v>13471946.823999999</v>
      </c>
      <c r="Q17" s="721"/>
    </row>
    <row r="18" spans="2:20" s="718" customFormat="1" x14ac:dyDescent="0.2">
      <c r="B18" s="718" t="s">
        <v>105</v>
      </c>
      <c r="C18" s="718">
        <v>41</v>
      </c>
      <c r="D18" s="720">
        <v>715686.64599999995</v>
      </c>
      <c r="E18" s="720">
        <v>723322.54399999999</v>
      </c>
      <c r="F18" s="720">
        <v>721587.85899999994</v>
      </c>
      <c r="G18" s="720">
        <v>895018.30300000007</v>
      </c>
      <c r="H18" s="720">
        <v>893863.43400000012</v>
      </c>
      <c r="I18" s="720">
        <v>978320.95299999998</v>
      </c>
      <c r="J18" s="720">
        <v>946435.92099999997</v>
      </c>
      <c r="K18" s="720">
        <v>901078.02300000004</v>
      </c>
      <c r="L18" s="720">
        <v>919254.62699999998</v>
      </c>
      <c r="M18" s="720">
        <v>811446.06</v>
      </c>
      <c r="N18" s="720">
        <v>700117.15899999999</v>
      </c>
      <c r="O18" s="720">
        <v>208689.174</v>
      </c>
      <c r="P18" s="721">
        <f t="shared" si="0"/>
        <v>9414820.7030000016</v>
      </c>
      <c r="Q18" s="721"/>
    </row>
    <row r="19" spans="2:20" s="718" customFormat="1" x14ac:dyDescent="0.2">
      <c r="B19" s="718" t="s">
        <v>106</v>
      </c>
      <c r="C19" s="718">
        <v>85</v>
      </c>
      <c r="D19" s="720">
        <v>118216.663</v>
      </c>
      <c r="E19" s="720">
        <v>108078.61899999999</v>
      </c>
      <c r="F19" s="720">
        <v>117621.26699999999</v>
      </c>
      <c r="G19" s="720">
        <v>132658.54500000001</v>
      </c>
      <c r="H19" s="720">
        <v>150576.024</v>
      </c>
      <c r="I19" s="720">
        <v>162942.16400000002</v>
      </c>
      <c r="J19" s="720">
        <v>152783.32999999999</v>
      </c>
      <c r="K19" s="720">
        <v>144144.49599999998</v>
      </c>
      <c r="L19" s="720">
        <v>145396.611</v>
      </c>
      <c r="M19" s="720">
        <v>149688.77699999997</v>
      </c>
      <c r="N19" s="720">
        <v>126713.5</v>
      </c>
      <c r="O19" s="720">
        <v>112017.696</v>
      </c>
      <c r="P19" s="721">
        <f t="shared" si="0"/>
        <v>1620837.692</v>
      </c>
      <c r="Q19" s="721"/>
      <c r="T19" s="721"/>
    </row>
    <row r="20" spans="2:20" s="718" customFormat="1" x14ac:dyDescent="0.2">
      <c r="B20" s="718" t="s">
        <v>107</v>
      </c>
      <c r="C20" s="718">
        <v>86</v>
      </c>
      <c r="D20" s="720">
        <v>7050.719000000001</v>
      </c>
      <c r="E20" s="720">
        <v>6990.4639999999999</v>
      </c>
      <c r="F20" s="720">
        <v>59473.29</v>
      </c>
      <c r="G20" s="720">
        <v>65278.603999999999</v>
      </c>
      <c r="H20" s="720">
        <v>18252.848999999998</v>
      </c>
      <c r="I20" s="720">
        <v>18496.313999999998</v>
      </c>
      <c r="J20" s="720">
        <v>17702.267</v>
      </c>
      <c r="K20" s="720">
        <v>18723.310999999998</v>
      </c>
      <c r="L20" s="720">
        <v>17030.457000000002</v>
      </c>
      <c r="M20" s="720">
        <v>21970.927</v>
      </c>
      <c r="N20" s="720">
        <v>11131.916000000001</v>
      </c>
      <c r="O20" s="720">
        <v>8571.3490000000002</v>
      </c>
      <c r="P20" s="721">
        <f t="shared" si="0"/>
        <v>270672.46699999995</v>
      </c>
      <c r="Q20" s="721"/>
      <c r="T20" s="721"/>
    </row>
    <row r="21" spans="2:20" s="718" customFormat="1" x14ac:dyDescent="0.2">
      <c r="B21" s="718" t="s">
        <v>264</v>
      </c>
      <c r="C21" s="718">
        <v>87</v>
      </c>
      <c r="D21" s="720">
        <v>0</v>
      </c>
      <c r="E21" s="720">
        <v>0</v>
      </c>
      <c r="F21" s="720">
        <v>0</v>
      </c>
      <c r="G21" s="720">
        <v>0</v>
      </c>
      <c r="H21" s="720">
        <v>0</v>
      </c>
      <c r="I21" s="720">
        <v>0</v>
      </c>
      <c r="J21" s="720">
        <v>0</v>
      </c>
      <c r="K21" s="720">
        <v>0</v>
      </c>
      <c r="L21" s="720">
        <v>0</v>
      </c>
      <c r="M21" s="720">
        <v>0</v>
      </c>
      <c r="N21" s="720">
        <v>0</v>
      </c>
      <c r="O21" s="720">
        <v>0</v>
      </c>
      <c r="P21" s="721">
        <f t="shared" si="0"/>
        <v>0</v>
      </c>
      <c r="Q21" s="721"/>
      <c r="T21" s="721"/>
    </row>
    <row r="22" spans="2:20" s="718" customFormat="1" x14ac:dyDescent="0.2">
      <c r="B22" s="709" t="s">
        <v>402</v>
      </c>
      <c r="C22" s="719" t="s">
        <v>387</v>
      </c>
      <c r="D22" s="720">
        <v>833.33</v>
      </c>
      <c r="E22" s="720">
        <v>852.46</v>
      </c>
      <c r="F22" s="720">
        <v>1004.34</v>
      </c>
      <c r="G22" s="720">
        <v>1858.11</v>
      </c>
      <c r="H22" s="720">
        <v>2420.34</v>
      </c>
      <c r="I22" s="720">
        <v>3639.8599999999997</v>
      </c>
      <c r="J22" s="720">
        <v>2356.8000000000002</v>
      </c>
      <c r="K22" s="720">
        <v>2713.47</v>
      </c>
      <c r="L22" s="720">
        <v>2240.84</v>
      </c>
      <c r="M22" s="720">
        <v>1514.91</v>
      </c>
      <c r="N22" s="720">
        <v>975.42</v>
      </c>
      <c r="O22" s="720">
        <v>955</v>
      </c>
      <c r="P22" s="721">
        <f t="shared" si="0"/>
        <v>21364.879999999994</v>
      </c>
      <c r="Q22" s="721"/>
    </row>
    <row r="23" spans="2:20" s="718" customFormat="1" x14ac:dyDescent="0.2">
      <c r="B23" s="709" t="s">
        <v>259</v>
      </c>
      <c r="C23" s="724" t="s">
        <v>236</v>
      </c>
      <c r="D23" s="720">
        <v>842278.49</v>
      </c>
      <c r="E23" s="720">
        <v>919204.60000000009</v>
      </c>
      <c r="F23" s="720">
        <v>874618.36</v>
      </c>
      <c r="G23" s="720">
        <v>1039536.68</v>
      </c>
      <c r="H23" s="720">
        <v>1141129.2390000001</v>
      </c>
      <c r="I23" s="720">
        <v>1249368.6400000001</v>
      </c>
      <c r="J23" s="720">
        <v>1255972.3900000001</v>
      </c>
      <c r="K23" s="720">
        <v>1219491.01</v>
      </c>
      <c r="L23" s="720">
        <v>1249375.8599999999</v>
      </c>
      <c r="M23" s="720">
        <v>1121319.93</v>
      </c>
      <c r="N23" s="720">
        <v>997442.22</v>
      </c>
      <c r="O23" s="720">
        <v>813156.53</v>
      </c>
      <c r="P23" s="721">
        <f t="shared" si="0"/>
        <v>12722893.949000001</v>
      </c>
      <c r="Q23" s="721"/>
    </row>
    <row r="24" spans="2:20" s="718" customFormat="1" x14ac:dyDescent="0.2">
      <c r="B24" s="709" t="s">
        <v>260</v>
      </c>
      <c r="C24" s="724" t="s">
        <v>231</v>
      </c>
      <c r="D24" s="720">
        <v>1570935.13</v>
      </c>
      <c r="E24" s="720">
        <v>1652500.78</v>
      </c>
      <c r="F24" s="720">
        <v>1563451.74</v>
      </c>
      <c r="G24" s="720">
        <v>1823153.78</v>
      </c>
      <c r="H24" s="720">
        <v>1960693.12</v>
      </c>
      <c r="I24" s="720">
        <v>2174610.2800000003</v>
      </c>
      <c r="J24" s="720">
        <v>2118211.92</v>
      </c>
      <c r="K24" s="720">
        <v>2005289.4500000002</v>
      </c>
      <c r="L24" s="720">
        <v>2104200.58</v>
      </c>
      <c r="M24" s="720">
        <v>1832042.1</v>
      </c>
      <c r="N24" s="720">
        <v>1801033.12</v>
      </c>
      <c r="O24" s="720">
        <v>1732174.3499999999</v>
      </c>
      <c r="P24" s="721">
        <f t="shared" si="0"/>
        <v>22338296.350000005</v>
      </c>
      <c r="Q24" s="721"/>
      <c r="T24" s="721"/>
    </row>
    <row r="25" spans="2:20" s="718" customFormat="1" x14ac:dyDescent="0.2">
      <c r="B25" s="709" t="s">
        <v>263</v>
      </c>
      <c r="C25" s="724" t="s">
        <v>232</v>
      </c>
      <c r="D25" s="720">
        <v>1084131.21</v>
      </c>
      <c r="E25" s="720">
        <v>1076261.75</v>
      </c>
      <c r="F25" s="720">
        <v>1104327.17</v>
      </c>
      <c r="G25" s="720">
        <v>1494217.02</v>
      </c>
      <c r="H25" s="720">
        <v>1811392.06</v>
      </c>
      <c r="I25" s="720">
        <v>2114674.64</v>
      </c>
      <c r="J25" s="720">
        <v>1951459.87</v>
      </c>
      <c r="K25" s="720">
        <v>1961093.9500000002</v>
      </c>
      <c r="L25" s="720">
        <v>1857442.65</v>
      </c>
      <c r="M25" s="720">
        <v>1599860.8800000001</v>
      </c>
      <c r="N25" s="720">
        <v>1278689.8499999999</v>
      </c>
      <c r="O25" s="720">
        <v>1168040.95</v>
      </c>
      <c r="P25" s="721">
        <f t="shared" si="0"/>
        <v>18501592.000000004</v>
      </c>
      <c r="Q25" s="721"/>
      <c r="T25" s="721"/>
    </row>
    <row r="26" spans="2:20" s="718" customFormat="1" x14ac:dyDescent="0.2">
      <c r="B26" s="709" t="s">
        <v>261</v>
      </c>
      <c r="C26" s="724" t="s">
        <v>236</v>
      </c>
      <c r="D26" s="720">
        <v>566917.64</v>
      </c>
      <c r="E26" s="720">
        <v>536778.17999999993</v>
      </c>
      <c r="F26" s="720">
        <v>501521.2</v>
      </c>
      <c r="G26" s="720">
        <v>548774.43999999994</v>
      </c>
      <c r="H26" s="720">
        <v>530865.47</v>
      </c>
      <c r="I26" s="720">
        <v>502356.32999999996</v>
      </c>
      <c r="J26" s="720">
        <v>587041.71</v>
      </c>
      <c r="K26" s="720">
        <v>560063.15999999992</v>
      </c>
      <c r="L26" s="720">
        <v>653291.67999999993</v>
      </c>
      <c r="M26" s="720">
        <v>562059.31000000006</v>
      </c>
      <c r="N26" s="720">
        <v>465111.51</v>
      </c>
      <c r="O26" s="720">
        <v>456972.94</v>
      </c>
      <c r="P26" s="721">
        <f t="shared" si="0"/>
        <v>6471753.5699999994</v>
      </c>
      <c r="Q26" s="721"/>
    </row>
    <row r="27" spans="2:20" s="718" customFormat="1" x14ac:dyDescent="0.2">
      <c r="B27" s="709" t="s">
        <v>257</v>
      </c>
      <c r="C27" s="724" t="s">
        <v>231</v>
      </c>
      <c r="D27" s="720">
        <v>4280828.5600000005</v>
      </c>
      <c r="E27" s="720">
        <v>4715349.79</v>
      </c>
      <c r="F27" s="720">
        <v>4631320.07</v>
      </c>
      <c r="G27" s="720">
        <v>5126915.4399999995</v>
      </c>
      <c r="H27" s="720">
        <v>4478198.82</v>
      </c>
      <c r="I27" s="720">
        <v>4595260.34</v>
      </c>
      <c r="J27" s="720">
        <v>4463633.12</v>
      </c>
      <c r="K27" s="720">
        <v>4116771.16</v>
      </c>
      <c r="L27" s="720">
        <v>4871480.7699999996</v>
      </c>
      <c r="M27" s="720">
        <v>4319936.82</v>
      </c>
      <c r="N27" s="720">
        <v>4256767.37</v>
      </c>
      <c r="O27" s="720">
        <v>4233782.51</v>
      </c>
      <c r="P27" s="721">
        <f t="shared" si="0"/>
        <v>54090244.769999988</v>
      </c>
      <c r="Q27" s="721"/>
      <c r="T27" s="721"/>
    </row>
    <row r="28" spans="2:20" s="718" customFormat="1" x14ac:dyDescent="0.2">
      <c r="B28" s="718" t="s">
        <v>321</v>
      </c>
      <c r="C28" s="724" t="s">
        <v>298</v>
      </c>
      <c r="D28" s="720">
        <v>24835.61</v>
      </c>
      <c r="E28" s="720">
        <v>18950.099999999999</v>
      </c>
      <c r="F28" s="720">
        <v>14249</v>
      </c>
      <c r="G28" s="720">
        <v>31358.14</v>
      </c>
      <c r="H28" s="720">
        <v>28587.62</v>
      </c>
      <c r="I28" s="720">
        <v>29791.48</v>
      </c>
      <c r="J28" s="720">
        <v>49343.94</v>
      </c>
      <c r="K28" s="720">
        <v>52603.87</v>
      </c>
      <c r="L28" s="720">
        <v>40825.67</v>
      </c>
      <c r="M28" s="720">
        <v>24785.5</v>
      </c>
      <c r="N28" s="720">
        <v>18363.18</v>
      </c>
      <c r="O28" s="720">
        <v>20942.59</v>
      </c>
      <c r="P28" s="721">
        <f t="shared" si="0"/>
        <v>354636.7</v>
      </c>
      <c r="Q28" s="721"/>
      <c r="T28" s="721"/>
    </row>
    <row r="29" spans="2:20" s="718" customFormat="1" x14ac:dyDescent="0.2">
      <c r="B29" s="709" t="s">
        <v>262</v>
      </c>
      <c r="C29" s="724" t="s">
        <v>232</v>
      </c>
      <c r="D29" s="720">
        <v>7598296.1299999999</v>
      </c>
      <c r="E29" s="720">
        <v>7734935.3200000003</v>
      </c>
      <c r="F29" s="720">
        <v>7364818.1600000001</v>
      </c>
      <c r="G29" s="720">
        <v>7444983.4000000004</v>
      </c>
      <c r="H29" s="720">
        <v>6267312.4800000004</v>
      </c>
      <c r="I29" s="720">
        <v>7766997.3499999996</v>
      </c>
      <c r="J29" s="720">
        <v>6317281.6500000004</v>
      </c>
      <c r="K29" s="720">
        <v>6906246.4400000004</v>
      </c>
      <c r="L29" s="720">
        <v>7685171.5099999998</v>
      </c>
      <c r="M29" s="720">
        <v>6615627.5999999996</v>
      </c>
      <c r="N29" s="720">
        <v>6953514.0099999998</v>
      </c>
      <c r="O29" s="720">
        <v>6482373.2000000002</v>
      </c>
      <c r="P29" s="721">
        <f t="shared" si="0"/>
        <v>85137557.25</v>
      </c>
      <c r="Q29" s="721"/>
      <c r="T29" s="721"/>
    </row>
    <row r="30" spans="2:20" s="725" customFormat="1" ht="15" x14ac:dyDescent="0.25">
      <c r="B30" s="725" t="s">
        <v>270</v>
      </c>
      <c r="C30" s="726" t="s">
        <v>346</v>
      </c>
      <c r="D30" s="720">
        <v>1921334.9100000001</v>
      </c>
      <c r="E30" s="727">
        <v>1869187.75</v>
      </c>
      <c r="F30" s="727">
        <v>1943193.99</v>
      </c>
      <c r="G30" s="727">
        <v>3014511.56</v>
      </c>
      <c r="H30" s="727">
        <v>3745262.62</v>
      </c>
      <c r="I30" s="727">
        <v>4436578.41</v>
      </c>
      <c r="J30" s="727">
        <v>4032427.7399999998</v>
      </c>
      <c r="K30" s="727">
        <v>4114898.2699999996</v>
      </c>
      <c r="L30" s="727">
        <v>3806410.93</v>
      </c>
      <c r="M30" s="727">
        <v>3156368.4099999997</v>
      </c>
      <c r="N30" s="727">
        <v>2317402.04</v>
      </c>
      <c r="O30" s="727">
        <v>2136885.0499999998</v>
      </c>
      <c r="P30" s="728">
        <f t="shared" si="0"/>
        <v>36494461.68</v>
      </c>
      <c r="Q30" s="729"/>
    </row>
    <row r="31" spans="2:20" s="718" customFormat="1" x14ac:dyDescent="0.2">
      <c r="B31" s="718" t="s">
        <v>119</v>
      </c>
      <c r="D31" s="730">
        <f t="shared" ref="D31:O31" si="1">SUM(D8:D30)</f>
        <v>44767990.108999997</v>
      </c>
      <c r="E31" s="730">
        <f t="shared" si="1"/>
        <v>44321712.204000004</v>
      </c>
      <c r="F31" s="730">
        <f t="shared" si="1"/>
        <v>53590994.81000001</v>
      </c>
      <c r="G31" s="730">
        <f t="shared" si="1"/>
        <v>93463278.638000011</v>
      </c>
      <c r="H31" s="730">
        <f t="shared" si="1"/>
        <v>127407776.39500003</v>
      </c>
      <c r="I31" s="730">
        <f t="shared" si="1"/>
        <v>161646547.37800002</v>
      </c>
      <c r="J31" s="730">
        <f t="shared" si="1"/>
        <v>149339575.64200005</v>
      </c>
      <c r="K31" s="730">
        <f t="shared" si="1"/>
        <v>143362907.97800002</v>
      </c>
      <c r="L31" s="730">
        <f t="shared" si="1"/>
        <v>137374370.37000003</v>
      </c>
      <c r="M31" s="730">
        <f t="shared" si="1"/>
        <v>95636352.535999984</v>
      </c>
      <c r="N31" s="730">
        <f t="shared" si="1"/>
        <v>60594856.846999995</v>
      </c>
      <c r="O31" s="730">
        <f t="shared" si="1"/>
        <v>48426507.469999999</v>
      </c>
      <c r="P31" s="721">
        <f>SUM(D31:O31)</f>
        <v>1159932870.3770001</v>
      </c>
      <c r="Q31" s="729"/>
      <c r="R31" s="721"/>
    </row>
    <row r="32" spans="2:20" s="718" customFormat="1" x14ac:dyDescent="0.2">
      <c r="B32" s="718" t="s">
        <v>276</v>
      </c>
      <c r="D32" s="729">
        <f t="shared" ref="D32:O32" si="2">SUM(D13,D22:D30)</f>
        <v>17890467.990000002</v>
      </c>
      <c r="E32" s="729">
        <f t="shared" si="2"/>
        <v>18524047.979999997</v>
      </c>
      <c r="F32" s="729">
        <f t="shared" si="2"/>
        <v>17998722.899999999</v>
      </c>
      <c r="G32" s="729">
        <f t="shared" si="2"/>
        <v>20527291.199999999</v>
      </c>
      <c r="H32" s="729">
        <f t="shared" si="2"/>
        <v>19969185.528999999</v>
      </c>
      <c r="I32" s="729">
        <f t="shared" si="2"/>
        <v>22877687.540000003</v>
      </c>
      <c r="J32" s="729">
        <f t="shared" si="2"/>
        <v>20780260.009999998</v>
      </c>
      <c r="K32" s="729">
        <f t="shared" si="2"/>
        <v>20943076.759999998</v>
      </c>
      <c r="L32" s="729">
        <f t="shared" si="2"/>
        <v>22273261.829999998</v>
      </c>
      <c r="M32" s="729">
        <f t="shared" si="2"/>
        <v>19235496.109999999</v>
      </c>
      <c r="N32" s="729">
        <f t="shared" si="2"/>
        <v>18089894.629999999</v>
      </c>
      <c r="O32" s="729">
        <f t="shared" si="2"/>
        <v>17045310.559999999</v>
      </c>
      <c r="P32" s="721">
        <f>SUM(D32:O32)</f>
        <v>236154703.03899997</v>
      </c>
      <c r="Q32" s="721"/>
    </row>
    <row r="33" spans="2:40" s="718" customFormat="1" x14ac:dyDescent="0.2">
      <c r="B33" s="731" t="s">
        <v>403</v>
      </c>
      <c r="D33" s="729">
        <f t="shared" ref="D33:O33" si="3">D14+D16+D19+D21+D24+D25+D27+D29+D30</f>
        <v>18496978.519000001</v>
      </c>
      <c r="E33" s="729">
        <f t="shared" si="3"/>
        <v>19011936.493999999</v>
      </c>
      <c r="F33" s="729">
        <f t="shared" si="3"/>
        <v>18814239.973999999</v>
      </c>
      <c r="G33" s="729">
        <f t="shared" si="3"/>
        <v>22245522.974999998</v>
      </c>
      <c r="H33" s="729">
        <f t="shared" si="3"/>
        <v>22306619.450000003</v>
      </c>
      <c r="I33" s="729">
        <f t="shared" si="3"/>
        <v>25934982.874000002</v>
      </c>
      <c r="J33" s="729">
        <f t="shared" si="3"/>
        <v>23234386.976</v>
      </c>
      <c r="K33" s="729">
        <f t="shared" si="3"/>
        <v>23334226.066</v>
      </c>
      <c r="L33" s="729">
        <f t="shared" si="3"/>
        <v>24542306.563999999</v>
      </c>
      <c r="M33" s="729">
        <f t="shared" si="3"/>
        <v>20983430.639000002</v>
      </c>
      <c r="N33" s="729">
        <f t="shared" si="3"/>
        <v>19140064.978</v>
      </c>
      <c r="O33" s="729">
        <f t="shared" si="3"/>
        <v>18005565.594999999</v>
      </c>
      <c r="P33" s="721">
        <f>SUM(D33:O33)</f>
        <v>256050261.104</v>
      </c>
      <c r="Q33" s="721"/>
    </row>
    <row r="34" spans="2:40" x14ac:dyDescent="0.2">
      <c r="C34" s="724"/>
      <c r="D34" s="720"/>
      <c r="E34" s="732"/>
      <c r="F34" s="732"/>
      <c r="G34" s="732"/>
      <c r="H34" s="732"/>
      <c r="I34" s="732"/>
      <c r="J34" s="729"/>
      <c r="K34" s="729"/>
      <c r="L34" s="729"/>
      <c r="M34" s="729"/>
      <c r="N34" s="729"/>
      <c r="O34" s="729"/>
      <c r="P34" s="721"/>
      <c r="Q34" s="732"/>
    </row>
    <row r="35" spans="2:40" x14ac:dyDescent="0.2">
      <c r="B35" s="715" t="s">
        <v>339</v>
      </c>
      <c r="C35" s="716"/>
      <c r="D35" s="732"/>
      <c r="E35" s="732"/>
      <c r="F35" s="732"/>
      <c r="G35" s="732"/>
      <c r="H35" s="732"/>
      <c r="I35" s="732"/>
      <c r="J35" s="732"/>
      <c r="K35" s="732"/>
      <c r="L35" s="732"/>
      <c r="M35" s="732"/>
      <c r="N35" s="732"/>
      <c r="O35" s="732"/>
      <c r="P35" s="721"/>
      <c r="Q35" s="732"/>
    </row>
    <row r="36" spans="2:40" x14ac:dyDescent="0.2">
      <c r="B36" s="718" t="s">
        <v>168</v>
      </c>
      <c r="C36" s="719">
        <v>16</v>
      </c>
      <c r="D36" s="720">
        <v>5</v>
      </c>
      <c r="E36" s="720">
        <v>6</v>
      </c>
      <c r="F36" s="720">
        <v>6</v>
      </c>
      <c r="G36" s="720">
        <v>6</v>
      </c>
      <c r="H36" s="720">
        <v>6</v>
      </c>
      <c r="I36" s="733">
        <v>7</v>
      </c>
      <c r="J36" s="720">
        <v>7</v>
      </c>
      <c r="K36" s="720">
        <v>6</v>
      </c>
      <c r="L36" s="720">
        <v>6</v>
      </c>
      <c r="M36" s="720">
        <v>6</v>
      </c>
      <c r="N36" s="720">
        <v>6</v>
      </c>
      <c r="O36" s="720">
        <v>7</v>
      </c>
      <c r="P36" s="721">
        <f>SUM(D36:O36)</f>
        <v>74</v>
      </c>
      <c r="Q36" s="734"/>
      <c r="R36" s="719"/>
      <c r="S36" s="734"/>
      <c r="T36" s="734"/>
      <c r="U36" s="735"/>
      <c r="V36" s="735"/>
      <c r="W36" s="734"/>
      <c r="X36" s="734"/>
      <c r="Y36" s="734"/>
      <c r="Z36" s="734"/>
      <c r="AA36" s="734"/>
      <c r="AB36" s="735"/>
      <c r="AC36" s="734"/>
      <c r="AD36" s="734"/>
      <c r="AE36" s="736"/>
      <c r="AF36" s="734"/>
      <c r="AG36" s="734"/>
      <c r="AH36" s="734"/>
      <c r="AI36" s="734"/>
      <c r="AJ36" s="734"/>
      <c r="AK36" s="734"/>
      <c r="AL36" s="734"/>
      <c r="AM36" s="734"/>
      <c r="AN36" s="734"/>
    </row>
    <row r="37" spans="2:40" s="718" customFormat="1" x14ac:dyDescent="0.2">
      <c r="B37" s="718" t="s">
        <v>72</v>
      </c>
      <c r="C37" s="718">
        <v>23</v>
      </c>
      <c r="D37" s="720">
        <v>760063</v>
      </c>
      <c r="E37" s="720">
        <v>760649</v>
      </c>
      <c r="F37" s="720">
        <v>761855</v>
      </c>
      <c r="G37" s="720">
        <v>763562</v>
      </c>
      <c r="H37" s="720">
        <v>765581</v>
      </c>
      <c r="I37" s="720">
        <v>767037</v>
      </c>
      <c r="J37" s="720">
        <v>768037</v>
      </c>
      <c r="K37" s="720">
        <v>769182</v>
      </c>
      <c r="L37" s="720">
        <v>769904</v>
      </c>
      <c r="M37" s="720">
        <v>770294</v>
      </c>
      <c r="N37" s="720">
        <v>770940</v>
      </c>
      <c r="O37" s="720">
        <v>771256</v>
      </c>
      <c r="P37" s="721">
        <f t="shared" ref="P37:P61" si="4">SUM(D37:O37)</f>
        <v>9198360</v>
      </c>
      <c r="Q37" s="734"/>
    </row>
    <row r="38" spans="2:40" s="718" customFormat="1" x14ac:dyDescent="0.2">
      <c r="B38" s="718" t="s">
        <v>75</v>
      </c>
      <c r="C38" s="718">
        <v>53</v>
      </c>
      <c r="D38" s="720">
        <v>1</v>
      </c>
      <c r="E38" s="720">
        <v>1</v>
      </c>
      <c r="F38" s="720">
        <v>1</v>
      </c>
      <c r="G38" s="720">
        <v>1</v>
      </c>
      <c r="H38" s="720">
        <v>1</v>
      </c>
      <c r="I38" s="720">
        <v>1</v>
      </c>
      <c r="J38" s="720">
        <v>1</v>
      </c>
      <c r="K38" s="720">
        <v>0</v>
      </c>
      <c r="L38" s="720">
        <v>0</v>
      </c>
      <c r="M38" s="720">
        <v>0</v>
      </c>
      <c r="N38" s="720">
        <v>0</v>
      </c>
      <c r="O38" s="720">
        <v>0</v>
      </c>
      <c r="P38" s="721">
        <f t="shared" si="4"/>
        <v>7</v>
      </c>
      <c r="Q38" s="734"/>
    </row>
    <row r="39" spans="2:40" s="718" customFormat="1" x14ac:dyDescent="0.2">
      <c r="B39" s="718" t="s">
        <v>404</v>
      </c>
      <c r="C39" s="718">
        <v>61</v>
      </c>
      <c r="D39" s="720"/>
      <c r="E39" s="720"/>
      <c r="F39" s="720"/>
      <c r="G39" s="720"/>
      <c r="H39" s="720"/>
      <c r="I39" s="720"/>
      <c r="J39" s="720"/>
      <c r="K39" s="720"/>
      <c r="L39" s="720"/>
      <c r="M39" s="720"/>
      <c r="N39" s="720"/>
      <c r="O39" s="720"/>
      <c r="P39" s="721">
        <f t="shared" si="4"/>
        <v>0</v>
      </c>
      <c r="Q39" s="734"/>
    </row>
    <row r="40" spans="2:40" s="718" customFormat="1" x14ac:dyDescent="0.2">
      <c r="B40" s="718" t="s">
        <v>254</v>
      </c>
      <c r="C40" s="718">
        <v>31</v>
      </c>
      <c r="D40" s="720">
        <v>53987</v>
      </c>
      <c r="E40" s="720">
        <v>53956</v>
      </c>
      <c r="F40" s="720">
        <v>53926</v>
      </c>
      <c r="G40" s="720">
        <v>54008</v>
      </c>
      <c r="H40" s="720">
        <v>54182</v>
      </c>
      <c r="I40" s="720">
        <v>54328</v>
      </c>
      <c r="J40" s="720">
        <v>54410</v>
      </c>
      <c r="K40" s="720">
        <v>54413</v>
      </c>
      <c r="L40" s="720">
        <v>54486</v>
      </c>
      <c r="M40" s="720">
        <v>54455</v>
      </c>
      <c r="N40" s="720">
        <v>54442</v>
      </c>
      <c r="O40" s="720">
        <v>54374</v>
      </c>
      <c r="P40" s="721">
        <f t="shared" si="4"/>
        <v>650967</v>
      </c>
      <c r="Q40" s="734"/>
    </row>
    <row r="41" spans="2:40" s="718" customFormat="1" x14ac:dyDescent="0.2">
      <c r="B41" s="718" t="s">
        <v>255</v>
      </c>
      <c r="C41" s="718">
        <v>41</v>
      </c>
      <c r="D41" s="720">
        <v>1279</v>
      </c>
      <c r="E41" s="720">
        <v>1273</v>
      </c>
      <c r="F41" s="720">
        <v>1280</v>
      </c>
      <c r="G41" s="720">
        <v>1285</v>
      </c>
      <c r="H41" s="720">
        <v>1284</v>
      </c>
      <c r="I41" s="720">
        <v>1282</v>
      </c>
      <c r="J41" s="720">
        <v>1289</v>
      </c>
      <c r="K41" s="720">
        <v>1284</v>
      </c>
      <c r="L41" s="720">
        <v>1287</v>
      </c>
      <c r="M41" s="720">
        <v>1290</v>
      </c>
      <c r="N41" s="720">
        <v>1288</v>
      </c>
      <c r="O41" s="720">
        <v>1280</v>
      </c>
      <c r="P41" s="721">
        <f t="shared" si="4"/>
        <v>15401</v>
      </c>
      <c r="Q41" s="734"/>
    </row>
    <row r="42" spans="2:40" s="718" customFormat="1" x14ac:dyDescent="0.2">
      <c r="B42" s="709" t="s">
        <v>535</v>
      </c>
      <c r="C42" s="719" t="s">
        <v>387</v>
      </c>
      <c r="D42" s="720">
        <v>1</v>
      </c>
      <c r="E42" s="720">
        <v>1</v>
      </c>
      <c r="F42" s="720">
        <v>1</v>
      </c>
      <c r="G42" s="720">
        <v>1</v>
      </c>
      <c r="H42" s="720">
        <v>1</v>
      </c>
      <c r="I42" s="720">
        <v>1</v>
      </c>
      <c r="J42" s="720">
        <v>1</v>
      </c>
      <c r="K42" s="720">
        <v>1</v>
      </c>
      <c r="L42" s="720">
        <v>1</v>
      </c>
      <c r="M42" s="720">
        <v>1</v>
      </c>
      <c r="N42" s="720">
        <v>1</v>
      </c>
      <c r="O42" s="720">
        <v>1</v>
      </c>
      <c r="P42" s="721">
        <f t="shared" si="4"/>
        <v>12</v>
      </c>
      <c r="Q42" s="734"/>
    </row>
    <row r="43" spans="2:40" s="718" customFormat="1" x14ac:dyDescent="0.2">
      <c r="B43" s="718" t="s">
        <v>405</v>
      </c>
      <c r="C43" s="718">
        <v>61</v>
      </c>
      <c r="D43" s="720"/>
      <c r="E43" s="720"/>
      <c r="F43" s="720"/>
      <c r="G43" s="720"/>
      <c r="H43" s="720"/>
      <c r="I43" s="720"/>
      <c r="J43" s="720"/>
      <c r="K43" s="720"/>
      <c r="L43" s="720"/>
      <c r="M43" s="720"/>
      <c r="N43" s="720"/>
      <c r="O43" s="720"/>
      <c r="P43" s="721">
        <f t="shared" si="4"/>
        <v>0</v>
      </c>
      <c r="Q43" s="734"/>
    </row>
    <row r="44" spans="2:40" s="718" customFormat="1" x14ac:dyDescent="0.2">
      <c r="B44" s="718" t="s">
        <v>103</v>
      </c>
      <c r="C44" s="718">
        <v>85</v>
      </c>
      <c r="D44" s="720">
        <v>25</v>
      </c>
      <c r="E44" s="720">
        <v>25</v>
      </c>
      <c r="F44" s="720">
        <v>24</v>
      </c>
      <c r="G44" s="720">
        <v>25</v>
      </c>
      <c r="H44" s="720">
        <v>25</v>
      </c>
      <c r="I44" s="720">
        <v>25</v>
      </c>
      <c r="J44" s="720">
        <v>25</v>
      </c>
      <c r="K44" s="720">
        <v>25</v>
      </c>
      <c r="L44" s="720">
        <v>25</v>
      </c>
      <c r="M44" s="720">
        <v>25</v>
      </c>
      <c r="N44" s="720">
        <v>25</v>
      </c>
      <c r="O44" s="720">
        <v>24</v>
      </c>
      <c r="P44" s="721">
        <f t="shared" si="4"/>
        <v>298</v>
      </c>
      <c r="Q44" s="734"/>
    </row>
    <row r="45" spans="2:40" s="718" customFormat="1" x14ac:dyDescent="0.2">
      <c r="B45" s="718" t="s">
        <v>108</v>
      </c>
      <c r="C45" s="718">
        <v>86</v>
      </c>
      <c r="D45" s="720">
        <v>223</v>
      </c>
      <c r="E45" s="720">
        <v>223</v>
      </c>
      <c r="F45" s="720">
        <v>223</v>
      </c>
      <c r="G45" s="720">
        <v>222</v>
      </c>
      <c r="H45" s="720">
        <v>222</v>
      </c>
      <c r="I45" s="720">
        <v>222</v>
      </c>
      <c r="J45" s="720">
        <v>222</v>
      </c>
      <c r="K45" s="720">
        <v>222</v>
      </c>
      <c r="L45" s="720">
        <v>222</v>
      </c>
      <c r="M45" s="720">
        <v>222</v>
      </c>
      <c r="N45" s="720">
        <v>221</v>
      </c>
      <c r="O45" s="720">
        <v>221</v>
      </c>
      <c r="P45" s="721">
        <f t="shared" si="4"/>
        <v>2665</v>
      </c>
      <c r="Q45" s="734"/>
    </row>
    <row r="46" spans="2:40" s="718" customFormat="1" x14ac:dyDescent="0.2">
      <c r="B46" s="718" t="s">
        <v>265</v>
      </c>
      <c r="C46" s="718">
        <v>87</v>
      </c>
      <c r="D46" s="720">
        <v>5</v>
      </c>
      <c r="E46" s="720">
        <v>5</v>
      </c>
      <c r="F46" s="720">
        <v>5</v>
      </c>
      <c r="G46" s="720">
        <v>5</v>
      </c>
      <c r="H46" s="720">
        <v>5</v>
      </c>
      <c r="I46" s="720">
        <v>5</v>
      </c>
      <c r="J46" s="720">
        <v>5</v>
      </c>
      <c r="K46" s="720">
        <v>5</v>
      </c>
      <c r="L46" s="720">
        <v>5</v>
      </c>
      <c r="M46" s="720">
        <v>5</v>
      </c>
      <c r="N46" s="720">
        <v>5</v>
      </c>
      <c r="O46" s="720">
        <v>5</v>
      </c>
      <c r="P46" s="721">
        <f t="shared" si="4"/>
        <v>60</v>
      </c>
      <c r="Q46" s="734"/>
    </row>
    <row r="47" spans="2:40" s="718" customFormat="1" x14ac:dyDescent="0.2">
      <c r="B47" s="718" t="s">
        <v>104</v>
      </c>
      <c r="C47" s="718">
        <v>31</v>
      </c>
      <c r="D47" s="720">
        <v>2240</v>
      </c>
      <c r="E47" s="720">
        <v>2233</v>
      </c>
      <c r="F47" s="720">
        <v>2227</v>
      </c>
      <c r="G47" s="720">
        <v>2235</v>
      </c>
      <c r="H47" s="720">
        <v>2242</v>
      </c>
      <c r="I47" s="720">
        <v>2246</v>
      </c>
      <c r="J47" s="720">
        <v>2248</v>
      </c>
      <c r="K47" s="720">
        <v>2248</v>
      </c>
      <c r="L47" s="720">
        <v>2252</v>
      </c>
      <c r="M47" s="720">
        <v>2245</v>
      </c>
      <c r="N47" s="720">
        <v>2242</v>
      </c>
      <c r="O47" s="720">
        <v>2235</v>
      </c>
      <c r="P47" s="721">
        <f t="shared" si="4"/>
        <v>26893</v>
      </c>
      <c r="Q47" s="734"/>
    </row>
    <row r="48" spans="2:40" s="718" customFormat="1" ht="15" x14ac:dyDescent="0.25">
      <c r="B48" s="718" t="s">
        <v>105</v>
      </c>
      <c r="C48" s="718">
        <v>41</v>
      </c>
      <c r="D48" s="720">
        <v>79</v>
      </c>
      <c r="E48" s="720">
        <v>78</v>
      </c>
      <c r="F48" s="720">
        <v>79</v>
      </c>
      <c r="G48" s="720">
        <v>78</v>
      </c>
      <c r="H48" s="720">
        <v>76</v>
      </c>
      <c r="I48" s="720">
        <v>76</v>
      </c>
      <c r="J48" s="720">
        <v>73</v>
      </c>
      <c r="K48" s="720">
        <v>73</v>
      </c>
      <c r="L48" s="720">
        <v>73</v>
      </c>
      <c r="M48" s="720">
        <v>73</v>
      </c>
      <c r="N48" s="720">
        <v>73</v>
      </c>
      <c r="O48" s="720">
        <v>72</v>
      </c>
      <c r="P48" s="721">
        <f t="shared" si="4"/>
        <v>903</v>
      </c>
      <c r="Q48" s="734"/>
      <c r="S48" s="721"/>
      <c r="T48" s="737"/>
    </row>
    <row r="49" spans="1:19" s="718" customFormat="1" x14ac:dyDescent="0.2">
      <c r="B49" s="718" t="s">
        <v>406</v>
      </c>
      <c r="C49" s="718">
        <v>61</v>
      </c>
      <c r="D49" s="720"/>
      <c r="E49" s="720"/>
      <c r="F49" s="720"/>
      <c r="G49" s="720"/>
      <c r="H49" s="720"/>
      <c r="I49" s="720"/>
      <c r="J49" s="720"/>
      <c r="K49" s="720"/>
      <c r="L49" s="720"/>
      <c r="M49" s="720"/>
      <c r="N49" s="720"/>
      <c r="O49" s="720"/>
      <c r="P49" s="721">
        <f t="shared" si="4"/>
        <v>0</v>
      </c>
      <c r="Q49" s="734"/>
      <c r="S49" s="721"/>
    </row>
    <row r="50" spans="1:19" s="718" customFormat="1" x14ac:dyDescent="0.2">
      <c r="B50" s="718" t="s">
        <v>106</v>
      </c>
      <c r="C50" s="718">
        <v>85</v>
      </c>
      <c r="D50" s="720">
        <v>4</v>
      </c>
      <c r="E50" s="720">
        <v>4</v>
      </c>
      <c r="F50" s="720">
        <v>4</v>
      </c>
      <c r="G50" s="720">
        <v>4</v>
      </c>
      <c r="H50" s="720">
        <v>4</v>
      </c>
      <c r="I50" s="720">
        <v>4</v>
      </c>
      <c r="J50" s="720">
        <v>4</v>
      </c>
      <c r="K50" s="720">
        <v>4</v>
      </c>
      <c r="L50" s="720">
        <v>4</v>
      </c>
      <c r="M50" s="720">
        <v>4</v>
      </c>
      <c r="N50" s="720">
        <v>4</v>
      </c>
      <c r="O50" s="720">
        <v>4</v>
      </c>
      <c r="P50" s="721">
        <f t="shared" si="4"/>
        <v>48</v>
      </c>
      <c r="Q50" s="734"/>
    </row>
    <row r="51" spans="1:19" s="718" customFormat="1" x14ac:dyDescent="0.2">
      <c r="B51" s="718" t="s">
        <v>107</v>
      </c>
      <c r="C51" s="718">
        <v>86</v>
      </c>
      <c r="D51" s="720">
        <v>6</v>
      </c>
      <c r="E51" s="720">
        <v>6</v>
      </c>
      <c r="F51" s="720">
        <v>6</v>
      </c>
      <c r="G51" s="720">
        <v>6</v>
      </c>
      <c r="H51" s="720">
        <v>6</v>
      </c>
      <c r="I51" s="720">
        <v>6</v>
      </c>
      <c r="J51" s="720">
        <v>6</v>
      </c>
      <c r="K51" s="720">
        <v>6</v>
      </c>
      <c r="L51" s="720">
        <v>6</v>
      </c>
      <c r="M51" s="720">
        <v>6</v>
      </c>
      <c r="N51" s="720">
        <v>6</v>
      </c>
      <c r="O51" s="720">
        <v>6</v>
      </c>
      <c r="P51" s="721">
        <f t="shared" si="4"/>
        <v>72</v>
      </c>
      <c r="Q51" s="734"/>
    </row>
    <row r="52" spans="1:19" s="718" customFormat="1" x14ac:dyDescent="0.2">
      <c r="B52" s="718" t="s">
        <v>264</v>
      </c>
      <c r="C52" s="718">
        <v>87</v>
      </c>
      <c r="D52" s="720"/>
      <c r="E52" s="720"/>
      <c r="F52" s="720"/>
      <c r="G52" s="720"/>
      <c r="H52" s="720"/>
      <c r="I52" s="720"/>
      <c r="J52" s="720"/>
      <c r="K52" s="720"/>
      <c r="L52" s="720"/>
      <c r="M52" s="720"/>
      <c r="N52" s="720"/>
      <c r="O52" s="720"/>
      <c r="P52" s="721">
        <f t="shared" si="4"/>
        <v>0</v>
      </c>
      <c r="Q52" s="734"/>
    </row>
    <row r="53" spans="1:19" s="718" customFormat="1" x14ac:dyDescent="0.2">
      <c r="B53" s="709" t="s">
        <v>402</v>
      </c>
      <c r="C53" s="719" t="s">
        <v>387</v>
      </c>
      <c r="D53" s="720">
        <v>2</v>
      </c>
      <c r="E53" s="720">
        <v>2</v>
      </c>
      <c r="F53" s="720">
        <v>2</v>
      </c>
      <c r="G53" s="720">
        <v>2</v>
      </c>
      <c r="H53" s="720">
        <v>2</v>
      </c>
      <c r="I53" s="720">
        <v>2</v>
      </c>
      <c r="J53" s="720">
        <v>2</v>
      </c>
      <c r="K53" s="720">
        <v>2</v>
      </c>
      <c r="L53" s="720">
        <v>2</v>
      </c>
      <c r="M53" s="720">
        <v>2</v>
      </c>
      <c r="N53" s="720">
        <v>2</v>
      </c>
      <c r="O53" s="720">
        <v>2</v>
      </c>
      <c r="P53" s="721">
        <f t="shared" si="4"/>
        <v>24</v>
      </c>
      <c r="Q53" s="734"/>
      <c r="R53" s="719"/>
    </row>
    <row r="54" spans="1:19" s="718" customFormat="1" x14ac:dyDescent="0.2">
      <c r="B54" s="709" t="s">
        <v>259</v>
      </c>
      <c r="C54" s="724" t="s">
        <v>236</v>
      </c>
      <c r="D54" s="720">
        <v>72</v>
      </c>
      <c r="E54" s="720">
        <v>73</v>
      </c>
      <c r="F54" s="720">
        <v>74</v>
      </c>
      <c r="G54" s="720">
        <v>74</v>
      </c>
      <c r="H54" s="720">
        <v>75</v>
      </c>
      <c r="I54" s="720">
        <v>75</v>
      </c>
      <c r="J54" s="720">
        <v>77</v>
      </c>
      <c r="K54" s="720">
        <v>79</v>
      </c>
      <c r="L54" s="720">
        <v>79</v>
      </c>
      <c r="M54" s="720">
        <v>80</v>
      </c>
      <c r="N54" s="720">
        <v>81</v>
      </c>
      <c r="O54" s="720">
        <v>85</v>
      </c>
      <c r="P54" s="721">
        <f t="shared" si="4"/>
        <v>924</v>
      </c>
      <c r="Q54" s="734"/>
      <c r="R54" s="724"/>
    </row>
    <row r="55" spans="1:19" s="718" customFormat="1" x14ac:dyDescent="0.2">
      <c r="B55" s="709" t="s">
        <v>260</v>
      </c>
      <c r="C55" s="724" t="s">
        <v>231</v>
      </c>
      <c r="D55" s="720">
        <v>33</v>
      </c>
      <c r="E55" s="720">
        <v>33</v>
      </c>
      <c r="F55" s="720">
        <v>33</v>
      </c>
      <c r="G55" s="720">
        <v>33</v>
      </c>
      <c r="H55" s="720">
        <v>33</v>
      </c>
      <c r="I55" s="720">
        <v>33</v>
      </c>
      <c r="J55" s="720">
        <v>33</v>
      </c>
      <c r="K55" s="720">
        <v>33</v>
      </c>
      <c r="L55" s="720">
        <v>33</v>
      </c>
      <c r="M55" s="720">
        <v>33</v>
      </c>
      <c r="N55" s="720">
        <v>33</v>
      </c>
      <c r="O55" s="720">
        <v>33</v>
      </c>
      <c r="P55" s="721">
        <f t="shared" si="4"/>
        <v>396</v>
      </c>
      <c r="Q55" s="734"/>
      <c r="R55" s="724"/>
    </row>
    <row r="56" spans="1:19" s="718" customFormat="1" x14ac:dyDescent="0.2">
      <c r="B56" s="709" t="s">
        <v>263</v>
      </c>
      <c r="C56" s="724" t="s">
        <v>232</v>
      </c>
      <c r="D56" s="720">
        <v>3</v>
      </c>
      <c r="E56" s="720">
        <v>3</v>
      </c>
      <c r="F56" s="720">
        <v>3</v>
      </c>
      <c r="G56" s="720">
        <v>3</v>
      </c>
      <c r="H56" s="720">
        <v>3</v>
      </c>
      <c r="I56" s="720">
        <v>3</v>
      </c>
      <c r="J56" s="720">
        <v>3</v>
      </c>
      <c r="K56" s="720">
        <v>3</v>
      </c>
      <c r="L56" s="720">
        <v>3</v>
      </c>
      <c r="M56" s="720">
        <v>3</v>
      </c>
      <c r="N56" s="720">
        <v>3</v>
      </c>
      <c r="O56" s="720">
        <v>3</v>
      </c>
      <c r="P56" s="721">
        <f t="shared" si="4"/>
        <v>36</v>
      </c>
      <c r="Q56" s="734"/>
      <c r="R56" s="724"/>
    </row>
    <row r="57" spans="1:19" s="718" customFormat="1" x14ac:dyDescent="0.2">
      <c r="B57" s="709" t="s">
        <v>261</v>
      </c>
      <c r="C57" s="724" t="s">
        <v>236</v>
      </c>
      <c r="D57" s="720">
        <v>27</v>
      </c>
      <c r="E57" s="720">
        <v>25</v>
      </c>
      <c r="F57" s="720">
        <v>25</v>
      </c>
      <c r="G57" s="720">
        <v>26</v>
      </c>
      <c r="H57" s="720">
        <v>26</v>
      </c>
      <c r="I57" s="720">
        <v>26</v>
      </c>
      <c r="J57" s="720">
        <v>26</v>
      </c>
      <c r="K57" s="720">
        <v>26</v>
      </c>
      <c r="L57" s="720">
        <v>26</v>
      </c>
      <c r="M57" s="720">
        <v>25</v>
      </c>
      <c r="N57" s="720">
        <v>24</v>
      </c>
      <c r="O57" s="720">
        <v>24</v>
      </c>
      <c r="P57" s="721">
        <f t="shared" si="4"/>
        <v>306</v>
      </c>
      <c r="Q57" s="734"/>
      <c r="R57" s="724"/>
    </row>
    <row r="58" spans="1:19" s="718" customFormat="1" x14ac:dyDescent="0.2">
      <c r="B58" s="709" t="s">
        <v>257</v>
      </c>
      <c r="C58" s="724" t="s">
        <v>231</v>
      </c>
      <c r="D58" s="720">
        <v>66</v>
      </c>
      <c r="E58" s="720">
        <v>67</v>
      </c>
      <c r="F58" s="720">
        <v>67</v>
      </c>
      <c r="G58" s="720">
        <v>67</v>
      </c>
      <c r="H58" s="720">
        <v>68</v>
      </c>
      <c r="I58" s="720">
        <v>67</v>
      </c>
      <c r="J58" s="720">
        <v>68</v>
      </c>
      <c r="K58" s="720">
        <v>68</v>
      </c>
      <c r="L58" s="720">
        <v>68</v>
      </c>
      <c r="M58" s="720">
        <v>68</v>
      </c>
      <c r="N58" s="720">
        <v>69</v>
      </c>
      <c r="O58" s="720">
        <v>70</v>
      </c>
      <c r="P58" s="721">
        <f t="shared" si="4"/>
        <v>813</v>
      </c>
      <c r="Q58" s="734"/>
      <c r="R58" s="724"/>
    </row>
    <row r="59" spans="1:19" s="718" customFormat="1" x14ac:dyDescent="0.2">
      <c r="B59" s="718" t="s">
        <v>321</v>
      </c>
      <c r="C59" s="724" t="s">
        <v>298</v>
      </c>
      <c r="D59" s="720">
        <v>4</v>
      </c>
      <c r="E59" s="720">
        <v>4</v>
      </c>
      <c r="F59" s="720">
        <v>4</v>
      </c>
      <c r="G59" s="720">
        <v>4</v>
      </c>
      <c r="H59" s="720">
        <v>2</v>
      </c>
      <c r="I59" s="720">
        <v>2</v>
      </c>
      <c r="J59" s="720">
        <v>2</v>
      </c>
      <c r="K59" s="720">
        <v>2</v>
      </c>
      <c r="L59" s="720">
        <v>2</v>
      </c>
      <c r="M59" s="720">
        <v>2</v>
      </c>
      <c r="N59" s="720">
        <v>2</v>
      </c>
      <c r="O59" s="720">
        <v>2</v>
      </c>
      <c r="P59" s="721">
        <f t="shared" si="4"/>
        <v>32</v>
      </c>
      <c r="Q59" s="734"/>
      <c r="R59" s="724"/>
    </row>
    <row r="60" spans="1:19" s="725" customFormat="1" x14ac:dyDescent="0.2">
      <c r="A60" s="718"/>
      <c r="B60" s="709" t="s">
        <v>262</v>
      </c>
      <c r="C60" s="724" t="s">
        <v>232</v>
      </c>
      <c r="D60" s="720">
        <v>7</v>
      </c>
      <c r="E60" s="720">
        <v>7</v>
      </c>
      <c r="F60" s="720">
        <v>7</v>
      </c>
      <c r="G60" s="720">
        <v>7</v>
      </c>
      <c r="H60" s="720">
        <v>7</v>
      </c>
      <c r="I60" s="720">
        <v>7</v>
      </c>
      <c r="J60" s="720">
        <v>7</v>
      </c>
      <c r="K60" s="720">
        <v>7</v>
      </c>
      <c r="L60" s="720">
        <v>7</v>
      </c>
      <c r="M60" s="720">
        <v>7</v>
      </c>
      <c r="N60" s="720">
        <v>7</v>
      </c>
      <c r="O60" s="720">
        <v>7</v>
      </c>
      <c r="P60" s="721">
        <f t="shared" si="4"/>
        <v>84</v>
      </c>
      <c r="Q60" s="734"/>
      <c r="R60" s="724"/>
    </row>
    <row r="61" spans="1:19" s="718" customFormat="1" ht="15" x14ac:dyDescent="0.25">
      <c r="A61" s="725"/>
      <c r="B61" s="725" t="s">
        <v>270</v>
      </c>
      <c r="C61" s="726" t="s">
        <v>346</v>
      </c>
      <c r="D61" s="727">
        <v>10</v>
      </c>
      <c r="E61" s="727">
        <v>10</v>
      </c>
      <c r="F61" s="727">
        <v>10</v>
      </c>
      <c r="G61" s="727">
        <v>10</v>
      </c>
      <c r="H61" s="727">
        <v>10</v>
      </c>
      <c r="I61" s="727">
        <v>10</v>
      </c>
      <c r="J61" s="727">
        <v>10</v>
      </c>
      <c r="K61" s="727">
        <v>10</v>
      </c>
      <c r="L61" s="727">
        <v>10</v>
      </c>
      <c r="M61" s="727">
        <v>10</v>
      </c>
      <c r="N61" s="727">
        <v>10</v>
      </c>
      <c r="O61" s="727">
        <v>10</v>
      </c>
      <c r="P61" s="728">
        <f t="shared" si="4"/>
        <v>120</v>
      </c>
      <c r="Q61" s="734"/>
      <c r="R61" s="726"/>
    </row>
    <row r="62" spans="1:19" s="718" customFormat="1" x14ac:dyDescent="0.2">
      <c r="B62" s="718" t="s">
        <v>113</v>
      </c>
      <c r="D62" s="730">
        <f t="shared" ref="D62:O62" si="5">SUM(D36:D61)</f>
        <v>818142</v>
      </c>
      <c r="E62" s="730">
        <f t="shared" si="5"/>
        <v>818684</v>
      </c>
      <c r="F62" s="730">
        <f t="shared" si="5"/>
        <v>819862</v>
      </c>
      <c r="G62" s="730">
        <f t="shared" si="5"/>
        <v>821664</v>
      </c>
      <c r="H62" s="730">
        <f t="shared" si="5"/>
        <v>823861</v>
      </c>
      <c r="I62" s="730">
        <f t="shared" si="5"/>
        <v>825465</v>
      </c>
      <c r="J62" s="730">
        <f t="shared" si="5"/>
        <v>826556</v>
      </c>
      <c r="K62" s="730">
        <f t="shared" si="5"/>
        <v>827699</v>
      </c>
      <c r="L62" s="730">
        <f t="shared" si="5"/>
        <v>828501</v>
      </c>
      <c r="M62" s="730">
        <f t="shared" si="5"/>
        <v>828856</v>
      </c>
      <c r="N62" s="730">
        <f t="shared" si="5"/>
        <v>829484</v>
      </c>
      <c r="O62" s="730">
        <f t="shared" si="5"/>
        <v>829721</v>
      </c>
      <c r="P62" s="721">
        <f>SUM(D62:O62)</f>
        <v>9898495</v>
      </c>
      <c r="Q62" s="721"/>
    </row>
    <row r="63" spans="1:19" x14ac:dyDescent="0.2">
      <c r="A63" s="718"/>
      <c r="B63" s="718"/>
      <c r="C63" s="719"/>
      <c r="D63" s="721"/>
      <c r="E63" s="721"/>
      <c r="F63" s="721"/>
      <c r="G63" s="721"/>
      <c r="H63" s="721"/>
      <c r="I63" s="721"/>
      <c r="J63" s="721"/>
      <c r="K63" s="721"/>
      <c r="L63" s="721"/>
      <c r="M63" s="721"/>
      <c r="N63" s="721"/>
      <c r="O63" s="721"/>
      <c r="P63" s="721"/>
      <c r="Q63" s="732"/>
    </row>
    <row r="64" spans="1:19" x14ac:dyDescent="0.2">
      <c r="B64" s="715" t="s">
        <v>226</v>
      </c>
      <c r="C64" s="724"/>
      <c r="D64" s="732"/>
      <c r="E64" s="732"/>
      <c r="F64" s="732"/>
      <c r="G64" s="732"/>
      <c r="H64" s="732"/>
      <c r="I64" s="732"/>
      <c r="J64" s="732"/>
      <c r="K64" s="732"/>
      <c r="L64" s="732"/>
      <c r="M64" s="732"/>
      <c r="N64" s="732"/>
      <c r="O64" s="732"/>
      <c r="P64" s="732"/>
      <c r="Q64" s="732"/>
    </row>
    <row r="65" spans="1:17" x14ac:dyDescent="0.2">
      <c r="B65" s="709" t="s">
        <v>72</v>
      </c>
      <c r="C65" s="724">
        <v>23</v>
      </c>
      <c r="D65" s="732">
        <f t="shared" ref="D65:O65" si="6">IFERROR(D9/D37,0)</f>
        <v>17.687805659530856</v>
      </c>
      <c r="E65" s="732">
        <f t="shared" si="6"/>
        <v>16.743609705659246</v>
      </c>
      <c r="F65" s="732">
        <f t="shared" si="6"/>
        <v>26.1900912076445</v>
      </c>
      <c r="G65" s="732">
        <f t="shared" si="6"/>
        <v>60.805494838664053</v>
      </c>
      <c r="H65" s="732">
        <f t="shared" si="6"/>
        <v>92.686256791900533</v>
      </c>
      <c r="I65" s="732">
        <f t="shared" si="6"/>
        <v>120.23313429078389</v>
      </c>
      <c r="J65" s="732">
        <f t="shared" si="6"/>
        <v>110.80196571779744</v>
      </c>
      <c r="K65" s="732">
        <f t="shared" si="6"/>
        <v>105.28418261607786</v>
      </c>
      <c r="L65" s="732">
        <f t="shared" si="6"/>
        <v>97.896013509476518</v>
      </c>
      <c r="M65" s="732">
        <f t="shared" si="6"/>
        <v>62.134368247708018</v>
      </c>
      <c r="N65" s="732">
        <f t="shared" si="6"/>
        <v>31.231691890419487</v>
      </c>
      <c r="O65" s="732">
        <f t="shared" si="6"/>
        <v>22.969174783729397</v>
      </c>
      <c r="P65" s="732">
        <f>SUM(D65:O65)</f>
        <v>764.66378925939171</v>
      </c>
      <c r="Q65" s="732"/>
    </row>
    <row r="66" spans="1:17" s="718" customFormat="1" x14ac:dyDescent="0.2">
      <c r="A66" s="709"/>
      <c r="B66" s="718" t="s">
        <v>101</v>
      </c>
      <c r="C66" s="718">
        <v>31</v>
      </c>
      <c r="D66" s="732">
        <f t="shared" ref="D66:O67" si="7">IFERROR(D11/D40,0)</f>
        <v>141.2947522922185</v>
      </c>
      <c r="E66" s="732">
        <f t="shared" si="7"/>
        <v>138.13265685002597</v>
      </c>
      <c r="F66" s="732">
        <f t="shared" si="7"/>
        <v>167.78571084449061</v>
      </c>
      <c r="G66" s="732">
        <f t="shared" si="7"/>
        <v>295.99460141090208</v>
      </c>
      <c r="H66" s="732">
        <f t="shared" si="7"/>
        <v>430.13764995755042</v>
      </c>
      <c r="I66" s="732">
        <f t="shared" si="7"/>
        <v>559.2587577492269</v>
      </c>
      <c r="J66" s="732">
        <f t="shared" si="7"/>
        <v>522.11762846903139</v>
      </c>
      <c r="K66" s="732">
        <f t="shared" si="7"/>
        <v>494.92348639111975</v>
      </c>
      <c r="L66" s="732">
        <f t="shared" si="7"/>
        <v>468.92344587600485</v>
      </c>
      <c r="M66" s="732">
        <f t="shared" si="7"/>
        <v>322.34986306124324</v>
      </c>
      <c r="N66" s="732">
        <f t="shared" si="7"/>
        <v>199.19355571066458</v>
      </c>
      <c r="O66" s="732">
        <f t="shared" si="7"/>
        <v>163.57530343546549</v>
      </c>
      <c r="P66" s="732">
        <f t="shared" ref="P66:P77" si="8">SUM(D66:O66)</f>
        <v>3903.6874120479433</v>
      </c>
      <c r="Q66" s="732"/>
    </row>
    <row r="67" spans="1:17" s="718" customFormat="1" x14ac:dyDescent="0.2">
      <c r="B67" s="718" t="s">
        <v>102</v>
      </c>
      <c r="C67" s="718">
        <v>41</v>
      </c>
      <c r="D67" s="721">
        <f t="shared" si="7"/>
        <v>1905.1533260359654</v>
      </c>
      <c r="E67" s="721">
        <f t="shared" si="7"/>
        <v>1810.7253857030637</v>
      </c>
      <c r="F67" s="721">
        <f t="shared" si="7"/>
        <v>2172.7225796875</v>
      </c>
      <c r="G67" s="721">
        <f t="shared" si="7"/>
        <v>3469.9582902723737</v>
      </c>
      <c r="H67" s="721">
        <f t="shared" si="7"/>
        <v>4409.5583816199378</v>
      </c>
      <c r="I67" s="721">
        <f t="shared" si="7"/>
        <v>5455.5501053042117</v>
      </c>
      <c r="J67" s="721">
        <f t="shared" si="7"/>
        <v>5107.0488254460824</v>
      </c>
      <c r="K67" s="721">
        <f t="shared" si="7"/>
        <v>4966.2944571651096</v>
      </c>
      <c r="L67" s="721">
        <f t="shared" si="7"/>
        <v>4844.3361950271956</v>
      </c>
      <c r="M67" s="721">
        <f t="shared" si="7"/>
        <v>3712.3396674418605</v>
      </c>
      <c r="N67" s="721">
        <f t="shared" si="7"/>
        <v>2562.8490085403728</v>
      </c>
      <c r="O67" s="721">
        <f t="shared" si="7"/>
        <v>1221.7960125</v>
      </c>
      <c r="P67" s="732">
        <f t="shared" si="8"/>
        <v>41638.332234743684</v>
      </c>
      <c r="Q67" s="732"/>
    </row>
    <row r="68" spans="1:17" x14ac:dyDescent="0.2">
      <c r="A68" s="718"/>
      <c r="B68" s="718" t="s">
        <v>105</v>
      </c>
      <c r="C68" s="718">
        <v>41</v>
      </c>
      <c r="D68" s="721">
        <f t="shared" ref="D68:O68" si="9">IFERROR(D18/D48,0)</f>
        <v>9059.3246329113917</v>
      </c>
      <c r="E68" s="721">
        <f t="shared" si="9"/>
        <v>9273.3659487179484</v>
      </c>
      <c r="F68" s="721">
        <f t="shared" si="9"/>
        <v>9134.0235316455692</v>
      </c>
      <c r="G68" s="721">
        <f t="shared" si="9"/>
        <v>11474.59362820513</v>
      </c>
      <c r="H68" s="721">
        <f t="shared" si="9"/>
        <v>11761.360973684212</v>
      </c>
      <c r="I68" s="721">
        <f t="shared" si="9"/>
        <v>12872.644118421053</v>
      </c>
      <c r="J68" s="721">
        <f t="shared" si="9"/>
        <v>12964.875630136987</v>
      </c>
      <c r="K68" s="721">
        <f t="shared" si="9"/>
        <v>12343.534561643835</v>
      </c>
      <c r="L68" s="721">
        <f t="shared" si="9"/>
        <v>12592.529136986301</v>
      </c>
      <c r="M68" s="721">
        <f t="shared" si="9"/>
        <v>11115.699452054796</v>
      </c>
      <c r="N68" s="721">
        <f t="shared" si="9"/>
        <v>9590.6460136986298</v>
      </c>
      <c r="O68" s="721">
        <f t="shared" si="9"/>
        <v>2898.4607500000002</v>
      </c>
      <c r="P68" s="732">
        <f t="shared" si="8"/>
        <v>125081.05837810584</v>
      </c>
      <c r="Q68" s="732"/>
    </row>
    <row r="69" spans="1:17" x14ac:dyDescent="0.2">
      <c r="B69" s="709" t="s">
        <v>259</v>
      </c>
      <c r="C69" s="724" t="s">
        <v>236</v>
      </c>
      <c r="D69" s="732">
        <f t="shared" ref="D69:O71" si="10">IFERROR(D23/D54,0)</f>
        <v>11698.312361111111</v>
      </c>
      <c r="E69" s="732">
        <f t="shared" si="10"/>
        <v>12591.843835616439</v>
      </c>
      <c r="F69" s="732">
        <f t="shared" si="10"/>
        <v>11819.167027027026</v>
      </c>
      <c r="G69" s="732">
        <f t="shared" si="10"/>
        <v>14047.792972972973</v>
      </c>
      <c r="H69" s="732">
        <f t="shared" si="10"/>
        <v>15215.05652</v>
      </c>
      <c r="I69" s="732">
        <f t="shared" si="10"/>
        <v>16658.248533333335</v>
      </c>
      <c r="J69" s="732">
        <f t="shared" si="10"/>
        <v>16311.329740259742</v>
      </c>
      <c r="K69" s="732">
        <f t="shared" si="10"/>
        <v>15436.595063291139</v>
      </c>
      <c r="L69" s="732">
        <f t="shared" si="10"/>
        <v>15814.884303797468</v>
      </c>
      <c r="M69" s="732">
        <f t="shared" si="10"/>
        <v>14016.499124999998</v>
      </c>
      <c r="N69" s="732">
        <f t="shared" si="10"/>
        <v>12314.101481481481</v>
      </c>
      <c r="O69" s="732">
        <f t="shared" si="10"/>
        <v>9566.5474117647063</v>
      </c>
      <c r="P69" s="732">
        <f t="shared" si="8"/>
        <v>165490.37837565542</v>
      </c>
      <c r="Q69" s="732"/>
    </row>
    <row r="70" spans="1:17" x14ac:dyDescent="0.2">
      <c r="B70" s="709" t="s">
        <v>260</v>
      </c>
      <c r="C70" s="724" t="s">
        <v>231</v>
      </c>
      <c r="D70" s="732">
        <f t="shared" si="10"/>
        <v>47604.094848484849</v>
      </c>
      <c r="E70" s="732">
        <f t="shared" si="10"/>
        <v>50075.781212121212</v>
      </c>
      <c r="F70" s="732">
        <f t="shared" si="10"/>
        <v>47377.325454545455</v>
      </c>
      <c r="G70" s="732">
        <f t="shared" si="10"/>
        <v>55247.084242424244</v>
      </c>
      <c r="H70" s="732">
        <f t="shared" si="10"/>
        <v>59414.943030303031</v>
      </c>
      <c r="I70" s="732">
        <f t="shared" si="10"/>
        <v>65897.281212121219</v>
      </c>
      <c r="J70" s="732">
        <f t="shared" si="10"/>
        <v>64188.24</v>
      </c>
      <c r="K70" s="732">
        <f t="shared" si="10"/>
        <v>60766.346969696977</v>
      </c>
      <c r="L70" s="732">
        <f t="shared" si="10"/>
        <v>63763.653939393938</v>
      </c>
      <c r="M70" s="732">
        <f t="shared" si="10"/>
        <v>55516.427272727276</v>
      </c>
      <c r="N70" s="732">
        <f t="shared" si="10"/>
        <v>54576.761212121215</v>
      </c>
      <c r="O70" s="732">
        <f t="shared" si="10"/>
        <v>52490.131818181813</v>
      </c>
      <c r="P70" s="732">
        <f t="shared" si="8"/>
        <v>676918.07121212129</v>
      </c>
      <c r="Q70" s="732"/>
    </row>
    <row r="71" spans="1:17" x14ac:dyDescent="0.2">
      <c r="B71" s="709" t="s">
        <v>263</v>
      </c>
      <c r="C71" s="724" t="s">
        <v>232</v>
      </c>
      <c r="D71" s="732">
        <f t="shared" si="10"/>
        <v>361377.07</v>
      </c>
      <c r="E71" s="732">
        <f t="shared" si="10"/>
        <v>358753.91666666669</v>
      </c>
      <c r="F71" s="732">
        <f t="shared" si="10"/>
        <v>368109.05666666664</v>
      </c>
      <c r="G71" s="732">
        <f t="shared" si="10"/>
        <v>498072.34</v>
      </c>
      <c r="H71" s="732">
        <f t="shared" si="10"/>
        <v>603797.35333333339</v>
      </c>
      <c r="I71" s="732">
        <f t="shared" si="10"/>
        <v>704891.54666666675</v>
      </c>
      <c r="J71" s="732">
        <f t="shared" si="10"/>
        <v>650486.62333333341</v>
      </c>
      <c r="K71" s="732">
        <f t="shared" si="10"/>
        <v>653697.9833333334</v>
      </c>
      <c r="L71" s="732">
        <f t="shared" si="10"/>
        <v>619147.54999999993</v>
      </c>
      <c r="M71" s="732">
        <f t="shared" si="10"/>
        <v>533286.96000000008</v>
      </c>
      <c r="N71" s="732">
        <f t="shared" si="10"/>
        <v>426229.94999999995</v>
      </c>
      <c r="O71" s="732">
        <f t="shared" si="10"/>
        <v>389346.98333333334</v>
      </c>
      <c r="P71" s="732">
        <f t="shared" si="8"/>
        <v>6167197.333333334</v>
      </c>
      <c r="Q71" s="732"/>
    </row>
    <row r="72" spans="1:17" x14ac:dyDescent="0.2">
      <c r="B72" s="709" t="s">
        <v>103</v>
      </c>
      <c r="C72" s="709">
        <v>85</v>
      </c>
      <c r="D72" s="732">
        <f t="shared" ref="D72:O74" si="11">IFERROR(D14/D44,0)</f>
        <v>28722.91128</v>
      </c>
      <c r="E72" s="732">
        <f t="shared" si="11"/>
        <v>26575.580199999997</v>
      </c>
      <c r="F72" s="732">
        <f t="shared" si="11"/>
        <v>33002.231333333337</v>
      </c>
      <c r="G72" s="732">
        <f t="shared" si="11"/>
        <v>50030.253320000003</v>
      </c>
      <c r="H72" s="732">
        <f t="shared" si="11"/>
        <v>62052.479000000007</v>
      </c>
      <c r="I72" s="732">
        <f t="shared" si="11"/>
        <v>74657.688320000001</v>
      </c>
      <c r="J72" s="732">
        <f t="shared" si="11"/>
        <v>68420.637560000003</v>
      </c>
      <c r="K72" s="732">
        <f t="shared" si="11"/>
        <v>63189.461520000004</v>
      </c>
      <c r="L72" s="732">
        <f t="shared" si="11"/>
        <v>65690.365439999994</v>
      </c>
      <c r="M72" s="732">
        <f t="shared" si="11"/>
        <v>49746.205439999998</v>
      </c>
      <c r="N72" s="732">
        <f t="shared" si="11"/>
        <v>36809.39544</v>
      </c>
      <c r="O72" s="732">
        <f t="shared" si="11"/>
        <v>29572.531000000003</v>
      </c>
      <c r="P72" s="732">
        <f t="shared" si="8"/>
        <v>588469.73985333333</v>
      </c>
      <c r="Q72" s="732"/>
    </row>
    <row r="73" spans="1:17" x14ac:dyDescent="0.2">
      <c r="B73" s="709" t="s">
        <v>108</v>
      </c>
      <c r="C73" s="709">
        <v>86</v>
      </c>
      <c r="D73" s="732">
        <f t="shared" si="11"/>
        <v>936.08321076233176</v>
      </c>
      <c r="E73" s="732">
        <f t="shared" si="11"/>
        <v>865.70760986547077</v>
      </c>
      <c r="F73" s="732">
        <f t="shared" si="11"/>
        <v>1436.2678340807176</v>
      </c>
      <c r="G73" s="732">
        <f t="shared" si="11"/>
        <v>3388.9188468468469</v>
      </c>
      <c r="H73" s="732">
        <f t="shared" si="11"/>
        <v>4626.2494954954955</v>
      </c>
      <c r="I73" s="732">
        <f t="shared" si="11"/>
        <v>5777.1443198198194</v>
      </c>
      <c r="J73" s="732">
        <f t="shared" si="11"/>
        <v>5345.6910315315317</v>
      </c>
      <c r="K73" s="732">
        <f t="shared" si="11"/>
        <v>4940.2971081081087</v>
      </c>
      <c r="L73" s="732">
        <f t="shared" si="11"/>
        <v>4994.4646936936933</v>
      </c>
      <c r="M73" s="732">
        <f t="shared" si="11"/>
        <v>3778.800576576577</v>
      </c>
      <c r="N73" s="732">
        <f t="shared" si="11"/>
        <v>2159.4525927601812</v>
      </c>
      <c r="O73" s="732">
        <f t="shared" si="11"/>
        <v>1392.9923257918551</v>
      </c>
      <c r="P73" s="732">
        <f t="shared" si="8"/>
        <v>39642.069645332631</v>
      </c>
      <c r="Q73" s="732"/>
    </row>
    <row r="74" spans="1:17" x14ac:dyDescent="0.2">
      <c r="B74" s="718" t="s">
        <v>265</v>
      </c>
      <c r="C74" s="718">
        <v>87</v>
      </c>
      <c r="D74" s="732">
        <f t="shared" si="11"/>
        <v>241032.62680000003</v>
      </c>
      <c r="E74" s="732">
        <f t="shared" si="11"/>
        <v>238246.59599999999</v>
      </c>
      <c r="F74" s="732">
        <f t="shared" si="11"/>
        <v>259490.80499999999</v>
      </c>
      <c r="G74" s="732">
        <f t="shared" si="11"/>
        <v>391665.37939999998</v>
      </c>
      <c r="H74" s="732">
        <f t="shared" si="11"/>
        <v>468374.47019999998</v>
      </c>
      <c r="I74" s="732">
        <f t="shared" si="11"/>
        <v>563495.49639999995</v>
      </c>
      <c r="J74" s="732">
        <f t="shared" si="11"/>
        <v>497614.6814</v>
      </c>
      <c r="K74" s="732">
        <f t="shared" si="11"/>
        <v>501209.15240000002</v>
      </c>
      <c r="L74" s="732">
        <f t="shared" si="11"/>
        <v>485988.87539999996</v>
      </c>
      <c r="M74" s="732">
        <f t="shared" si="11"/>
        <v>413250.18319999997</v>
      </c>
      <c r="N74" s="732">
        <f t="shared" si="11"/>
        <v>297142.0404</v>
      </c>
      <c r="O74" s="732">
        <f t="shared" si="11"/>
        <v>286110.21899999998</v>
      </c>
      <c r="P74" s="732">
        <f t="shared" si="8"/>
        <v>4643620.5255999994</v>
      </c>
      <c r="Q74" s="732"/>
    </row>
    <row r="75" spans="1:17" x14ac:dyDescent="0.2">
      <c r="B75" s="709" t="s">
        <v>535</v>
      </c>
      <c r="C75" s="719" t="s">
        <v>387</v>
      </c>
      <c r="D75" s="732">
        <f t="shared" ref="D75:O75" si="12">D13/D42</f>
        <v>76.98</v>
      </c>
      <c r="E75" s="732">
        <f t="shared" si="12"/>
        <v>27.25</v>
      </c>
      <c r="F75" s="732">
        <f t="shared" si="12"/>
        <v>218.87</v>
      </c>
      <c r="G75" s="732">
        <f t="shared" si="12"/>
        <v>1982.63</v>
      </c>
      <c r="H75" s="732">
        <f t="shared" si="12"/>
        <v>3323.76</v>
      </c>
      <c r="I75" s="732">
        <f t="shared" si="12"/>
        <v>4410.21</v>
      </c>
      <c r="J75" s="732">
        <f t="shared" si="12"/>
        <v>2530.87</v>
      </c>
      <c r="K75" s="732">
        <f t="shared" si="12"/>
        <v>3905.98</v>
      </c>
      <c r="L75" s="732">
        <f t="shared" si="12"/>
        <v>2821.34</v>
      </c>
      <c r="M75" s="732">
        <f t="shared" si="12"/>
        <v>1980.65</v>
      </c>
      <c r="N75" s="732">
        <f t="shared" si="12"/>
        <v>595.91</v>
      </c>
      <c r="O75" s="732">
        <f t="shared" si="12"/>
        <v>27.44</v>
      </c>
      <c r="P75" s="732">
        <f t="shared" si="8"/>
        <v>21901.89</v>
      </c>
      <c r="Q75" s="732"/>
    </row>
    <row r="76" spans="1:17" s="739" customFormat="1" x14ac:dyDescent="0.2">
      <c r="A76" s="709"/>
      <c r="B76" s="709" t="s">
        <v>104</v>
      </c>
      <c r="C76" s="709">
        <v>31</v>
      </c>
      <c r="D76" s="732">
        <f t="shared" ref="D76:O76" si="13">IFERROR(D17/D47,0)</f>
        <v>176.39866339285715</v>
      </c>
      <c r="E76" s="732">
        <f t="shared" si="13"/>
        <v>186.12542319749215</v>
      </c>
      <c r="F76" s="732">
        <f t="shared" si="13"/>
        <v>224.89760933991917</v>
      </c>
      <c r="G76" s="732">
        <f t="shared" si="13"/>
        <v>450.55650738255031</v>
      </c>
      <c r="H76" s="732">
        <f t="shared" si="13"/>
        <v>681.71591302408569</v>
      </c>
      <c r="I76" s="732">
        <f t="shared" si="13"/>
        <v>908.77061041852187</v>
      </c>
      <c r="J76" s="732">
        <f t="shared" si="13"/>
        <v>874.01751334519577</v>
      </c>
      <c r="K76" s="732">
        <f t="shared" si="13"/>
        <v>837.60411165480434</v>
      </c>
      <c r="L76" s="732">
        <f t="shared" si="13"/>
        <v>747.18489076376557</v>
      </c>
      <c r="M76" s="732">
        <f t="shared" si="13"/>
        <v>473.90566236080178</v>
      </c>
      <c r="N76" s="732">
        <f t="shared" si="13"/>
        <v>249.68386574487064</v>
      </c>
      <c r="O76" s="732">
        <f t="shared" si="13"/>
        <v>192.28361700223715</v>
      </c>
      <c r="P76" s="732">
        <f t="shared" si="8"/>
        <v>6003.1443876271023</v>
      </c>
      <c r="Q76" s="738"/>
    </row>
    <row r="77" spans="1:17" ht="15" x14ac:dyDescent="0.25">
      <c r="A77" s="739"/>
      <c r="B77" s="725" t="s">
        <v>270</v>
      </c>
      <c r="C77" s="740" t="s">
        <v>346</v>
      </c>
      <c r="D77" s="738">
        <f t="shared" ref="D77:O77" si="14">IFERROR(D30/D61,0)</f>
        <v>192133.49100000001</v>
      </c>
      <c r="E77" s="738">
        <f t="shared" si="14"/>
        <v>186918.77499999999</v>
      </c>
      <c r="F77" s="738">
        <f t="shared" si="14"/>
        <v>194319.399</v>
      </c>
      <c r="G77" s="738">
        <f t="shared" si="14"/>
        <v>301451.15600000002</v>
      </c>
      <c r="H77" s="738">
        <f t="shared" si="14"/>
        <v>374526.26199999999</v>
      </c>
      <c r="I77" s="738">
        <f t="shared" si="14"/>
        <v>443657.84100000001</v>
      </c>
      <c r="J77" s="738">
        <f t="shared" si="14"/>
        <v>403242.77399999998</v>
      </c>
      <c r="K77" s="738">
        <f t="shared" si="14"/>
        <v>411489.82699999993</v>
      </c>
      <c r="L77" s="738">
        <f t="shared" si="14"/>
        <v>380641.09299999999</v>
      </c>
      <c r="M77" s="738">
        <f t="shared" si="14"/>
        <v>315636.84099999996</v>
      </c>
      <c r="N77" s="738">
        <f t="shared" si="14"/>
        <v>231740.204</v>
      </c>
      <c r="O77" s="738">
        <f t="shared" si="14"/>
        <v>213688.50499999998</v>
      </c>
      <c r="P77" s="732">
        <f t="shared" si="8"/>
        <v>3649446.1679999996</v>
      </c>
      <c r="Q77" s="732"/>
    </row>
    <row r="78" spans="1:17" x14ac:dyDescent="0.2">
      <c r="C78" s="724"/>
      <c r="D78" s="732"/>
      <c r="E78" s="732"/>
      <c r="F78" s="732"/>
      <c r="G78" s="732"/>
      <c r="H78" s="732"/>
      <c r="I78" s="732"/>
      <c r="J78" s="732"/>
      <c r="K78" s="732"/>
      <c r="L78" s="732"/>
      <c r="M78" s="732"/>
      <c r="N78" s="732"/>
      <c r="O78" s="732"/>
      <c r="P78" s="732"/>
      <c r="Q78" s="732"/>
    </row>
    <row r="79" spans="1:17" s="718" customFormat="1" x14ac:dyDescent="0.2">
      <c r="A79" s="709"/>
      <c r="B79" s="715" t="s">
        <v>121</v>
      </c>
      <c r="C79" s="724"/>
      <c r="D79" s="732"/>
      <c r="E79" s="732"/>
      <c r="F79" s="732"/>
      <c r="G79" s="732"/>
      <c r="H79" s="732"/>
      <c r="I79" s="732"/>
      <c r="J79" s="732"/>
      <c r="K79" s="732"/>
      <c r="L79" s="732"/>
      <c r="M79" s="732"/>
      <c r="N79" s="732"/>
      <c r="O79" s="732"/>
      <c r="P79" s="732"/>
      <c r="Q79" s="721"/>
    </row>
    <row r="80" spans="1:17" s="718" customFormat="1" x14ac:dyDescent="0.2">
      <c r="B80" s="718" t="s">
        <v>228</v>
      </c>
      <c r="C80" s="719"/>
      <c r="D80" s="741">
        <f>SystemWeatherAdj!$Q$15</f>
        <v>18.916799999999999</v>
      </c>
      <c r="E80" s="741">
        <f>SystemWeatherAdj!$Q$16</f>
        <v>4.7084000000000001</v>
      </c>
      <c r="F80" s="741">
        <f>SystemWeatherAdj!$Q$17</f>
        <v>102.2084</v>
      </c>
      <c r="G80" s="741">
        <f>SystemWeatherAdj!$Q$18</f>
        <v>389.20829999999995</v>
      </c>
      <c r="H80" s="741">
        <f>SystemWeatherAdj!$Q$19</f>
        <v>563.87490000000003</v>
      </c>
      <c r="I80" s="741">
        <f>SystemWeatherAdj!$Q$20</f>
        <v>780.5</v>
      </c>
      <c r="J80" s="741">
        <f>SystemWeatherAdj!$Q$21</f>
        <v>628.70833333333326</v>
      </c>
      <c r="K80" s="741">
        <f>SystemWeatherAdj!$Q$22</f>
        <v>672.58333333333303</v>
      </c>
      <c r="L80" s="741">
        <f>SystemWeatherAdj!$Q$23</f>
        <v>589.02083333333303</v>
      </c>
      <c r="M80" s="741">
        <f>SystemWeatherAdj!$Q$24</f>
        <v>419.04166666666703</v>
      </c>
      <c r="N80" s="741">
        <f>SystemWeatherAdj!$Q$25</f>
        <v>172.458333333333</v>
      </c>
      <c r="O80" s="741">
        <f>SystemWeatherAdj!$Q$26</f>
        <v>124.833333333333</v>
      </c>
      <c r="P80" s="721">
        <f>SUM(D80:O80)</f>
        <v>4466.0626333333321</v>
      </c>
      <c r="Q80" s="721"/>
    </row>
    <row r="81" spans="1:23" s="718" customFormat="1" x14ac:dyDescent="0.2">
      <c r="B81" s="718" t="s">
        <v>127</v>
      </c>
      <c r="C81" s="719"/>
      <c r="D81" s="741">
        <f>SystemWeatherAdj!$P$15</f>
        <v>57.0138888888889</v>
      </c>
      <c r="E81" s="741">
        <f>SystemWeatherAdj!$P$16</f>
        <v>47.509722222222202</v>
      </c>
      <c r="F81" s="741">
        <f>SystemWeatherAdj!$P$17</f>
        <v>136.759722222222</v>
      </c>
      <c r="G81" s="741">
        <f>SystemWeatherAdj!$P$18</f>
        <v>386.027777777778</v>
      </c>
      <c r="H81" s="741">
        <f>SystemWeatherAdj!$P$19</f>
        <v>583.59097222222204</v>
      </c>
      <c r="I81" s="741">
        <f>SystemWeatherAdj!$P$20</f>
        <v>747.57777777777801</v>
      </c>
      <c r="J81" s="741">
        <f>SystemWeatherAdj!$P$21</f>
        <v>723.21388888888896</v>
      </c>
      <c r="K81" s="741">
        <f>SystemWeatherAdj!$P$22</f>
        <v>616.98611111111097</v>
      </c>
      <c r="L81" s="741">
        <f>SystemWeatherAdj!$P$23</f>
        <v>592.16805555555595</v>
      </c>
      <c r="M81" s="741">
        <f>SystemWeatherAdj!$P$24</f>
        <v>450.14722222222201</v>
      </c>
      <c r="N81" s="741">
        <f>SystemWeatherAdj!$P$25</f>
        <v>296.66111111111098</v>
      </c>
      <c r="O81" s="741">
        <f>SystemWeatherAdj!$P$26</f>
        <v>162.50833333333301</v>
      </c>
      <c r="P81" s="721">
        <f>SUM(D81:O81)</f>
        <v>4800.1645833333332</v>
      </c>
      <c r="Q81" s="742"/>
    </row>
    <row r="82" spans="1:23" x14ac:dyDescent="0.2">
      <c r="A82" s="718"/>
      <c r="B82" s="718" t="s">
        <v>300</v>
      </c>
      <c r="C82" s="719"/>
      <c r="D82" s="730">
        <f t="shared" ref="D82:P82" si="15">D80-D81</f>
        <v>-38.097088888888905</v>
      </c>
      <c r="E82" s="730">
        <f t="shared" si="15"/>
        <v>-42.801322222222204</v>
      </c>
      <c r="F82" s="730">
        <f t="shared" si="15"/>
        <v>-34.551322222221998</v>
      </c>
      <c r="G82" s="730">
        <f t="shared" si="15"/>
        <v>3.1805222222219527</v>
      </c>
      <c r="H82" s="730">
        <f t="shared" si="15"/>
        <v>-19.71607222222201</v>
      </c>
      <c r="I82" s="730">
        <f t="shared" si="15"/>
        <v>32.92222222222199</v>
      </c>
      <c r="J82" s="730">
        <f t="shared" si="15"/>
        <v>-94.505555555555702</v>
      </c>
      <c r="K82" s="730">
        <f t="shared" si="15"/>
        <v>55.597222222222058</v>
      </c>
      <c r="L82" s="730">
        <f t="shared" si="15"/>
        <v>-3.147222222222922</v>
      </c>
      <c r="M82" s="730">
        <f t="shared" si="15"/>
        <v>-31.105555555554986</v>
      </c>
      <c r="N82" s="730">
        <f t="shared" si="15"/>
        <v>-124.20277777777798</v>
      </c>
      <c r="O82" s="730">
        <f t="shared" si="15"/>
        <v>-37.675000000000011</v>
      </c>
      <c r="P82" s="730">
        <f t="shared" si="15"/>
        <v>-334.10195000000112</v>
      </c>
      <c r="Q82" s="732"/>
    </row>
    <row r="83" spans="1:23" x14ac:dyDescent="0.2">
      <c r="C83" s="724"/>
      <c r="D83" s="732"/>
      <c r="E83" s="732"/>
      <c r="F83" s="732"/>
      <c r="G83" s="732"/>
      <c r="H83" s="732"/>
      <c r="I83" s="732"/>
      <c r="J83" s="732"/>
      <c r="K83" s="732"/>
      <c r="L83" s="732"/>
      <c r="M83" s="732"/>
      <c r="N83" s="732"/>
      <c r="O83" s="732"/>
      <c r="P83" s="732"/>
      <c r="Q83" s="732"/>
    </row>
    <row r="84" spans="1:23" s="718" customFormat="1" x14ac:dyDescent="0.2">
      <c r="A84" s="709"/>
      <c r="B84" s="715" t="s">
        <v>122</v>
      </c>
      <c r="C84" s="724"/>
      <c r="D84" s="732"/>
      <c r="E84" s="732"/>
      <c r="F84" s="732"/>
      <c r="G84" s="732"/>
      <c r="H84" s="732"/>
      <c r="I84" s="732"/>
      <c r="J84" s="732"/>
      <c r="K84" s="732"/>
      <c r="L84" s="732"/>
      <c r="M84" s="732"/>
      <c r="N84" s="732"/>
      <c r="O84" s="732"/>
      <c r="P84" s="732"/>
      <c r="Q84" s="721"/>
      <c r="R84" s="743"/>
      <c r="S84" s="743"/>
      <c r="T84" s="743"/>
      <c r="U84" s="743"/>
      <c r="V84" s="743"/>
      <c r="W84" s="743"/>
    </row>
    <row r="85" spans="1:23" s="718" customFormat="1" x14ac:dyDescent="0.2">
      <c r="B85" s="709" t="s">
        <v>72</v>
      </c>
      <c r="C85" s="719">
        <v>23</v>
      </c>
      <c r="D85" s="744">
        <v>0</v>
      </c>
      <c r="E85" s="744">
        <v>0</v>
      </c>
      <c r="F85" s="744">
        <v>6.1267000000000002E-2</v>
      </c>
      <c r="G85" s="744">
        <v>0.10335</v>
      </c>
      <c r="H85" s="744">
        <v>0.13109000000000001</v>
      </c>
      <c r="I85" s="744">
        <v>0.14038600000000001</v>
      </c>
      <c r="J85" s="744">
        <v>0.14258899999999999</v>
      </c>
      <c r="K85" s="744">
        <v>0.13567199999999999</v>
      </c>
      <c r="L85" s="744">
        <v>0.12486899999999999</v>
      </c>
      <c r="M85" s="744">
        <v>9.7504999999999994E-2</v>
      </c>
      <c r="N85" s="744">
        <v>7.7023999999999995E-2</v>
      </c>
      <c r="O85" s="744">
        <v>4.9307999999999998E-2</v>
      </c>
      <c r="P85" s="721"/>
      <c r="Q85" s="721"/>
      <c r="R85" s="743"/>
      <c r="S85" s="743"/>
      <c r="T85" s="743"/>
      <c r="U85" s="743"/>
      <c r="V85" s="743"/>
      <c r="W85" s="743"/>
    </row>
    <row r="86" spans="1:23" s="718" customFormat="1" x14ac:dyDescent="0.2">
      <c r="B86" s="718" t="s">
        <v>101</v>
      </c>
      <c r="C86" s="718">
        <v>31</v>
      </c>
      <c r="D86" s="744">
        <v>0</v>
      </c>
      <c r="E86" s="744">
        <v>0</v>
      </c>
      <c r="F86" s="744">
        <v>0</v>
      </c>
      <c r="G86" s="744">
        <v>0.28602899999999998</v>
      </c>
      <c r="H86" s="744">
        <v>0.43996600000000002</v>
      </c>
      <c r="I86" s="744">
        <v>0.51790400000000003</v>
      </c>
      <c r="J86" s="744">
        <v>0.53004700000000005</v>
      </c>
      <c r="K86" s="744">
        <v>0.48302200000000001</v>
      </c>
      <c r="L86" s="744">
        <v>0.44266800000000001</v>
      </c>
      <c r="M86" s="744">
        <v>0.30964599999999998</v>
      </c>
      <c r="N86" s="744">
        <v>0.20496700000000001</v>
      </c>
      <c r="O86" s="744">
        <v>0</v>
      </c>
      <c r="P86" s="721"/>
      <c r="Q86" s="721"/>
      <c r="R86" s="743"/>
      <c r="S86" s="743"/>
      <c r="T86" s="743"/>
      <c r="U86" s="743"/>
      <c r="V86" s="743"/>
      <c r="W86" s="743"/>
    </row>
    <row r="87" spans="1:23" s="718" customFormat="1" x14ac:dyDescent="0.2">
      <c r="B87" s="718" t="s">
        <v>102</v>
      </c>
      <c r="C87" s="718">
        <v>41</v>
      </c>
      <c r="D87" s="744">
        <v>0</v>
      </c>
      <c r="E87" s="744">
        <v>0</v>
      </c>
      <c r="F87" s="744">
        <v>1.8869560000000001</v>
      </c>
      <c r="G87" s="744">
        <v>3.3324769999999999</v>
      </c>
      <c r="H87" s="744">
        <v>3.9634170000000002</v>
      </c>
      <c r="I87" s="744">
        <v>4.3025140000000004</v>
      </c>
      <c r="J87" s="744">
        <v>4.4232339999999999</v>
      </c>
      <c r="K87" s="744">
        <v>4.0960900000000002</v>
      </c>
      <c r="L87" s="744">
        <v>4.2550169999999996</v>
      </c>
      <c r="M87" s="744">
        <v>3.3169300000000002</v>
      </c>
      <c r="N87" s="744">
        <v>3.0851820000000001</v>
      </c>
      <c r="O87" s="744">
        <v>2.3724050000000001</v>
      </c>
      <c r="P87" s="721"/>
      <c r="Q87" s="721"/>
      <c r="R87" s="743"/>
      <c r="S87" s="743"/>
      <c r="T87" s="743"/>
      <c r="U87" s="743"/>
      <c r="V87" s="743"/>
      <c r="W87" s="743"/>
    </row>
    <row r="88" spans="1:23" s="718" customFormat="1" x14ac:dyDescent="0.2">
      <c r="B88" s="709" t="s">
        <v>259</v>
      </c>
      <c r="C88" s="724" t="s">
        <v>236</v>
      </c>
      <c r="D88" s="744">
        <v>0</v>
      </c>
      <c r="E88" s="744">
        <v>0</v>
      </c>
      <c r="F88" s="744">
        <v>0</v>
      </c>
      <c r="G88" s="744">
        <v>4.9070229999999997</v>
      </c>
      <c r="H88" s="744">
        <v>5.0952380000000002</v>
      </c>
      <c r="I88" s="744">
        <v>5.9990639999999997</v>
      </c>
      <c r="J88" s="744">
        <v>6.2450140000000003</v>
      </c>
      <c r="K88" s="744">
        <v>5.5843040000000004</v>
      </c>
      <c r="L88" s="744">
        <v>6.6018319999999999</v>
      </c>
      <c r="M88" s="744">
        <v>4.4300100000000002</v>
      </c>
      <c r="N88" s="744">
        <v>3.1402450000000002</v>
      </c>
      <c r="O88" s="744">
        <v>0</v>
      </c>
      <c r="P88" s="721"/>
      <c r="Q88" s="721"/>
      <c r="R88" s="743"/>
      <c r="S88" s="743"/>
      <c r="T88" s="743"/>
      <c r="U88" s="743"/>
      <c r="V88" s="743"/>
      <c r="W88" s="743"/>
    </row>
    <row r="89" spans="1:23" s="718" customFormat="1" x14ac:dyDescent="0.2">
      <c r="B89" s="709" t="s">
        <v>260</v>
      </c>
      <c r="C89" s="724" t="s">
        <v>231</v>
      </c>
      <c r="D89" s="744">
        <v>0</v>
      </c>
      <c r="E89" s="744">
        <v>0</v>
      </c>
      <c r="F89" s="744">
        <v>0</v>
      </c>
      <c r="G89" s="744">
        <v>19.421810000000001</v>
      </c>
      <c r="H89" s="744">
        <v>20.552879999999998</v>
      </c>
      <c r="I89" s="744">
        <v>25.147639999999999</v>
      </c>
      <c r="J89" s="744">
        <v>25.863019999999999</v>
      </c>
      <c r="K89" s="744">
        <v>17.022880000000001</v>
      </c>
      <c r="L89" s="744">
        <v>23.35707</v>
      </c>
      <c r="M89" s="744">
        <v>17.929849999999998</v>
      </c>
      <c r="N89" s="744">
        <v>18.489039999999999</v>
      </c>
      <c r="O89" s="744">
        <v>15.670389999999999</v>
      </c>
      <c r="P89" s="721"/>
      <c r="Q89" s="721"/>
      <c r="R89" s="743"/>
      <c r="S89" s="743"/>
      <c r="T89" s="743"/>
      <c r="U89" s="743"/>
      <c r="V89" s="743"/>
      <c r="W89" s="743"/>
    </row>
    <row r="90" spans="1:23" s="718" customFormat="1" x14ac:dyDescent="0.2">
      <c r="B90" s="709" t="s">
        <v>263</v>
      </c>
      <c r="C90" s="724" t="s">
        <v>232</v>
      </c>
      <c r="D90" s="744">
        <v>0</v>
      </c>
      <c r="E90" s="744">
        <v>0</v>
      </c>
      <c r="F90" s="744"/>
      <c r="G90" s="744">
        <v>292.32600000000002</v>
      </c>
      <c r="H90" s="744">
        <v>405.23860000000002</v>
      </c>
      <c r="I90" s="744">
        <v>489.97309999999999</v>
      </c>
      <c r="J90" s="744">
        <v>498.61770000000001</v>
      </c>
      <c r="K90" s="744">
        <v>416.05340000000001</v>
      </c>
      <c r="L90" s="744">
        <v>437.85559999999998</v>
      </c>
      <c r="M90" s="744">
        <v>350.5145</v>
      </c>
      <c r="N90" s="744">
        <v>357.57459999999998</v>
      </c>
      <c r="O90" s="744">
        <v>231.9744</v>
      </c>
      <c r="P90" s="721"/>
      <c r="Q90" s="721"/>
      <c r="R90" s="743"/>
      <c r="S90" s="743"/>
      <c r="T90" s="743"/>
      <c r="U90" s="743"/>
      <c r="V90" s="743"/>
      <c r="W90" s="743"/>
    </row>
    <row r="91" spans="1:23" s="718" customFormat="1" x14ac:dyDescent="0.2">
      <c r="B91" s="718" t="s">
        <v>103</v>
      </c>
      <c r="C91" s="718">
        <v>85</v>
      </c>
      <c r="D91" s="744">
        <v>0</v>
      </c>
      <c r="E91" s="744">
        <v>0</v>
      </c>
      <c r="F91" s="744">
        <v>0</v>
      </c>
      <c r="G91" s="744">
        <v>42.228180000000002</v>
      </c>
      <c r="H91" s="744">
        <v>47.382179999999998</v>
      </c>
      <c r="I91" s="744">
        <v>51.544719999999998</v>
      </c>
      <c r="J91" s="744">
        <v>54.698979999999999</v>
      </c>
      <c r="K91" s="744">
        <v>51.855840000000001</v>
      </c>
      <c r="L91" s="744">
        <v>54.701529999999998</v>
      </c>
      <c r="M91" s="744">
        <v>47.905470000000001</v>
      </c>
      <c r="N91" s="744">
        <v>41.308880000000002</v>
      </c>
      <c r="O91" s="744">
        <v>0</v>
      </c>
      <c r="P91" s="721"/>
      <c r="Q91" s="721"/>
      <c r="R91" s="743"/>
      <c r="S91" s="743"/>
      <c r="T91" s="743"/>
      <c r="U91" s="743"/>
      <c r="V91" s="743"/>
      <c r="W91" s="743"/>
    </row>
    <row r="92" spans="1:23" s="718" customFormat="1" x14ac:dyDescent="0.2">
      <c r="B92" s="718" t="s">
        <v>108</v>
      </c>
      <c r="C92" s="718">
        <v>86</v>
      </c>
      <c r="D92" s="744">
        <v>0</v>
      </c>
      <c r="E92" s="744">
        <v>0</v>
      </c>
      <c r="F92" s="744">
        <v>3.8223630000000002</v>
      </c>
      <c r="G92" s="744">
        <v>5.5541510000000001</v>
      </c>
      <c r="H92" s="744">
        <v>5.9706299999999999</v>
      </c>
      <c r="I92" s="744">
        <v>5.9919729999999998</v>
      </c>
      <c r="J92" s="744">
        <v>6.306381</v>
      </c>
      <c r="K92" s="744">
        <v>6.3312249999999999</v>
      </c>
      <c r="L92" s="744">
        <v>6.47736</v>
      </c>
      <c r="M92" s="744">
        <v>5.6191269999999998</v>
      </c>
      <c r="N92" s="744">
        <v>5.4516109999999998</v>
      </c>
      <c r="O92" s="744">
        <v>4.0647390000000003</v>
      </c>
      <c r="P92" s="721"/>
      <c r="Q92" s="721"/>
      <c r="R92" s="745"/>
      <c r="S92" s="745"/>
      <c r="T92" s="743"/>
      <c r="U92" s="743"/>
      <c r="V92" s="743"/>
      <c r="W92" s="743"/>
    </row>
    <row r="93" spans="1:23" s="718" customFormat="1" x14ac:dyDescent="0.2">
      <c r="B93" s="718" t="s">
        <v>265</v>
      </c>
      <c r="C93" s="718">
        <v>87</v>
      </c>
      <c r="D93" s="744">
        <v>0</v>
      </c>
      <c r="E93" s="744">
        <v>0</v>
      </c>
      <c r="F93" s="744">
        <v>0</v>
      </c>
      <c r="G93" s="744">
        <v>262.26600000000002</v>
      </c>
      <c r="H93" s="744">
        <v>312.3014</v>
      </c>
      <c r="I93" s="744">
        <v>353.04090000000002</v>
      </c>
      <c r="J93" s="744">
        <v>365.73469999999998</v>
      </c>
      <c r="K93" s="744">
        <v>312.01679999999999</v>
      </c>
      <c r="L93" s="744">
        <v>327.76979999999998</v>
      </c>
      <c r="M93" s="744">
        <v>283.70179999999999</v>
      </c>
      <c r="N93" s="744">
        <v>241.9436</v>
      </c>
      <c r="O93" s="744">
        <v>0</v>
      </c>
      <c r="P93" s="721"/>
      <c r="Q93" s="721"/>
      <c r="R93" s="743"/>
      <c r="S93" s="743"/>
      <c r="T93" s="743"/>
      <c r="U93" s="743"/>
      <c r="V93" s="743"/>
      <c r="W93" s="743"/>
    </row>
    <row r="94" spans="1:23" s="718" customFormat="1" x14ac:dyDescent="0.2">
      <c r="B94" s="718" t="s">
        <v>104</v>
      </c>
      <c r="C94" s="718">
        <v>31</v>
      </c>
      <c r="D94" s="744">
        <v>0</v>
      </c>
      <c r="E94" s="744">
        <v>0</v>
      </c>
      <c r="F94" s="744">
        <v>0.36427500000000002</v>
      </c>
      <c r="G94" s="744">
        <v>0.622251</v>
      </c>
      <c r="H94" s="744">
        <v>0.84462899999999996</v>
      </c>
      <c r="I94" s="744">
        <v>0.98157099999999997</v>
      </c>
      <c r="J94" s="744">
        <v>1.0246230000000001</v>
      </c>
      <c r="K94" s="744">
        <v>0.96336599999999994</v>
      </c>
      <c r="L94" s="744">
        <v>0.87563599999999997</v>
      </c>
      <c r="M94" s="744">
        <v>0.62440799999999996</v>
      </c>
      <c r="N94" s="744">
        <v>0.46065400000000001</v>
      </c>
      <c r="O94" s="744">
        <v>0.267515</v>
      </c>
      <c r="P94" s="721"/>
      <c r="Q94" s="721"/>
      <c r="R94" s="743"/>
      <c r="S94" s="743"/>
      <c r="T94" s="743"/>
      <c r="U94" s="743"/>
      <c r="V94" s="743"/>
      <c r="W94" s="743"/>
    </row>
    <row r="95" spans="1:23" s="725" customFormat="1" x14ac:dyDescent="0.2">
      <c r="A95" s="718"/>
      <c r="B95" s="718" t="s">
        <v>105</v>
      </c>
      <c r="C95" s="718">
        <v>41</v>
      </c>
      <c r="D95" s="744">
        <v>0</v>
      </c>
      <c r="E95" s="744">
        <v>0</v>
      </c>
      <c r="F95" s="744">
        <v>0</v>
      </c>
      <c r="G95" s="744">
        <v>4.8871190000000002</v>
      </c>
      <c r="H95" s="744">
        <v>4.1200489999999999</v>
      </c>
      <c r="I95" s="744">
        <v>4.2082819999999996</v>
      </c>
      <c r="J95" s="744">
        <v>4.7613620000000001</v>
      </c>
      <c r="K95" s="744">
        <v>3.7076060000000002</v>
      </c>
      <c r="L95" s="744">
        <v>5.6337640000000002</v>
      </c>
      <c r="M95" s="744">
        <v>3.607056</v>
      </c>
      <c r="N95" s="744">
        <v>2.9865780000000002</v>
      </c>
      <c r="O95" s="744">
        <v>0</v>
      </c>
      <c r="P95" s="721"/>
      <c r="Q95" s="729"/>
      <c r="R95" s="746"/>
      <c r="S95" s="746"/>
      <c r="T95" s="747"/>
      <c r="U95" s="747"/>
      <c r="V95" s="747"/>
      <c r="W95" s="747"/>
    </row>
    <row r="96" spans="1:23" ht="15" x14ac:dyDescent="0.25">
      <c r="A96" s="725"/>
      <c r="B96" s="740"/>
      <c r="C96" s="726" t="s">
        <v>346</v>
      </c>
      <c r="D96" s="748">
        <v>0</v>
      </c>
      <c r="E96" s="748">
        <v>0</v>
      </c>
      <c r="F96" s="748">
        <v>191.56610000000001</v>
      </c>
      <c r="G96" s="748">
        <v>304.52820000000003</v>
      </c>
      <c r="H96" s="748">
        <v>327.96660000000003</v>
      </c>
      <c r="I96" s="748">
        <v>325.36750000000001</v>
      </c>
      <c r="J96" s="748">
        <v>366.29660000000001</v>
      </c>
      <c r="K96" s="748">
        <v>343.17970000000003</v>
      </c>
      <c r="L96" s="748">
        <v>353.94880000000001</v>
      </c>
      <c r="M96" s="748">
        <v>310.79880000000003</v>
      </c>
      <c r="N96" s="748">
        <v>284.05250000000001</v>
      </c>
      <c r="O96" s="748">
        <v>242.88679999999999</v>
      </c>
      <c r="P96" s="729"/>
      <c r="Q96" s="732"/>
    </row>
    <row r="97" spans="1:17" x14ac:dyDescent="0.2">
      <c r="C97" s="724"/>
      <c r="D97" s="732"/>
      <c r="E97" s="732"/>
      <c r="F97" s="732"/>
      <c r="G97" s="732"/>
      <c r="H97" s="732"/>
      <c r="I97" s="732"/>
      <c r="J97" s="732"/>
      <c r="K97" s="732"/>
      <c r="L97" s="732"/>
      <c r="M97" s="732"/>
      <c r="N97" s="732"/>
      <c r="O97" s="732"/>
      <c r="P97" s="732"/>
      <c r="Q97" s="732"/>
    </row>
    <row r="98" spans="1:17" x14ac:dyDescent="0.2">
      <c r="B98" s="715" t="s">
        <v>216</v>
      </c>
      <c r="C98" s="724"/>
      <c r="D98" s="732"/>
      <c r="E98" s="732"/>
      <c r="F98" s="732"/>
      <c r="G98" s="732"/>
      <c r="H98" s="732"/>
      <c r="I98" s="732"/>
      <c r="J98" s="732"/>
      <c r="K98" s="732"/>
      <c r="L98" s="732"/>
      <c r="M98" s="732"/>
      <c r="N98" s="732"/>
      <c r="O98" s="732"/>
      <c r="P98" s="732"/>
      <c r="Q98" s="732"/>
    </row>
    <row r="99" spans="1:17" x14ac:dyDescent="0.2">
      <c r="B99" s="709" t="s">
        <v>72</v>
      </c>
      <c r="C99" s="724">
        <v>23</v>
      </c>
      <c r="D99" s="732">
        <f t="shared" ref="D99:O101" si="16">IF(D65=0,0,D65+D85*(-D$82))</f>
        <v>17.687805659530856</v>
      </c>
      <c r="E99" s="732">
        <f t="shared" si="16"/>
        <v>16.743609705659246</v>
      </c>
      <c r="F99" s="732">
        <f t="shared" si="16"/>
        <v>28.306947066233374</v>
      </c>
      <c r="G99" s="732">
        <f t="shared" si="16"/>
        <v>60.476787866997412</v>
      </c>
      <c r="H99" s="732">
        <f t="shared" si="16"/>
        <v>95.270836699511619</v>
      </c>
      <c r="I99" s="732">
        <f t="shared" si="16"/>
        <v>115.61131520189504</v>
      </c>
      <c r="J99" s="732">
        <f t="shared" si="16"/>
        <v>124.27741837890858</v>
      </c>
      <c r="K99" s="732">
        <f t="shared" si="16"/>
        <v>97.741196282744539</v>
      </c>
      <c r="L99" s="732">
        <f t="shared" si="16"/>
        <v>98.289004001143269</v>
      </c>
      <c r="M99" s="732">
        <f t="shared" si="16"/>
        <v>65.1673154421524</v>
      </c>
      <c r="N99" s="732">
        <f t="shared" si="16"/>
        <v>40.798286645975054</v>
      </c>
      <c r="O99" s="732">
        <f t="shared" si="16"/>
        <v>24.826853683729396</v>
      </c>
      <c r="P99" s="732">
        <f>SUM(D99:O99)</f>
        <v>785.19737663448063</v>
      </c>
      <c r="Q99" s="732"/>
    </row>
    <row r="100" spans="1:17" x14ac:dyDescent="0.2">
      <c r="B100" s="718" t="s">
        <v>101</v>
      </c>
      <c r="C100" s="724">
        <v>31</v>
      </c>
      <c r="D100" s="732">
        <f t="shared" si="16"/>
        <v>141.2947522922185</v>
      </c>
      <c r="E100" s="732">
        <f t="shared" si="16"/>
        <v>138.13265685002597</v>
      </c>
      <c r="F100" s="732">
        <f t="shared" si="16"/>
        <v>167.78571084449061</v>
      </c>
      <c r="G100" s="732">
        <f t="shared" si="16"/>
        <v>295.08487982020216</v>
      </c>
      <c r="H100" s="732">
        <f t="shared" si="16"/>
        <v>438.81205138887253</v>
      </c>
      <c r="I100" s="732">
        <f t="shared" si="16"/>
        <v>542.2082071714492</v>
      </c>
      <c r="J100" s="732">
        <f t="shared" si="16"/>
        <v>572.210014674587</v>
      </c>
      <c r="K100" s="732">
        <f t="shared" si="16"/>
        <v>468.06880491889763</v>
      </c>
      <c r="L100" s="732">
        <f t="shared" si="16"/>
        <v>470.31662044267182</v>
      </c>
      <c r="M100" s="732">
        <f t="shared" si="16"/>
        <v>331.9815739167986</v>
      </c>
      <c r="N100" s="732">
        <f t="shared" si="16"/>
        <v>224.65102646344241</v>
      </c>
      <c r="O100" s="732">
        <f t="shared" si="16"/>
        <v>163.57530343546549</v>
      </c>
      <c r="P100" s="732">
        <f t="shared" ref="P100:P127" si="17">SUM(D100:O100)</f>
        <v>3954.1216022191215</v>
      </c>
      <c r="Q100" s="732"/>
    </row>
    <row r="101" spans="1:17" x14ac:dyDescent="0.2">
      <c r="B101" s="718" t="s">
        <v>102</v>
      </c>
      <c r="C101" s="718">
        <v>41</v>
      </c>
      <c r="D101" s="732">
        <f t="shared" si="16"/>
        <v>1905.1533260359654</v>
      </c>
      <c r="E101" s="732">
        <f t="shared" si="16"/>
        <v>1810.7253857030637</v>
      </c>
      <c r="F101" s="732">
        <f t="shared" si="16"/>
        <v>2237.9194044626552</v>
      </c>
      <c r="G101" s="732">
        <f t="shared" si="16"/>
        <v>3459.3592731188301</v>
      </c>
      <c r="H101" s="732">
        <f t="shared" si="16"/>
        <v>4487.7013974387201</v>
      </c>
      <c r="I101" s="732">
        <f t="shared" si="16"/>
        <v>5313.90178328199</v>
      </c>
      <c r="J101" s="732">
        <f t="shared" si="16"/>
        <v>5525.0690119683049</v>
      </c>
      <c r="K101" s="732">
        <f t="shared" si="16"/>
        <v>4738.5632311928885</v>
      </c>
      <c r="L101" s="732">
        <f t="shared" si="16"/>
        <v>4857.7276790855321</v>
      </c>
      <c r="M101" s="732">
        <f t="shared" si="16"/>
        <v>3815.5146178307473</v>
      </c>
      <c r="N101" s="732">
        <f t="shared" si="16"/>
        <v>2946.0371828903735</v>
      </c>
      <c r="O101" s="732">
        <f t="shared" si="16"/>
        <v>1311.176370875</v>
      </c>
      <c r="P101" s="732">
        <f t="shared" si="17"/>
        <v>42408.848663884077</v>
      </c>
      <c r="Q101" s="732"/>
    </row>
    <row r="102" spans="1:17" x14ac:dyDescent="0.2">
      <c r="B102" s="709" t="s">
        <v>259</v>
      </c>
      <c r="C102" s="724" t="s">
        <v>236</v>
      </c>
      <c r="D102" s="732">
        <f t="shared" ref="D102:O108" si="18">IF(D69=0,0,D69+D88*(-D$82))</f>
        <v>11698.312361111111</v>
      </c>
      <c r="E102" s="732">
        <f t="shared" si="18"/>
        <v>12591.843835616439</v>
      </c>
      <c r="F102" s="732">
        <f t="shared" si="18"/>
        <v>11819.167027027026</v>
      </c>
      <c r="G102" s="732">
        <f t="shared" si="18"/>
        <v>14032.186077276519</v>
      </c>
      <c r="H102" s="732">
        <f t="shared" si="18"/>
        <v>15315.51460039741</v>
      </c>
      <c r="I102" s="732">
        <f t="shared" si="18"/>
        <v>16460.746015200002</v>
      </c>
      <c r="J102" s="732">
        <f t="shared" si="18"/>
        <v>16901.518257781965</v>
      </c>
      <c r="K102" s="732">
        <f t="shared" si="18"/>
        <v>15126.123272846695</v>
      </c>
      <c r="L102" s="732">
        <f t="shared" si="18"/>
        <v>15835.661736175251</v>
      </c>
      <c r="M102" s="732">
        <f t="shared" si="18"/>
        <v>14154.297047166663</v>
      </c>
      <c r="N102" s="732">
        <f t="shared" si="18"/>
        <v>12704.12863338426</v>
      </c>
      <c r="O102" s="732">
        <f t="shared" si="18"/>
        <v>9566.5474117647063</v>
      </c>
      <c r="P102" s="732">
        <f t="shared" si="17"/>
        <v>166206.04627574806</v>
      </c>
      <c r="Q102" s="732"/>
    </row>
    <row r="103" spans="1:17" x14ac:dyDescent="0.2">
      <c r="B103" s="709" t="s">
        <v>260</v>
      </c>
      <c r="C103" s="724" t="s">
        <v>231</v>
      </c>
      <c r="D103" s="732">
        <f t="shared" si="18"/>
        <v>47604.094848484849</v>
      </c>
      <c r="E103" s="732">
        <f t="shared" si="18"/>
        <v>50075.781212121212</v>
      </c>
      <c r="F103" s="732">
        <f t="shared" si="18"/>
        <v>47377.325454545455</v>
      </c>
      <c r="G103" s="732">
        <f t="shared" si="18"/>
        <v>55185.312744123468</v>
      </c>
      <c r="H103" s="732">
        <f t="shared" si="18"/>
        <v>59820.165096757693</v>
      </c>
      <c r="I103" s="732">
        <f t="shared" si="18"/>
        <v>65069.365019676778</v>
      </c>
      <c r="J103" s="732">
        <f t="shared" si="18"/>
        <v>66632.439073444446</v>
      </c>
      <c r="K103" s="732">
        <f t="shared" si="18"/>
        <v>59819.922127474754</v>
      </c>
      <c r="L103" s="732">
        <f t="shared" si="18"/>
        <v>63837.163829143952</v>
      </c>
      <c r="M103" s="732">
        <f t="shared" si="18"/>
        <v>56074.145218005047</v>
      </c>
      <c r="N103" s="732">
        <f t="shared" si="18"/>
        <v>56873.151338565665</v>
      </c>
      <c r="O103" s="732">
        <f t="shared" si="18"/>
        <v>53080.513761431816</v>
      </c>
      <c r="P103" s="732">
        <f t="shared" si="17"/>
        <v>681449.37972377508</v>
      </c>
      <c r="Q103" s="732"/>
    </row>
    <row r="104" spans="1:17" x14ac:dyDescent="0.2">
      <c r="B104" s="709" t="s">
        <v>263</v>
      </c>
      <c r="C104" s="724" t="s">
        <v>232</v>
      </c>
      <c r="D104" s="732">
        <f t="shared" si="18"/>
        <v>361377.07</v>
      </c>
      <c r="E104" s="732">
        <f t="shared" si="18"/>
        <v>358753.91666666669</v>
      </c>
      <c r="F104" s="732">
        <f t="shared" si="18"/>
        <v>368109.05666666664</v>
      </c>
      <c r="G104" s="732">
        <f t="shared" si="18"/>
        <v>497142.59066086676</v>
      </c>
      <c r="H104" s="732">
        <f t="shared" si="18"/>
        <v>611787.06683816551</v>
      </c>
      <c r="I104" s="732">
        <f t="shared" si="18"/>
        <v>688760.54338555573</v>
      </c>
      <c r="J104" s="732">
        <f t="shared" si="18"/>
        <v>697608.76608166681</v>
      </c>
      <c r="K104" s="732">
        <f t="shared" si="18"/>
        <v>630566.5699972224</v>
      </c>
      <c r="L104" s="732">
        <f t="shared" si="18"/>
        <v>620525.57887444471</v>
      </c>
      <c r="M104" s="732">
        <f t="shared" si="18"/>
        <v>544189.90825277765</v>
      </c>
      <c r="N104" s="732">
        <f t="shared" si="18"/>
        <v>470641.70858277782</v>
      </c>
      <c r="O104" s="732">
        <f t="shared" si="18"/>
        <v>398086.61885333335</v>
      </c>
      <c r="P104" s="732">
        <f t="shared" si="17"/>
        <v>6247549.3948601438</v>
      </c>
      <c r="Q104" s="732"/>
    </row>
    <row r="105" spans="1:17" x14ac:dyDescent="0.2">
      <c r="B105" s="709" t="s">
        <v>103</v>
      </c>
      <c r="C105" s="709">
        <v>85</v>
      </c>
      <c r="D105" s="732">
        <f t="shared" si="18"/>
        <v>28722.91128</v>
      </c>
      <c r="E105" s="732">
        <f t="shared" si="18"/>
        <v>26575.580199999997</v>
      </c>
      <c r="F105" s="732">
        <f t="shared" si="18"/>
        <v>33002.231333333337</v>
      </c>
      <c r="G105" s="732">
        <f t="shared" si="18"/>
        <v>49895.945655106014</v>
      </c>
      <c r="H105" s="732">
        <f t="shared" si="18"/>
        <v>62986.669482926329</v>
      </c>
      <c r="I105" s="732">
        <f t="shared" si="18"/>
        <v>72960.721593777795</v>
      </c>
      <c r="J105" s="732">
        <f t="shared" si="18"/>
        <v>73589.995053222228</v>
      </c>
      <c r="K105" s="732">
        <f t="shared" si="18"/>
        <v>60306.420860000013</v>
      </c>
      <c r="L105" s="732">
        <f t="shared" si="18"/>
        <v>65862.523310805584</v>
      </c>
      <c r="M105" s="732">
        <f t="shared" si="18"/>
        <v>51236.331698499969</v>
      </c>
      <c r="N105" s="732">
        <f t="shared" si="18"/>
        <v>41940.073082888899</v>
      </c>
      <c r="O105" s="732">
        <f t="shared" si="18"/>
        <v>29572.531000000003</v>
      </c>
      <c r="P105" s="732">
        <f t="shared" si="17"/>
        <v>596651.93455056008</v>
      </c>
      <c r="Q105" s="732"/>
    </row>
    <row r="106" spans="1:17" x14ac:dyDescent="0.2">
      <c r="B106" s="709" t="s">
        <v>108</v>
      </c>
      <c r="C106" s="709">
        <v>86</v>
      </c>
      <c r="D106" s="732">
        <f t="shared" si="18"/>
        <v>936.08321076233176</v>
      </c>
      <c r="E106" s="732">
        <f t="shared" si="18"/>
        <v>865.70760986547077</v>
      </c>
      <c r="F106" s="732">
        <f t="shared" si="18"/>
        <v>1568.3355297440169</v>
      </c>
      <c r="G106" s="732">
        <f t="shared" si="18"/>
        <v>3371.2537461657707</v>
      </c>
      <c r="H106" s="732">
        <f t="shared" si="18"/>
        <v>4743.9668677876607</v>
      </c>
      <c r="I106" s="732">
        <f t="shared" si="18"/>
        <v>5579.8752531642649</v>
      </c>
      <c r="J106" s="732">
        <f t="shared" si="18"/>
        <v>5941.6790714815324</v>
      </c>
      <c r="K106" s="732">
        <f t="shared" si="18"/>
        <v>4588.2985848442204</v>
      </c>
      <c r="L106" s="732">
        <f t="shared" si="18"/>
        <v>5014.8503850270308</v>
      </c>
      <c r="M106" s="732">
        <f t="shared" si="18"/>
        <v>3953.5866436487959</v>
      </c>
      <c r="N106" s="732">
        <f t="shared" si="18"/>
        <v>2836.5578223240714</v>
      </c>
      <c r="O106" s="732">
        <f t="shared" si="18"/>
        <v>1546.1313676168552</v>
      </c>
      <c r="P106" s="732">
        <f t="shared" si="17"/>
        <v>40946.326092432028</v>
      </c>
      <c r="Q106" s="732"/>
    </row>
    <row r="107" spans="1:17" x14ac:dyDescent="0.2">
      <c r="B107" s="718" t="s">
        <v>265</v>
      </c>
      <c r="C107" s="718">
        <v>87</v>
      </c>
      <c r="D107" s="732">
        <f t="shared" si="18"/>
        <v>241032.62680000003</v>
      </c>
      <c r="E107" s="732">
        <f t="shared" si="18"/>
        <v>238246.59599999999</v>
      </c>
      <c r="F107" s="732">
        <f t="shared" si="18"/>
        <v>259490.80499999999</v>
      </c>
      <c r="G107" s="732">
        <f t="shared" si="18"/>
        <v>390831.23655886669</v>
      </c>
      <c r="H107" s="732">
        <f t="shared" si="18"/>
        <v>474531.82715750101</v>
      </c>
      <c r="I107" s="732">
        <f t="shared" si="18"/>
        <v>551872.60543666664</v>
      </c>
      <c r="J107" s="732">
        <f t="shared" si="18"/>
        <v>532178.64240944455</v>
      </c>
      <c r="K107" s="732">
        <f t="shared" si="18"/>
        <v>483861.88503333338</v>
      </c>
      <c r="L107" s="732">
        <f t="shared" si="18"/>
        <v>487020.43979833351</v>
      </c>
      <c r="M107" s="732">
        <f t="shared" si="18"/>
        <v>422074.88530111092</v>
      </c>
      <c r="N107" s="732">
        <f t="shared" si="18"/>
        <v>327192.10758555558</v>
      </c>
      <c r="O107" s="732">
        <f t="shared" si="18"/>
        <v>286110.21899999998</v>
      </c>
      <c r="P107" s="732">
        <f t="shared" si="17"/>
        <v>4694443.876080812</v>
      </c>
      <c r="Q107" s="732"/>
    </row>
    <row r="108" spans="1:17" x14ac:dyDescent="0.2">
      <c r="B108" s="709" t="s">
        <v>535</v>
      </c>
      <c r="C108" s="719" t="s">
        <v>387</v>
      </c>
      <c r="D108" s="732">
        <f t="shared" si="18"/>
        <v>76.98</v>
      </c>
      <c r="E108" s="732">
        <f t="shared" si="18"/>
        <v>27.25</v>
      </c>
      <c r="F108" s="732">
        <f t="shared" si="18"/>
        <v>231.45618290249993</v>
      </c>
      <c r="G108" s="732">
        <f t="shared" si="18"/>
        <v>1980.6509168667003</v>
      </c>
      <c r="H108" s="732">
        <f t="shared" si="18"/>
        <v>3340.4127663649833</v>
      </c>
      <c r="I108" s="732">
        <f t="shared" si="18"/>
        <v>4377.8945014111114</v>
      </c>
      <c r="J108" s="732">
        <f t="shared" si="18"/>
        <v>2627.7025658500002</v>
      </c>
      <c r="K108" s="732">
        <f t="shared" si="18"/>
        <v>3852.4195264166669</v>
      </c>
      <c r="L108" s="732">
        <f t="shared" si="18"/>
        <v>2824.0958210777785</v>
      </c>
      <c r="M108" s="732">
        <f t="shared" si="18"/>
        <v>2000.072557733333</v>
      </c>
      <c r="N108" s="732">
        <f t="shared" si="18"/>
        <v>653.12450639444455</v>
      </c>
      <c r="O108" s="732">
        <f t="shared" si="18"/>
        <v>37.518627625000008</v>
      </c>
      <c r="P108" s="732">
        <f t="shared" si="17"/>
        <v>22029.577972642517</v>
      </c>
      <c r="Q108" s="732"/>
    </row>
    <row r="109" spans="1:17" x14ac:dyDescent="0.2">
      <c r="B109" s="709" t="s">
        <v>104</v>
      </c>
      <c r="C109" s="709">
        <v>31</v>
      </c>
      <c r="D109" s="732">
        <f t="shared" ref="D109:O109" si="19">IF(D76=0,0,D76+D94*(-D$82))</f>
        <v>176.39866339285715</v>
      </c>
      <c r="E109" s="732">
        <f t="shared" si="19"/>
        <v>186.12542319749215</v>
      </c>
      <c r="F109" s="732">
        <f t="shared" si="19"/>
        <v>237.4837922424191</v>
      </c>
      <c r="G109" s="732">
        <f t="shared" si="19"/>
        <v>448.5774242492505</v>
      </c>
      <c r="H109" s="732">
        <f t="shared" si="19"/>
        <v>698.3686793890688</v>
      </c>
      <c r="I109" s="732">
        <f t="shared" si="19"/>
        <v>876.45511182963321</v>
      </c>
      <c r="J109" s="732">
        <f t="shared" si="19"/>
        <v>970.85007919519592</v>
      </c>
      <c r="K109" s="732">
        <f t="shared" si="19"/>
        <v>784.04363807147115</v>
      </c>
      <c r="L109" s="732">
        <f t="shared" si="19"/>
        <v>749.94071184154393</v>
      </c>
      <c r="M109" s="732">
        <f t="shared" si="19"/>
        <v>493.32822009413474</v>
      </c>
      <c r="N109" s="732">
        <f t="shared" si="19"/>
        <v>306.8983721393152</v>
      </c>
      <c r="O109" s="732">
        <f t="shared" si="19"/>
        <v>202.36224462723715</v>
      </c>
      <c r="P109" s="732">
        <f t="shared" si="17"/>
        <v>6130.8323602696191</v>
      </c>
      <c r="Q109" s="732"/>
    </row>
    <row r="110" spans="1:17" s="739" customFormat="1" x14ac:dyDescent="0.2">
      <c r="A110" s="709"/>
      <c r="B110" s="718" t="s">
        <v>105</v>
      </c>
      <c r="C110" s="718">
        <v>41</v>
      </c>
      <c r="D110" s="732">
        <f t="shared" ref="D110:O110" si="20">IF(D68=0,0,D68+D95*(-D$82))</f>
        <v>9059.3246329113917</v>
      </c>
      <c r="E110" s="732">
        <f t="shared" si="20"/>
        <v>9273.3659487179484</v>
      </c>
      <c r="F110" s="732">
        <f t="shared" si="20"/>
        <v>9134.0235316455692</v>
      </c>
      <c r="G110" s="732">
        <f t="shared" si="20"/>
        <v>11459.050037622987</v>
      </c>
      <c r="H110" s="732">
        <f t="shared" si="20"/>
        <v>11842.592157327304</v>
      </c>
      <c r="I110" s="732">
        <f t="shared" si="20"/>
        <v>12734.098123243275</v>
      </c>
      <c r="J110" s="732">
        <f t="shared" si="20"/>
        <v>13414.850791148099</v>
      </c>
      <c r="K110" s="732">
        <f t="shared" si="20"/>
        <v>12137.401966949392</v>
      </c>
      <c r="L110" s="732">
        <f t="shared" si="20"/>
        <v>12610.25984424186</v>
      </c>
      <c r="M110" s="732">
        <f t="shared" si="20"/>
        <v>11227.898932854794</v>
      </c>
      <c r="N110" s="732">
        <f t="shared" si="20"/>
        <v>9961.5872973486312</v>
      </c>
      <c r="O110" s="732">
        <f t="shared" si="20"/>
        <v>2898.4607500000002</v>
      </c>
      <c r="P110" s="732">
        <f t="shared" si="17"/>
        <v>125752.91401401124</v>
      </c>
      <c r="Q110" s="738"/>
    </row>
    <row r="111" spans="1:17" ht="15" x14ac:dyDescent="0.25">
      <c r="A111" s="739"/>
      <c r="B111" s="725" t="s">
        <v>270</v>
      </c>
      <c r="C111" s="740" t="s">
        <v>346</v>
      </c>
      <c r="D111" s="738">
        <f t="shared" ref="D111:O111" si="21">IF(D77=0,0,D77+D96*(-D$82))</f>
        <v>192133.49100000001</v>
      </c>
      <c r="E111" s="738">
        <f t="shared" si="21"/>
        <v>186918.77499999999</v>
      </c>
      <c r="F111" s="738">
        <f t="shared" si="21"/>
        <v>200938.26104795441</v>
      </c>
      <c r="G111" s="738">
        <f t="shared" si="21"/>
        <v>300482.59729260678</v>
      </c>
      <c r="H111" s="738">
        <f t="shared" si="21"/>
        <v>380992.47517207661</v>
      </c>
      <c r="I111" s="738">
        <f t="shared" si="21"/>
        <v>432946.01986111118</v>
      </c>
      <c r="J111" s="738">
        <f t="shared" si="21"/>
        <v>437859.83768111112</v>
      </c>
      <c r="K111" s="738">
        <f t="shared" si="21"/>
        <v>392409.98895694443</v>
      </c>
      <c r="L111" s="738">
        <f t="shared" si="21"/>
        <v>381755.04852888914</v>
      </c>
      <c r="M111" s="738">
        <f t="shared" si="21"/>
        <v>325304.41033999977</v>
      </c>
      <c r="N111" s="738">
        <f t="shared" si="21"/>
        <v>267020.31353472226</v>
      </c>
      <c r="O111" s="738">
        <f t="shared" si="21"/>
        <v>222839.26518999998</v>
      </c>
      <c r="P111" s="732">
        <f t="shared" si="17"/>
        <v>3721600.483605416</v>
      </c>
      <c r="Q111" s="732"/>
    </row>
    <row r="112" spans="1:17" x14ac:dyDescent="0.2">
      <c r="C112" s="724"/>
      <c r="D112" s="732"/>
      <c r="E112" s="732"/>
      <c r="F112" s="732"/>
      <c r="G112" s="732"/>
      <c r="H112" s="732"/>
      <c r="I112" s="732"/>
      <c r="J112" s="732"/>
      <c r="K112" s="732"/>
      <c r="L112" s="732"/>
      <c r="M112" s="732"/>
      <c r="N112" s="732"/>
      <c r="O112" s="732"/>
      <c r="P112" s="732">
        <f t="shared" si="17"/>
        <v>0</v>
      </c>
      <c r="Q112" s="732"/>
    </row>
    <row r="113" spans="1:17" x14ac:dyDescent="0.2">
      <c r="B113" s="715" t="s">
        <v>217</v>
      </c>
      <c r="C113" s="724"/>
      <c r="D113" s="732"/>
      <c r="E113" s="732"/>
      <c r="F113" s="732"/>
      <c r="G113" s="732"/>
      <c r="H113" s="732"/>
      <c r="I113" s="732"/>
      <c r="J113" s="732"/>
      <c r="K113" s="732"/>
      <c r="L113" s="732"/>
      <c r="M113" s="732"/>
      <c r="N113" s="732"/>
      <c r="O113" s="732"/>
      <c r="P113" s="732">
        <f t="shared" si="17"/>
        <v>0</v>
      </c>
      <c r="Q113" s="732"/>
    </row>
    <row r="114" spans="1:17" x14ac:dyDescent="0.2">
      <c r="B114" s="709" t="s">
        <v>72</v>
      </c>
      <c r="C114" s="724">
        <v>23</v>
      </c>
      <c r="D114" s="732">
        <f t="shared" ref="D114:O114" si="22">D99*D37</f>
        <v>13443846.633000001</v>
      </c>
      <c r="E114" s="732">
        <f t="shared" si="22"/>
        <v>12736009.979</v>
      </c>
      <c r="F114" s="732">
        <f t="shared" si="22"/>
        <v>21565789.157145228</v>
      </c>
      <c r="G114" s="732">
        <f t="shared" si="22"/>
        <v>46177777.097300276</v>
      </c>
      <c r="H114" s="732">
        <f t="shared" si="22"/>
        <v>72937542.431248799</v>
      </c>
      <c r="I114" s="732">
        <f t="shared" si="22"/>
        <v>88678156.378515959</v>
      </c>
      <c r="J114" s="732">
        <f t="shared" si="22"/>
        <v>95449655.57948181</v>
      </c>
      <c r="K114" s="732">
        <f t="shared" si="22"/>
        <v>75180768.839154005</v>
      </c>
      <c r="L114" s="732">
        <f t="shared" si="22"/>
        <v>75673097.336496204</v>
      </c>
      <c r="M114" s="732">
        <f t="shared" si="22"/>
        <v>50197992.081197344</v>
      </c>
      <c r="N114" s="732">
        <f t="shared" si="22"/>
        <v>31453031.106848009</v>
      </c>
      <c r="O114" s="732">
        <f t="shared" si="22"/>
        <v>19147859.864698399</v>
      </c>
      <c r="P114" s="732">
        <f t="shared" si="17"/>
        <v>602641526.48408616</v>
      </c>
      <c r="Q114" s="732"/>
    </row>
    <row r="115" spans="1:17" x14ac:dyDescent="0.2">
      <c r="B115" s="718" t="s">
        <v>101</v>
      </c>
      <c r="C115" s="724">
        <v>31</v>
      </c>
      <c r="D115" s="732">
        <f t="shared" ref="D115:O116" si="23">D100*D40</f>
        <v>7628079.7920000004</v>
      </c>
      <c r="E115" s="732">
        <f t="shared" si="23"/>
        <v>7453085.6330000013</v>
      </c>
      <c r="F115" s="732">
        <f t="shared" si="23"/>
        <v>9048012.2430000007</v>
      </c>
      <c r="G115" s="732">
        <f t="shared" si="23"/>
        <v>15936944.189329479</v>
      </c>
      <c r="H115" s="732">
        <f t="shared" si="23"/>
        <v>23775714.568351891</v>
      </c>
      <c r="I115" s="732">
        <f t="shared" si="23"/>
        <v>29457087.479210492</v>
      </c>
      <c r="J115" s="732">
        <f t="shared" si="23"/>
        <v>31133946.89844428</v>
      </c>
      <c r="K115" s="732">
        <f t="shared" si="23"/>
        <v>25469027.882051978</v>
      </c>
      <c r="L115" s="732">
        <f t="shared" si="23"/>
        <v>25625671.381439418</v>
      </c>
      <c r="M115" s="732">
        <f t="shared" si="23"/>
        <v>18078056.607639268</v>
      </c>
      <c r="N115" s="732">
        <f t="shared" si="23"/>
        <v>12230451.182722731</v>
      </c>
      <c r="O115" s="732">
        <f t="shared" si="23"/>
        <v>8894243.5490000006</v>
      </c>
      <c r="P115" s="732">
        <f t="shared" si="17"/>
        <v>214730321.4061895</v>
      </c>
      <c r="Q115" s="732"/>
    </row>
    <row r="116" spans="1:17" x14ac:dyDescent="0.2">
      <c r="B116" s="718" t="s">
        <v>102</v>
      </c>
      <c r="C116" s="718">
        <v>41</v>
      </c>
      <c r="D116" s="732">
        <f t="shared" si="23"/>
        <v>2436691.1039999998</v>
      </c>
      <c r="E116" s="732">
        <f t="shared" si="23"/>
        <v>2305053.4160000002</v>
      </c>
      <c r="F116" s="732">
        <f t="shared" si="23"/>
        <v>2864536.8377121985</v>
      </c>
      <c r="G116" s="732">
        <f t="shared" si="23"/>
        <v>4445276.6659576967</v>
      </c>
      <c r="H116" s="732">
        <f t="shared" si="23"/>
        <v>5762208.5943113165</v>
      </c>
      <c r="I116" s="732">
        <f t="shared" si="23"/>
        <v>6812422.0861675115</v>
      </c>
      <c r="J116" s="732">
        <f t="shared" si="23"/>
        <v>7121813.9564271448</v>
      </c>
      <c r="K116" s="732">
        <f t="shared" si="23"/>
        <v>6084315.1888516685</v>
      </c>
      <c r="L116" s="732">
        <f t="shared" si="23"/>
        <v>6251895.5229830798</v>
      </c>
      <c r="M116" s="732">
        <f t="shared" si="23"/>
        <v>4922013.8570016641</v>
      </c>
      <c r="N116" s="732">
        <f t="shared" si="23"/>
        <v>3794495.8915628009</v>
      </c>
      <c r="O116" s="732">
        <f t="shared" si="23"/>
        <v>1678305.7547200001</v>
      </c>
      <c r="P116" s="732">
        <f t="shared" si="17"/>
        <v>54479028.87569508</v>
      </c>
      <c r="Q116" s="732"/>
    </row>
    <row r="117" spans="1:17" x14ac:dyDescent="0.2">
      <c r="B117" s="709" t="s">
        <v>259</v>
      </c>
      <c r="C117" s="724" t="s">
        <v>236</v>
      </c>
      <c r="D117" s="732">
        <f t="shared" ref="D117:O119" si="24">D102*D54</f>
        <v>842278.49</v>
      </c>
      <c r="E117" s="732">
        <f t="shared" si="24"/>
        <v>919204.6</v>
      </c>
      <c r="F117" s="732">
        <f t="shared" si="24"/>
        <v>874618.35999999987</v>
      </c>
      <c r="G117" s="732">
        <f t="shared" si="24"/>
        <v>1038381.7697184625</v>
      </c>
      <c r="H117" s="732">
        <f t="shared" si="24"/>
        <v>1148663.5950298058</v>
      </c>
      <c r="I117" s="732">
        <f t="shared" si="24"/>
        <v>1234555.9511400003</v>
      </c>
      <c r="J117" s="732">
        <f t="shared" si="24"/>
        <v>1301416.9058492114</v>
      </c>
      <c r="K117" s="732">
        <f t="shared" si="24"/>
        <v>1194963.7385548889</v>
      </c>
      <c r="L117" s="732">
        <f t="shared" si="24"/>
        <v>1251017.2771578447</v>
      </c>
      <c r="M117" s="732">
        <f t="shared" si="24"/>
        <v>1132343.763773333</v>
      </c>
      <c r="N117" s="732">
        <f t="shared" si="24"/>
        <v>1029034.419304125</v>
      </c>
      <c r="O117" s="732">
        <f t="shared" si="24"/>
        <v>813156.53</v>
      </c>
      <c r="P117" s="732">
        <f t="shared" si="17"/>
        <v>12779635.400527673</v>
      </c>
      <c r="Q117" s="732"/>
    </row>
    <row r="118" spans="1:17" x14ac:dyDescent="0.2">
      <c r="B118" s="709" t="s">
        <v>260</v>
      </c>
      <c r="C118" s="724" t="s">
        <v>231</v>
      </c>
      <c r="D118" s="732">
        <f t="shared" si="24"/>
        <v>1570935.13</v>
      </c>
      <c r="E118" s="732">
        <f t="shared" si="24"/>
        <v>1652500.78</v>
      </c>
      <c r="F118" s="732">
        <f t="shared" si="24"/>
        <v>1563451.74</v>
      </c>
      <c r="G118" s="732">
        <f t="shared" si="24"/>
        <v>1821115.3205560744</v>
      </c>
      <c r="H118" s="732">
        <f t="shared" si="24"/>
        <v>1974065.4481930039</v>
      </c>
      <c r="I118" s="732">
        <f t="shared" si="24"/>
        <v>2147289.0456493339</v>
      </c>
      <c r="J118" s="732">
        <f t="shared" si="24"/>
        <v>2198870.4894236666</v>
      </c>
      <c r="K118" s="732">
        <f t="shared" si="24"/>
        <v>1974057.4302066669</v>
      </c>
      <c r="L118" s="732">
        <f t="shared" si="24"/>
        <v>2106626.4063617503</v>
      </c>
      <c r="M118" s="732">
        <f t="shared" si="24"/>
        <v>1850446.7921941665</v>
      </c>
      <c r="N118" s="732">
        <f t="shared" si="24"/>
        <v>1876813.9941726669</v>
      </c>
      <c r="O118" s="732">
        <f t="shared" si="24"/>
        <v>1751656.95412725</v>
      </c>
      <c r="P118" s="732">
        <f t="shared" si="17"/>
        <v>22487829.530884579</v>
      </c>
      <c r="Q118" s="732"/>
    </row>
    <row r="119" spans="1:17" x14ac:dyDescent="0.2">
      <c r="B119" s="709" t="s">
        <v>263</v>
      </c>
      <c r="C119" s="724" t="s">
        <v>232</v>
      </c>
      <c r="D119" s="732">
        <f t="shared" si="24"/>
        <v>1084131.21</v>
      </c>
      <c r="E119" s="732">
        <f t="shared" si="24"/>
        <v>1076261.75</v>
      </c>
      <c r="F119" s="732">
        <f t="shared" si="24"/>
        <v>1104327.17</v>
      </c>
      <c r="G119" s="732">
        <f t="shared" si="24"/>
        <v>1491427.7719826002</v>
      </c>
      <c r="H119" s="732">
        <f t="shared" si="24"/>
        <v>1835361.2005144965</v>
      </c>
      <c r="I119" s="732">
        <f t="shared" si="24"/>
        <v>2066281.6301566672</v>
      </c>
      <c r="J119" s="732">
        <f t="shared" si="24"/>
        <v>2092826.2982450004</v>
      </c>
      <c r="K119" s="732">
        <f t="shared" si="24"/>
        <v>1891699.7099916672</v>
      </c>
      <c r="L119" s="732">
        <f t="shared" si="24"/>
        <v>1861576.7366233342</v>
      </c>
      <c r="M119" s="732">
        <f t="shared" si="24"/>
        <v>1632569.7247583331</v>
      </c>
      <c r="N119" s="732">
        <f t="shared" si="24"/>
        <v>1411925.1257483335</v>
      </c>
      <c r="O119" s="732">
        <f t="shared" si="24"/>
        <v>1194259.85656</v>
      </c>
      <c r="P119" s="732">
        <f t="shared" si="17"/>
        <v>18742648.18458043</v>
      </c>
      <c r="Q119" s="732"/>
    </row>
    <row r="120" spans="1:17" x14ac:dyDescent="0.2">
      <c r="B120" s="709" t="s">
        <v>103</v>
      </c>
      <c r="C120" s="709">
        <v>85</v>
      </c>
      <c r="D120" s="732">
        <f t="shared" ref="D120:O122" si="25">D105*D44</f>
        <v>718072.78200000001</v>
      </c>
      <c r="E120" s="732">
        <f t="shared" si="25"/>
        <v>664389.50499999989</v>
      </c>
      <c r="F120" s="732">
        <f t="shared" si="25"/>
        <v>792053.55200000014</v>
      </c>
      <c r="G120" s="732">
        <f t="shared" si="25"/>
        <v>1247398.6413776504</v>
      </c>
      <c r="H120" s="732">
        <f t="shared" si="25"/>
        <v>1574666.7370731581</v>
      </c>
      <c r="I120" s="732">
        <f t="shared" si="25"/>
        <v>1824018.039844445</v>
      </c>
      <c r="J120" s="732">
        <f t="shared" si="25"/>
        <v>1839749.8763305556</v>
      </c>
      <c r="K120" s="732">
        <f t="shared" si="25"/>
        <v>1507660.5215000003</v>
      </c>
      <c r="L120" s="732">
        <f t="shared" si="25"/>
        <v>1646563.0827701397</v>
      </c>
      <c r="M120" s="732">
        <f t="shared" si="25"/>
        <v>1280908.2924624993</v>
      </c>
      <c r="N120" s="732">
        <f t="shared" si="25"/>
        <v>1048501.8270722225</v>
      </c>
      <c r="O120" s="732">
        <f t="shared" si="25"/>
        <v>709740.74400000006</v>
      </c>
      <c r="P120" s="732">
        <f t="shared" si="17"/>
        <v>14853723.601430671</v>
      </c>
      <c r="Q120" s="732"/>
    </row>
    <row r="121" spans="1:17" x14ac:dyDescent="0.2">
      <c r="B121" s="709" t="s">
        <v>108</v>
      </c>
      <c r="C121" s="709">
        <v>86</v>
      </c>
      <c r="D121" s="732">
        <f t="shared" si="25"/>
        <v>208746.55599999998</v>
      </c>
      <c r="E121" s="732">
        <f t="shared" si="25"/>
        <v>193052.79699999999</v>
      </c>
      <c r="F121" s="732">
        <f t="shared" si="25"/>
        <v>349738.82313291577</v>
      </c>
      <c r="G121" s="732">
        <f t="shared" si="25"/>
        <v>748418.3316488011</v>
      </c>
      <c r="H121" s="732">
        <f t="shared" si="25"/>
        <v>1053160.6446488607</v>
      </c>
      <c r="I121" s="732">
        <f t="shared" si="25"/>
        <v>1238732.3062024668</v>
      </c>
      <c r="J121" s="732">
        <f t="shared" si="25"/>
        <v>1319052.7538689002</v>
      </c>
      <c r="K121" s="732">
        <f t="shared" si="25"/>
        <v>1018602.2858354169</v>
      </c>
      <c r="L121" s="732">
        <f t="shared" si="25"/>
        <v>1113296.7854760007</v>
      </c>
      <c r="M121" s="732">
        <f t="shared" si="25"/>
        <v>877696.23489003268</v>
      </c>
      <c r="N121" s="732">
        <f t="shared" si="25"/>
        <v>626879.27873361972</v>
      </c>
      <c r="O121" s="732">
        <f t="shared" si="25"/>
        <v>341695.03224332497</v>
      </c>
      <c r="P121" s="732">
        <f t="shared" si="17"/>
        <v>9089071.8296803404</v>
      </c>
      <c r="Q121" s="732"/>
    </row>
    <row r="122" spans="1:17" x14ac:dyDescent="0.2">
      <c r="B122" s="718" t="s">
        <v>265</v>
      </c>
      <c r="C122" s="718">
        <v>87</v>
      </c>
      <c r="D122" s="732">
        <f t="shared" si="25"/>
        <v>1205163.1340000001</v>
      </c>
      <c r="E122" s="732">
        <f t="shared" si="25"/>
        <v>1191232.98</v>
      </c>
      <c r="F122" s="732">
        <f t="shared" si="25"/>
        <v>1297454.0249999999</v>
      </c>
      <c r="G122" s="732">
        <f t="shared" si="25"/>
        <v>1954156.1827943334</v>
      </c>
      <c r="H122" s="732">
        <f t="shared" si="25"/>
        <v>2372659.1357875052</v>
      </c>
      <c r="I122" s="732">
        <f t="shared" si="25"/>
        <v>2759363.0271833334</v>
      </c>
      <c r="J122" s="732">
        <f t="shared" si="25"/>
        <v>2660893.212047223</v>
      </c>
      <c r="K122" s="732">
        <f t="shared" si="25"/>
        <v>2419309.425166667</v>
      </c>
      <c r="L122" s="732">
        <f t="shared" si="25"/>
        <v>2435102.1989916675</v>
      </c>
      <c r="M122" s="732">
        <f t="shared" si="25"/>
        <v>2110374.4265055545</v>
      </c>
      <c r="N122" s="732">
        <f t="shared" si="25"/>
        <v>1635960.537927778</v>
      </c>
      <c r="O122" s="732">
        <f t="shared" si="25"/>
        <v>1430551.095</v>
      </c>
      <c r="P122" s="732">
        <f t="shared" si="17"/>
        <v>23472219.380404059</v>
      </c>
      <c r="Q122" s="732"/>
    </row>
    <row r="123" spans="1:17" x14ac:dyDescent="0.2">
      <c r="B123" s="709" t="s">
        <v>535</v>
      </c>
      <c r="C123" s="719" t="s">
        <v>387</v>
      </c>
      <c r="D123" s="732">
        <f t="shared" ref="D123:O123" si="26">D108*D42</f>
        <v>76.98</v>
      </c>
      <c r="E123" s="732">
        <f t="shared" si="26"/>
        <v>27.25</v>
      </c>
      <c r="F123" s="732">
        <f t="shared" si="26"/>
        <v>231.45618290249993</v>
      </c>
      <c r="G123" s="732">
        <f t="shared" si="26"/>
        <v>1980.6509168667003</v>
      </c>
      <c r="H123" s="732">
        <f t="shared" si="26"/>
        <v>3340.4127663649833</v>
      </c>
      <c r="I123" s="732">
        <f t="shared" si="26"/>
        <v>4377.8945014111114</v>
      </c>
      <c r="J123" s="732">
        <f t="shared" si="26"/>
        <v>2627.7025658500002</v>
      </c>
      <c r="K123" s="732">
        <f t="shared" si="26"/>
        <v>3852.4195264166669</v>
      </c>
      <c r="L123" s="732">
        <f t="shared" si="26"/>
        <v>2824.0958210777785</v>
      </c>
      <c r="M123" s="732">
        <f t="shared" si="26"/>
        <v>2000.072557733333</v>
      </c>
      <c r="N123" s="732">
        <f t="shared" si="26"/>
        <v>653.12450639444455</v>
      </c>
      <c r="O123" s="732">
        <f t="shared" si="26"/>
        <v>37.518627625000008</v>
      </c>
      <c r="P123" s="732">
        <f t="shared" si="17"/>
        <v>22029.577972642517</v>
      </c>
      <c r="Q123" s="732"/>
    </row>
    <row r="124" spans="1:17" x14ac:dyDescent="0.2">
      <c r="B124" s="709" t="s">
        <v>104</v>
      </c>
      <c r="C124" s="709">
        <v>31</v>
      </c>
      <c r="D124" s="732">
        <f t="shared" ref="D124:O125" si="27">D109*D47</f>
        <v>395133.00599999999</v>
      </c>
      <c r="E124" s="732">
        <f t="shared" si="27"/>
        <v>415618.07</v>
      </c>
      <c r="F124" s="732">
        <f t="shared" si="27"/>
        <v>528876.40532386734</v>
      </c>
      <c r="G124" s="732">
        <f t="shared" si="27"/>
        <v>1002570.5431970749</v>
      </c>
      <c r="H124" s="732">
        <f t="shared" si="27"/>
        <v>1565742.5791902922</v>
      </c>
      <c r="I124" s="732">
        <f t="shared" si="27"/>
        <v>1968518.1811693562</v>
      </c>
      <c r="J124" s="732">
        <f t="shared" si="27"/>
        <v>2182470.9780308004</v>
      </c>
      <c r="K124" s="732">
        <f t="shared" si="27"/>
        <v>1762530.0983846672</v>
      </c>
      <c r="L124" s="732">
        <f t="shared" si="27"/>
        <v>1688866.483067157</v>
      </c>
      <c r="M124" s="732">
        <f t="shared" si="27"/>
        <v>1107521.8541113324</v>
      </c>
      <c r="N124" s="732">
        <f t="shared" si="27"/>
        <v>688066.15033634473</v>
      </c>
      <c r="O124" s="732">
        <f t="shared" si="27"/>
        <v>452279.61674187501</v>
      </c>
      <c r="P124" s="732">
        <f t="shared" si="17"/>
        <v>13758193.965552768</v>
      </c>
      <c r="Q124" s="732"/>
    </row>
    <row r="125" spans="1:17" s="739" customFormat="1" x14ac:dyDescent="0.2">
      <c r="A125" s="709"/>
      <c r="B125" s="718" t="s">
        <v>105</v>
      </c>
      <c r="C125" s="718">
        <v>41</v>
      </c>
      <c r="D125" s="732">
        <f t="shared" si="27"/>
        <v>715686.64599999995</v>
      </c>
      <c r="E125" s="732">
        <f t="shared" si="27"/>
        <v>723322.54399999999</v>
      </c>
      <c r="F125" s="732">
        <f t="shared" si="27"/>
        <v>721587.85899999994</v>
      </c>
      <c r="G125" s="732">
        <f t="shared" si="27"/>
        <v>893805.90293459292</v>
      </c>
      <c r="H125" s="732">
        <f t="shared" si="27"/>
        <v>900037.00395687518</v>
      </c>
      <c r="I125" s="732">
        <f t="shared" si="27"/>
        <v>967791.45736648887</v>
      </c>
      <c r="J125" s="732">
        <f t="shared" si="27"/>
        <v>979284.10775381129</v>
      </c>
      <c r="K125" s="732">
        <f t="shared" si="27"/>
        <v>886030.34358730563</v>
      </c>
      <c r="L125" s="732">
        <f t="shared" si="27"/>
        <v>920548.96862965578</v>
      </c>
      <c r="M125" s="732">
        <f t="shared" si="27"/>
        <v>819636.62209840002</v>
      </c>
      <c r="N125" s="732">
        <f t="shared" si="27"/>
        <v>727195.87270645006</v>
      </c>
      <c r="O125" s="732">
        <f t="shared" si="27"/>
        <v>208689.174</v>
      </c>
      <c r="P125" s="732">
        <f t="shared" si="17"/>
        <v>9463616.5020335801</v>
      </c>
      <c r="Q125" s="738"/>
    </row>
    <row r="126" spans="1:17" ht="15" x14ac:dyDescent="0.25">
      <c r="A126" s="739"/>
      <c r="B126" s="725" t="s">
        <v>270</v>
      </c>
      <c r="C126" s="740" t="s">
        <v>346</v>
      </c>
      <c r="D126" s="738">
        <f t="shared" ref="D126:O126" si="28">D111*D61</f>
        <v>1921334.9100000001</v>
      </c>
      <c r="E126" s="738">
        <f t="shared" si="28"/>
        <v>1869187.75</v>
      </c>
      <c r="F126" s="738">
        <f t="shared" si="28"/>
        <v>2009382.6104795441</v>
      </c>
      <c r="G126" s="738">
        <f t="shared" si="28"/>
        <v>3004825.9729260677</v>
      </c>
      <c r="H126" s="738">
        <f t="shared" si="28"/>
        <v>3809924.7517207661</v>
      </c>
      <c r="I126" s="738">
        <f t="shared" si="28"/>
        <v>4329460.1986111123</v>
      </c>
      <c r="J126" s="738">
        <f t="shared" si="28"/>
        <v>4378598.3768111113</v>
      </c>
      <c r="K126" s="738">
        <f t="shared" si="28"/>
        <v>3924099.8895694446</v>
      </c>
      <c r="L126" s="738">
        <f t="shared" si="28"/>
        <v>3817550.4852888915</v>
      </c>
      <c r="M126" s="738">
        <f t="shared" si="28"/>
        <v>3253044.1033999976</v>
      </c>
      <c r="N126" s="738">
        <f t="shared" si="28"/>
        <v>2670203.1353472224</v>
      </c>
      <c r="O126" s="738">
        <f t="shared" si="28"/>
        <v>2228392.6518999999</v>
      </c>
      <c r="P126" s="749">
        <f t="shared" si="17"/>
        <v>37216004.836054161</v>
      </c>
      <c r="Q126" s="738"/>
    </row>
    <row r="127" spans="1:17" x14ac:dyDescent="0.2">
      <c r="B127" s="709" t="s">
        <v>128</v>
      </c>
      <c r="C127" s="724"/>
      <c r="D127" s="750">
        <f t="shared" ref="D127:O127" si="29">SUM(D114:D126)</f>
        <v>32170176.373000003</v>
      </c>
      <c r="E127" s="750">
        <f t="shared" si="29"/>
        <v>31198947.054000005</v>
      </c>
      <c r="F127" s="750">
        <f t="shared" si="29"/>
        <v>42720060.238976665</v>
      </c>
      <c r="G127" s="750">
        <f t="shared" si="29"/>
        <v>79764079.040639967</v>
      </c>
      <c r="H127" s="750">
        <f t="shared" si="29"/>
        <v>118713087.10279313</v>
      </c>
      <c r="I127" s="750">
        <f t="shared" si="29"/>
        <v>143488053.67571861</v>
      </c>
      <c r="J127" s="750">
        <f t="shared" si="29"/>
        <v>152661207.13527939</v>
      </c>
      <c r="K127" s="750">
        <f t="shared" si="29"/>
        <v>123316917.7723808</v>
      </c>
      <c r="L127" s="750">
        <f t="shared" si="29"/>
        <v>124394636.76110621</v>
      </c>
      <c r="M127" s="750">
        <f t="shared" si="29"/>
        <v>87264604.432589635</v>
      </c>
      <c r="N127" s="750">
        <f t="shared" si="29"/>
        <v>59193211.646988705</v>
      </c>
      <c r="O127" s="750">
        <f t="shared" si="29"/>
        <v>38850868.341618478</v>
      </c>
      <c r="P127" s="732">
        <f t="shared" si="17"/>
        <v>1033735849.5750916</v>
      </c>
      <c r="Q127" s="732"/>
    </row>
    <row r="128" spans="1:17" s="718" customFormat="1" x14ac:dyDescent="0.2">
      <c r="A128" s="709"/>
      <c r="B128" s="709"/>
      <c r="C128" s="724"/>
      <c r="D128" s="732"/>
      <c r="E128" s="732"/>
      <c r="F128" s="732"/>
      <c r="G128" s="732"/>
      <c r="H128" s="732"/>
      <c r="I128" s="732"/>
      <c r="J128" s="732"/>
      <c r="K128" s="732"/>
      <c r="L128" s="732"/>
      <c r="M128" s="732"/>
      <c r="N128" s="732"/>
      <c r="O128" s="732"/>
      <c r="P128" s="732"/>
      <c r="Q128" s="721"/>
    </row>
    <row r="129" spans="1:17" s="718" customFormat="1" x14ac:dyDescent="0.2">
      <c r="B129" s="751" t="s">
        <v>218</v>
      </c>
      <c r="D129" s="721"/>
      <c r="E129" s="721"/>
      <c r="F129" s="721"/>
      <c r="G129" s="721"/>
      <c r="H129" s="721"/>
      <c r="I129" s="721"/>
      <c r="J129" s="721"/>
      <c r="K129" s="721"/>
      <c r="L129" s="721"/>
      <c r="M129" s="721"/>
      <c r="N129" s="721"/>
      <c r="O129" s="721"/>
      <c r="P129" s="721"/>
      <c r="Q129" s="721"/>
    </row>
    <row r="130" spans="1:17" s="718" customFormat="1" x14ac:dyDescent="0.2">
      <c r="B130" s="709" t="s">
        <v>72</v>
      </c>
      <c r="C130" s="719">
        <v>23</v>
      </c>
      <c r="D130" s="721">
        <f t="shared" ref="D130:O130" si="30">D114-D9</f>
        <v>0</v>
      </c>
      <c r="E130" s="721">
        <f t="shared" si="30"/>
        <v>0</v>
      </c>
      <c r="F130" s="721">
        <f t="shared" si="30"/>
        <v>1612737.2201452293</v>
      </c>
      <c r="G130" s="721">
        <f t="shared" si="30"/>
        <v>-250988.15269972384</v>
      </c>
      <c r="H130" s="721">
        <f t="shared" si="30"/>
        <v>1978705.2702488005</v>
      </c>
      <c r="I130" s="721">
        <f t="shared" si="30"/>
        <v>-3545106.2484840453</v>
      </c>
      <c r="J130" s="721">
        <f t="shared" si="30"/>
        <v>10349646.235481814</v>
      </c>
      <c r="K130" s="721">
        <f t="shared" si="30"/>
        <v>-5801929.3138459921</v>
      </c>
      <c r="L130" s="721">
        <f t="shared" si="30"/>
        <v>302564.95149619877</v>
      </c>
      <c r="M130" s="721">
        <f t="shared" si="30"/>
        <v>2336261.0261973441</v>
      </c>
      <c r="N130" s="721">
        <f t="shared" si="30"/>
        <v>7375270.5608480088</v>
      </c>
      <c r="O130" s="721">
        <f t="shared" si="30"/>
        <v>1432745.9976984002</v>
      </c>
      <c r="P130" s="721">
        <f>SUM(D130:O130)</f>
        <v>15789907.547086034</v>
      </c>
      <c r="Q130" s="721"/>
    </row>
    <row r="131" spans="1:17" s="718" customFormat="1" x14ac:dyDescent="0.2">
      <c r="B131" s="718" t="s">
        <v>101</v>
      </c>
      <c r="C131" s="724">
        <v>31</v>
      </c>
      <c r="D131" s="721">
        <f t="shared" ref="D131:O132" si="31">D115-D11</f>
        <v>0</v>
      </c>
      <c r="E131" s="721">
        <f t="shared" si="31"/>
        <v>0</v>
      </c>
      <c r="F131" s="721">
        <f t="shared" si="31"/>
        <v>0</v>
      </c>
      <c r="G131" s="721">
        <f t="shared" si="31"/>
        <v>-49132.243670521304</v>
      </c>
      <c r="H131" s="721">
        <f t="shared" si="31"/>
        <v>469996.41835189238</v>
      </c>
      <c r="I131" s="721">
        <f t="shared" si="31"/>
        <v>-926322.31178950891</v>
      </c>
      <c r="J131" s="721">
        <f t="shared" si="31"/>
        <v>2725526.7334442809</v>
      </c>
      <c r="K131" s="721">
        <f t="shared" si="31"/>
        <v>-1461243.7829480208</v>
      </c>
      <c r="L131" s="721">
        <f t="shared" si="31"/>
        <v>75908.50943941623</v>
      </c>
      <c r="M131" s="721">
        <f t="shared" si="31"/>
        <v>524494.81463926658</v>
      </c>
      <c r="N131" s="721">
        <f t="shared" si="31"/>
        <v>1385955.62272273</v>
      </c>
      <c r="O131" s="721">
        <f t="shared" si="31"/>
        <v>0</v>
      </c>
      <c r="P131" s="721">
        <f t="shared" ref="P131:P143" si="32">SUM(D131:O131)</f>
        <v>2745183.7601895351</v>
      </c>
      <c r="Q131" s="721"/>
    </row>
    <row r="132" spans="1:17" s="718" customFormat="1" x14ac:dyDescent="0.2">
      <c r="B132" s="718" t="s">
        <v>102</v>
      </c>
      <c r="C132" s="718">
        <v>41</v>
      </c>
      <c r="D132" s="721">
        <f t="shared" si="31"/>
        <v>0</v>
      </c>
      <c r="E132" s="721">
        <f t="shared" si="31"/>
        <v>0</v>
      </c>
      <c r="F132" s="721">
        <f t="shared" si="31"/>
        <v>83451.935712198727</v>
      </c>
      <c r="G132" s="721">
        <f t="shared" si="31"/>
        <v>-13619.737042303197</v>
      </c>
      <c r="H132" s="721">
        <f t="shared" si="31"/>
        <v>100335.63231131621</v>
      </c>
      <c r="I132" s="721">
        <f t="shared" si="31"/>
        <v>-181593.14883248787</v>
      </c>
      <c r="J132" s="721">
        <f t="shared" si="31"/>
        <v>538828.02042714506</v>
      </c>
      <c r="K132" s="721">
        <f t="shared" si="31"/>
        <v>-292406.89414833207</v>
      </c>
      <c r="L132" s="721">
        <f t="shared" si="31"/>
        <v>17234.839983079582</v>
      </c>
      <c r="M132" s="721">
        <f t="shared" si="31"/>
        <v>133095.68600166403</v>
      </c>
      <c r="N132" s="721">
        <f t="shared" si="31"/>
        <v>493546.36856280081</v>
      </c>
      <c r="O132" s="721">
        <f t="shared" si="31"/>
        <v>114406.85872000013</v>
      </c>
      <c r="P132" s="721">
        <f t="shared" si="32"/>
        <v>993279.56169508141</v>
      </c>
      <c r="Q132" s="721"/>
    </row>
    <row r="133" spans="1:17" s="718" customFormat="1" x14ac:dyDescent="0.2">
      <c r="B133" s="709" t="s">
        <v>259</v>
      </c>
      <c r="C133" s="724" t="s">
        <v>236</v>
      </c>
      <c r="D133" s="721">
        <f t="shared" ref="D133:O135" si="33">D117-D23</f>
        <v>0</v>
      </c>
      <c r="E133" s="721">
        <f t="shared" si="33"/>
        <v>0</v>
      </c>
      <c r="F133" s="721">
        <f t="shared" si="33"/>
        <v>0</v>
      </c>
      <c r="G133" s="721">
        <f t="shared" si="33"/>
        <v>-1154.9102815375663</v>
      </c>
      <c r="H133" s="721">
        <f t="shared" si="33"/>
        <v>7534.3560298057273</v>
      </c>
      <c r="I133" s="721">
        <f t="shared" si="33"/>
        <v>-14812.688859999878</v>
      </c>
      <c r="J133" s="721">
        <f t="shared" si="33"/>
        <v>45444.515849211253</v>
      </c>
      <c r="K133" s="721">
        <f t="shared" si="33"/>
        <v>-24527.271445111139</v>
      </c>
      <c r="L133" s="721">
        <f t="shared" si="33"/>
        <v>1641.4171578448731</v>
      </c>
      <c r="M133" s="721">
        <f t="shared" si="33"/>
        <v>11023.833773333114</v>
      </c>
      <c r="N133" s="721">
        <f t="shared" si="33"/>
        <v>31592.199304125039</v>
      </c>
      <c r="O133" s="721">
        <f t="shared" si="33"/>
        <v>0</v>
      </c>
      <c r="P133" s="721">
        <f t="shared" si="32"/>
        <v>56741.451527671423</v>
      </c>
      <c r="Q133" s="721"/>
    </row>
    <row r="134" spans="1:17" s="718" customFormat="1" x14ac:dyDescent="0.2">
      <c r="B134" s="709" t="s">
        <v>260</v>
      </c>
      <c r="C134" s="724" t="s">
        <v>231</v>
      </c>
      <c r="D134" s="721">
        <f t="shared" si="33"/>
        <v>0</v>
      </c>
      <c r="E134" s="721">
        <f t="shared" si="33"/>
        <v>0</v>
      </c>
      <c r="F134" s="721">
        <f t="shared" si="33"/>
        <v>0</v>
      </c>
      <c r="G134" s="721">
        <f t="shared" si="33"/>
        <v>-2038.4594439256471</v>
      </c>
      <c r="H134" s="721">
        <f t="shared" si="33"/>
        <v>13372.328193003777</v>
      </c>
      <c r="I134" s="721">
        <f t="shared" si="33"/>
        <v>-27321.234350666404</v>
      </c>
      <c r="J134" s="721">
        <f t="shared" si="33"/>
        <v>80658.56942366669</v>
      </c>
      <c r="K134" s="721">
        <f t="shared" si="33"/>
        <v>-31232.019793333253</v>
      </c>
      <c r="L134" s="721">
        <f t="shared" si="33"/>
        <v>2425.8263617502525</v>
      </c>
      <c r="M134" s="721">
        <f t="shared" si="33"/>
        <v>18404.69219416636</v>
      </c>
      <c r="N134" s="721">
        <f t="shared" si="33"/>
        <v>75780.874172666809</v>
      </c>
      <c r="O134" s="721">
        <f t="shared" si="33"/>
        <v>19482.604127250146</v>
      </c>
      <c r="P134" s="721">
        <f t="shared" si="32"/>
        <v>149533.18088457873</v>
      </c>
      <c r="Q134" s="721"/>
    </row>
    <row r="135" spans="1:17" s="718" customFormat="1" x14ac:dyDescent="0.2">
      <c r="B135" s="709" t="s">
        <v>263</v>
      </c>
      <c r="C135" s="724" t="s">
        <v>232</v>
      </c>
      <c r="D135" s="721">
        <f t="shared" si="33"/>
        <v>0</v>
      </c>
      <c r="E135" s="721">
        <f t="shared" si="33"/>
        <v>0</v>
      </c>
      <c r="F135" s="721">
        <f t="shared" si="33"/>
        <v>0</v>
      </c>
      <c r="G135" s="721">
        <f t="shared" si="33"/>
        <v>-2789.2480173998047</v>
      </c>
      <c r="H135" s="721">
        <f t="shared" si="33"/>
        <v>23969.140514496481</v>
      </c>
      <c r="I135" s="721">
        <f t="shared" si="33"/>
        <v>-48393.009843332926</v>
      </c>
      <c r="J135" s="721">
        <f t="shared" si="33"/>
        <v>141366.42824500031</v>
      </c>
      <c r="K135" s="721">
        <f t="shared" si="33"/>
        <v>-69394.240008332999</v>
      </c>
      <c r="L135" s="721">
        <f t="shared" si="33"/>
        <v>4134.0866233343259</v>
      </c>
      <c r="M135" s="721">
        <f t="shared" si="33"/>
        <v>32708.84475833294</v>
      </c>
      <c r="N135" s="721">
        <f t="shared" si="33"/>
        <v>133235.27574833366</v>
      </c>
      <c r="O135" s="721">
        <f t="shared" si="33"/>
        <v>26218.906560000032</v>
      </c>
      <c r="P135" s="721">
        <f t="shared" si="32"/>
        <v>241056.18458043202</v>
      </c>
      <c r="Q135" s="721"/>
    </row>
    <row r="136" spans="1:17" s="718" customFormat="1" x14ac:dyDescent="0.2">
      <c r="B136" s="718" t="s">
        <v>103</v>
      </c>
      <c r="C136" s="718">
        <v>85</v>
      </c>
      <c r="D136" s="721">
        <f t="shared" ref="D136:O138" si="34">D120-D14</f>
        <v>0</v>
      </c>
      <c r="E136" s="721">
        <f t="shared" si="34"/>
        <v>0</v>
      </c>
      <c r="F136" s="721">
        <f t="shared" si="34"/>
        <v>0</v>
      </c>
      <c r="G136" s="721">
        <f t="shared" si="34"/>
        <v>-3357.6916223496664</v>
      </c>
      <c r="H136" s="721">
        <f t="shared" si="34"/>
        <v>23354.762073158054</v>
      </c>
      <c r="I136" s="721">
        <f t="shared" si="34"/>
        <v>-42424.168155555148</v>
      </c>
      <c r="J136" s="721">
        <f t="shared" si="34"/>
        <v>129233.93733055564</v>
      </c>
      <c r="K136" s="721">
        <f t="shared" si="34"/>
        <v>-72076.016499999911</v>
      </c>
      <c r="L136" s="721">
        <f t="shared" si="34"/>
        <v>4303.9467701397371</v>
      </c>
      <c r="M136" s="721">
        <f t="shared" si="34"/>
        <v>37253.156462499406</v>
      </c>
      <c r="N136" s="721">
        <f t="shared" si="34"/>
        <v>128266.94107222243</v>
      </c>
      <c r="O136" s="721">
        <f t="shared" si="34"/>
        <v>0</v>
      </c>
      <c r="P136" s="721">
        <f t="shared" si="32"/>
        <v>204554.86743067054</v>
      </c>
      <c r="Q136" s="721"/>
    </row>
    <row r="137" spans="1:17" s="718" customFormat="1" x14ac:dyDescent="0.2">
      <c r="B137" s="718" t="s">
        <v>108</v>
      </c>
      <c r="C137" s="718">
        <v>86</v>
      </c>
      <c r="D137" s="721">
        <f t="shared" si="34"/>
        <v>0</v>
      </c>
      <c r="E137" s="721">
        <f t="shared" si="34"/>
        <v>0</v>
      </c>
      <c r="F137" s="721">
        <f t="shared" si="34"/>
        <v>29451.096132915758</v>
      </c>
      <c r="G137" s="721">
        <f t="shared" si="34"/>
        <v>-3921.6523511989508</v>
      </c>
      <c r="H137" s="721">
        <f t="shared" si="34"/>
        <v>26133.256648860639</v>
      </c>
      <c r="I137" s="721">
        <f t="shared" si="34"/>
        <v>-43793.732797533041</v>
      </c>
      <c r="J137" s="721">
        <f t="shared" si="34"/>
        <v>132309.34486890025</v>
      </c>
      <c r="K137" s="721">
        <f t="shared" si="34"/>
        <v>-78143.672164583229</v>
      </c>
      <c r="L137" s="721">
        <f t="shared" si="34"/>
        <v>4525.6234760007355</v>
      </c>
      <c r="M137" s="721">
        <f t="shared" si="34"/>
        <v>38802.506890032557</v>
      </c>
      <c r="N137" s="721">
        <f t="shared" si="34"/>
        <v>149640.25573361968</v>
      </c>
      <c r="O137" s="721">
        <f t="shared" si="34"/>
        <v>33843.728243324964</v>
      </c>
      <c r="P137" s="721">
        <f t="shared" si="32"/>
        <v>288846.75468033936</v>
      </c>
      <c r="Q137" s="721"/>
    </row>
    <row r="138" spans="1:17" s="718" customFormat="1" x14ac:dyDescent="0.2">
      <c r="B138" s="718" t="s">
        <v>265</v>
      </c>
      <c r="C138" s="718">
        <v>87</v>
      </c>
      <c r="D138" s="721">
        <f t="shared" si="34"/>
        <v>0</v>
      </c>
      <c r="E138" s="721">
        <f t="shared" si="34"/>
        <v>0</v>
      </c>
      <c r="F138" s="721">
        <f t="shared" si="34"/>
        <v>0</v>
      </c>
      <c r="G138" s="721">
        <f t="shared" si="34"/>
        <v>-4170.7142056664452</v>
      </c>
      <c r="H138" s="721">
        <f t="shared" si="34"/>
        <v>30786.784787505399</v>
      </c>
      <c r="I138" s="721">
        <f t="shared" si="34"/>
        <v>-58114.454816666432</v>
      </c>
      <c r="J138" s="721">
        <f t="shared" si="34"/>
        <v>172819.80504722288</v>
      </c>
      <c r="K138" s="721">
        <f t="shared" si="34"/>
        <v>-86736.336833333131</v>
      </c>
      <c r="L138" s="721">
        <f t="shared" si="34"/>
        <v>5157.8219916676171</v>
      </c>
      <c r="M138" s="721">
        <f t="shared" si="34"/>
        <v>44123.510505554499</v>
      </c>
      <c r="N138" s="721">
        <f t="shared" si="34"/>
        <v>150250.33592777792</v>
      </c>
      <c r="O138" s="721">
        <f t="shared" si="34"/>
        <v>0</v>
      </c>
      <c r="P138" s="721">
        <f t="shared" si="32"/>
        <v>254116.75240406231</v>
      </c>
      <c r="Q138" s="721"/>
    </row>
    <row r="139" spans="1:17" s="718" customFormat="1" x14ac:dyDescent="0.2">
      <c r="B139" s="709" t="s">
        <v>535</v>
      </c>
      <c r="C139" s="719" t="s">
        <v>387</v>
      </c>
      <c r="D139" s="721">
        <f t="shared" ref="D139:O139" si="35">D123-D13</f>
        <v>0</v>
      </c>
      <c r="E139" s="721">
        <f t="shared" si="35"/>
        <v>0</v>
      </c>
      <c r="F139" s="721">
        <f t="shared" si="35"/>
        <v>12.586182902499928</v>
      </c>
      <c r="G139" s="721">
        <f t="shared" si="35"/>
        <v>-1.9790831332998096</v>
      </c>
      <c r="H139" s="721">
        <f t="shared" si="35"/>
        <v>16.652766364983108</v>
      </c>
      <c r="I139" s="721">
        <f t="shared" si="35"/>
        <v>-32.315498588888659</v>
      </c>
      <c r="J139" s="721">
        <f t="shared" si="35"/>
        <v>96.832565850000265</v>
      </c>
      <c r="K139" s="721">
        <f t="shared" si="35"/>
        <v>-53.560473583333078</v>
      </c>
      <c r="L139" s="721">
        <f t="shared" si="35"/>
        <v>2.7558210777783643</v>
      </c>
      <c r="M139" s="721">
        <f t="shared" si="35"/>
        <v>19.422557733332951</v>
      </c>
      <c r="N139" s="721">
        <f t="shared" si="35"/>
        <v>57.214506394444584</v>
      </c>
      <c r="O139" s="721">
        <f t="shared" si="35"/>
        <v>10.078627625000006</v>
      </c>
      <c r="P139" s="721">
        <f t="shared" si="32"/>
        <v>127.68797264251766</v>
      </c>
      <c r="Q139" s="721"/>
    </row>
    <row r="140" spans="1:17" s="718" customFormat="1" x14ac:dyDescent="0.2">
      <c r="B140" s="718" t="s">
        <v>104</v>
      </c>
      <c r="C140" s="718">
        <v>31</v>
      </c>
      <c r="D140" s="721">
        <f t="shared" ref="D140:O141" si="36">D124-D17</f>
        <v>0</v>
      </c>
      <c r="E140" s="721">
        <f t="shared" si="36"/>
        <v>0</v>
      </c>
      <c r="F140" s="721">
        <f t="shared" si="36"/>
        <v>28029.429323867313</v>
      </c>
      <c r="G140" s="721">
        <f t="shared" si="36"/>
        <v>-4423.2508029250894</v>
      </c>
      <c r="H140" s="721">
        <f t="shared" si="36"/>
        <v>37335.502190292114</v>
      </c>
      <c r="I140" s="721">
        <f t="shared" si="36"/>
        <v>-72580.609830643982</v>
      </c>
      <c r="J140" s="721">
        <f t="shared" si="36"/>
        <v>217679.60803080024</v>
      </c>
      <c r="K140" s="721">
        <f t="shared" si="36"/>
        <v>-120403.94461533288</v>
      </c>
      <c r="L140" s="721">
        <f t="shared" si="36"/>
        <v>6206.1090671569109</v>
      </c>
      <c r="M140" s="721">
        <f t="shared" si="36"/>
        <v>43603.642111332389</v>
      </c>
      <c r="N140" s="721">
        <f t="shared" si="36"/>
        <v>128274.92333634477</v>
      </c>
      <c r="O140" s="721">
        <f t="shared" si="36"/>
        <v>22525.732741874992</v>
      </c>
      <c r="P140" s="721">
        <f t="shared" si="32"/>
        <v>286247.14155276679</v>
      </c>
      <c r="Q140" s="721"/>
    </row>
    <row r="141" spans="1:17" s="725" customFormat="1" x14ac:dyDescent="0.2">
      <c r="A141" s="718"/>
      <c r="B141" s="718" t="s">
        <v>105</v>
      </c>
      <c r="C141" s="718">
        <v>41</v>
      </c>
      <c r="D141" s="721">
        <f t="shared" si="36"/>
        <v>0</v>
      </c>
      <c r="E141" s="721">
        <f t="shared" si="36"/>
        <v>0</v>
      </c>
      <c r="F141" s="721">
        <f t="shared" si="36"/>
        <v>0</v>
      </c>
      <c r="G141" s="721">
        <f t="shared" si="36"/>
        <v>-1212.4000654071569</v>
      </c>
      <c r="H141" s="721">
        <f t="shared" si="36"/>
        <v>6173.569956875057</v>
      </c>
      <c r="I141" s="721">
        <f t="shared" si="36"/>
        <v>-10529.495633511106</v>
      </c>
      <c r="J141" s="721">
        <f t="shared" si="36"/>
        <v>32848.186753811315</v>
      </c>
      <c r="K141" s="721">
        <f t="shared" si="36"/>
        <v>-15047.679412694415</v>
      </c>
      <c r="L141" s="721">
        <f t="shared" si="36"/>
        <v>1294.3416296557989</v>
      </c>
      <c r="M141" s="721">
        <f t="shared" si="36"/>
        <v>8190.5620983999688</v>
      </c>
      <c r="N141" s="721">
        <f t="shared" si="36"/>
        <v>27078.713706450071</v>
      </c>
      <c r="O141" s="721">
        <f t="shared" si="36"/>
        <v>0</v>
      </c>
      <c r="P141" s="721">
        <f t="shared" si="32"/>
        <v>48795.799033579533</v>
      </c>
      <c r="Q141" s="729"/>
    </row>
    <row r="142" spans="1:17" s="718" customFormat="1" ht="15" x14ac:dyDescent="0.25">
      <c r="A142" s="725"/>
      <c r="B142" s="725" t="s">
        <v>270</v>
      </c>
      <c r="C142" s="740" t="s">
        <v>346</v>
      </c>
      <c r="D142" s="729">
        <f t="shared" ref="D142:O142" si="37">D126-D30</f>
        <v>0</v>
      </c>
      <c r="E142" s="729">
        <f t="shared" si="37"/>
        <v>0</v>
      </c>
      <c r="F142" s="729">
        <f t="shared" si="37"/>
        <v>66188.620479544159</v>
      </c>
      <c r="G142" s="729">
        <f t="shared" si="37"/>
        <v>-9685.5870739324018</v>
      </c>
      <c r="H142" s="729">
        <f t="shared" si="37"/>
        <v>64662.131720765959</v>
      </c>
      <c r="I142" s="729">
        <f t="shared" si="37"/>
        <v>-107118.21138888784</v>
      </c>
      <c r="J142" s="729">
        <f t="shared" si="37"/>
        <v>346170.63681111159</v>
      </c>
      <c r="K142" s="729">
        <f t="shared" si="37"/>
        <v>-190798.38043055497</v>
      </c>
      <c r="L142" s="729">
        <f t="shared" si="37"/>
        <v>11139.555288891308</v>
      </c>
      <c r="M142" s="729">
        <f t="shared" si="37"/>
        <v>96675.693399997894</v>
      </c>
      <c r="N142" s="729">
        <f t="shared" si="37"/>
        <v>352801.09534722241</v>
      </c>
      <c r="O142" s="729">
        <f t="shared" si="37"/>
        <v>91507.601900000125</v>
      </c>
      <c r="P142" s="728">
        <f t="shared" si="32"/>
        <v>721543.15605415823</v>
      </c>
      <c r="Q142" s="729"/>
    </row>
    <row r="143" spans="1:17" s="718" customFormat="1" x14ac:dyDescent="0.2">
      <c r="B143" s="718" t="s">
        <v>129</v>
      </c>
      <c r="C143" s="719"/>
      <c r="D143" s="730">
        <f t="shared" ref="D143:O143" si="38">SUM(D130:D142)</f>
        <v>0</v>
      </c>
      <c r="E143" s="730">
        <f t="shared" si="38"/>
        <v>0</v>
      </c>
      <c r="F143" s="730">
        <f t="shared" si="38"/>
        <v>1819870.8879766576</v>
      </c>
      <c r="G143" s="730">
        <f t="shared" si="38"/>
        <v>-346496.02636002435</v>
      </c>
      <c r="H143" s="730">
        <f t="shared" si="38"/>
        <v>2782375.8057931373</v>
      </c>
      <c r="I143" s="730">
        <f t="shared" si="38"/>
        <v>-5078141.6302814269</v>
      </c>
      <c r="J143" s="730">
        <f t="shared" si="38"/>
        <v>14912628.854279367</v>
      </c>
      <c r="K143" s="730">
        <f t="shared" si="38"/>
        <v>-8243993.1126192044</v>
      </c>
      <c r="L143" s="730">
        <f t="shared" si="38"/>
        <v>436539.78510621394</v>
      </c>
      <c r="M143" s="730">
        <f t="shared" si="38"/>
        <v>3324657.3915896569</v>
      </c>
      <c r="N143" s="730">
        <f t="shared" si="38"/>
        <v>10431750.380988697</v>
      </c>
      <c r="O143" s="730">
        <f t="shared" si="38"/>
        <v>1740741.5086184754</v>
      </c>
      <c r="P143" s="721">
        <f t="shared" si="32"/>
        <v>21779933.845091544</v>
      </c>
      <c r="Q143" s="752"/>
    </row>
    <row r="144" spans="1:17" s="718" customFormat="1" x14ac:dyDescent="0.2">
      <c r="B144" s="718" t="s">
        <v>123</v>
      </c>
      <c r="C144" s="719"/>
      <c r="D144" s="742">
        <f t="shared" ref="D144:O144" si="39">IFERROR(D143/D31,0)</f>
        <v>0</v>
      </c>
      <c r="E144" s="742">
        <f t="shared" si="39"/>
        <v>0</v>
      </c>
      <c r="F144" s="742">
        <f t="shared" si="39"/>
        <v>3.3958520352696871E-2</v>
      </c>
      <c r="G144" s="742">
        <f t="shared" si="39"/>
        <v>-3.7072958643154966E-3</v>
      </c>
      <c r="H144" s="742">
        <f t="shared" si="39"/>
        <v>2.1838351508207694E-2</v>
      </c>
      <c r="I144" s="742">
        <f t="shared" si="39"/>
        <v>-3.1415094925637481E-2</v>
      </c>
      <c r="J144" s="742">
        <f t="shared" si="39"/>
        <v>9.9857179787548295E-2</v>
      </c>
      <c r="K144" s="742">
        <f t="shared" si="39"/>
        <v>-5.7504365870454439E-2</v>
      </c>
      <c r="L144" s="742">
        <f t="shared" si="39"/>
        <v>3.1777382049537383E-3</v>
      </c>
      <c r="M144" s="742">
        <f t="shared" si="39"/>
        <v>3.4763531893776171E-2</v>
      </c>
      <c r="N144" s="742">
        <f t="shared" si="39"/>
        <v>0.17215570633871652</v>
      </c>
      <c r="O144" s="742">
        <f t="shared" si="39"/>
        <v>3.5946046897907244E-2</v>
      </c>
      <c r="P144" s="742">
        <f t="shared" ref="P144" si="40">SUM(D144:L144)</f>
        <v>6.6205033192999169E-2</v>
      </c>
      <c r="Q144" s="752"/>
    </row>
    <row r="145" spans="2:18" s="718" customFormat="1" x14ac:dyDescent="0.2">
      <c r="C145" s="719"/>
      <c r="D145" s="752"/>
      <c r="E145" s="752"/>
      <c r="F145" s="752"/>
      <c r="G145" s="752"/>
      <c r="H145" s="752"/>
      <c r="I145" s="752"/>
      <c r="J145" s="752"/>
      <c r="K145" s="752"/>
      <c r="L145" s="752"/>
      <c r="M145" s="752"/>
      <c r="N145" s="752"/>
      <c r="O145" s="752"/>
      <c r="P145" s="752"/>
      <c r="Q145" s="752"/>
    </row>
    <row r="146" spans="2:18" s="718" customFormat="1" x14ac:dyDescent="0.2">
      <c r="B146" s="751" t="s">
        <v>219</v>
      </c>
      <c r="C146" s="719"/>
      <c r="D146" s="752"/>
      <c r="E146" s="752"/>
      <c r="F146" s="752"/>
      <c r="G146" s="752"/>
      <c r="H146" s="752"/>
      <c r="I146" s="752"/>
      <c r="J146" s="752"/>
      <c r="K146" s="752"/>
      <c r="L146" s="752"/>
      <c r="M146" s="752"/>
      <c r="N146" s="752"/>
      <c r="O146" s="752"/>
      <c r="P146" s="752"/>
      <c r="Q146" s="721"/>
    </row>
    <row r="147" spans="2:18" s="718" customFormat="1" x14ac:dyDescent="0.2">
      <c r="B147" s="718" t="s">
        <v>124</v>
      </c>
      <c r="C147" s="719"/>
      <c r="D147" s="741">
        <f>SystemWeatherAdj!$AV$15</f>
        <v>0</v>
      </c>
      <c r="E147" s="741">
        <f>SystemWeatherAdj!$AV$16</f>
        <v>0</v>
      </c>
      <c r="F147" s="741">
        <f>SystemWeatherAdj!$AV$17</f>
        <v>1811812.5051385127</v>
      </c>
      <c r="G147" s="741">
        <f>SystemWeatherAdj!$AV$18</f>
        <v>-347119.28372423351</v>
      </c>
      <c r="H147" s="741">
        <f>SystemWeatherAdj!$AV$19</f>
        <v>3646431.0186053962</v>
      </c>
      <c r="I147" s="741">
        <f>SystemWeatherAdj!$AV$20</f>
        <v>-4961286.0856280923</v>
      </c>
      <c r="J147" s="741">
        <f>SystemWeatherAdj!$AV$21</f>
        <v>16245071.132224679</v>
      </c>
      <c r="K147" s="741">
        <f>SystemWeatherAdj!$AV$22</f>
        <v>-10094133.903440788</v>
      </c>
      <c r="L147" s="741">
        <f>SystemWeatherAdj!$AV$23</f>
        <v>630373.3332798481</v>
      </c>
      <c r="M147" s="741">
        <f>SystemWeatherAdj!$AV$24</f>
        <v>3139156.0031094402</v>
      </c>
      <c r="N147" s="741">
        <f>SystemWeatherAdj!$AV$25</f>
        <v>8688222.5962853134</v>
      </c>
      <c r="O147" s="741">
        <f>SystemWeatherAdj!$AV$26</f>
        <v>1709352.0919530019</v>
      </c>
      <c r="P147" s="721">
        <f>SUM(D147:O147)</f>
        <v>20467879.407803077</v>
      </c>
      <c r="Q147" s="721"/>
    </row>
    <row r="148" spans="2:18" s="718" customFormat="1" x14ac:dyDescent="0.2">
      <c r="B148" s="718" t="s">
        <v>125</v>
      </c>
      <c r="C148" s="719"/>
      <c r="D148" s="741">
        <f>SystemWeatherAdj!$AW$15</f>
        <v>0</v>
      </c>
      <c r="E148" s="741">
        <f>SystemWeatherAdj!$AW$16</f>
        <v>0</v>
      </c>
      <c r="F148" s="741">
        <f>SystemWeatherAdj!$AW$17</f>
        <v>0</v>
      </c>
      <c r="G148" s="741">
        <f>SystemWeatherAdj!$AW$18</f>
        <v>-4020.0455273543485</v>
      </c>
      <c r="H148" s="741">
        <f>SystemWeatherAdj!$AW$19</f>
        <v>10896.43266033195</v>
      </c>
      <c r="I148" s="741">
        <f>SystemWeatherAdj!$AW$20</f>
        <v>0</v>
      </c>
      <c r="J148" s="741">
        <f>SystemWeatherAdj!$AW$21</f>
        <v>236312.47551807761</v>
      </c>
      <c r="K148" s="741">
        <f>SystemWeatherAdj!$AW$22</f>
        <v>-142539.83520227671</v>
      </c>
      <c r="L148" s="741">
        <f>SystemWeatherAdj!$AW$23</f>
        <v>5630.268187135458</v>
      </c>
      <c r="M148" s="741">
        <f>SystemWeatherAdj!$AW$24</f>
        <v>22930.327251821756</v>
      </c>
      <c r="N148" s="741">
        <f>SystemWeatherAdj!$AW$25</f>
        <v>0</v>
      </c>
      <c r="O148" s="741">
        <f>SystemWeatherAdj!$AW$26</f>
        <v>0</v>
      </c>
      <c r="P148" s="721">
        <f t="shared" ref="P148:P149" si="41">SUM(D148:O148)</f>
        <v>129209.62288773572</v>
      </c>
      <c r="Q148" s="721"/>
    </row>
    <row r="149" spans="2:18" s="718" customFormat="1" x14ac:dyDescent="0.2">
      <c r="B149" s="718" t="s">
        <v>126</v>
      </c>
      <c r="C149" s="719"/>
      <c r="D149" s="741">
        <f>SystemWeatherAdj!$AX$15</f>
        <v>0</v>
      </c>
      <c r="E149" s="741">
        <f>SystemWeatherAdj!$AX$16</f>
        <v>0</v>
      </c>
      <c r="F149" s="741">
        <f>SystemWeatherAdj!$AX$17</f>
        <v>125813.081255503</v>
      </c>
      <c r="G149" s="741">
        <f>SystemWeatherAdj!$AX$18</f>
        <v>-12360.879142869264</v>
      </c>
      <c r="H149" s="741">
        <f>SystemWeatherAdj!$AX$19</f>
        <v>150204.909042079</v>
      </c>
      <c r="I149" s="741">
        <f>SystemWeatherAdj!$AX$20</f>
        <v>-154389.95157866925</v>
      </c>
      <c r="J149" s="741">
        <f>SystemWeatherAdj!$AX$21</f>
        <v>728746.42588699982</v>
      </c>
      <c r="K149" s="741">
        <f>SystemWeatherAdj!$AX$22</f>
        <v>-409771.28147083148</v>
      </c>
      <c r="L149" s="741">
        <f>SystemWeatherAdj!$AX$23</f>
        <v>12863.452807337046</v>
      </c>
      <c r="M149" s="741">
        <f>SystemWeatherAdj!$AX$24</f>
        <v>180403.77861916646</v>
      </c>
      <c r="N149" s="741">
        <f>SystemWeatherAdj!$AX$25</f>
        <v>488124.25953488797</v>
      </c>
      <c r="O149" s="741">
        <f>SystemWeatherAdj!$AX$26</f>
        <v>130561.97256299853</v>
      </c>
      <c r="P149" s="721">
        <f t="shared" si="41"/>
        <v>1240195.7675166018</v>
      </c>
      <c r="Q149" s="729"/>
    </row>
    <row r="150" spans="2:18" s="718" customFormat="1" x14ac:dyDescent="0.2">
      <c r="B150" s="718" t="s">
        <v>129</v>
      </c>
      <c r="C150" s="719"/>
      <c r="D150" s="730">
        <f t="shared" ref="D150:H150" si="42">SUM(D147:D149)</f>
        <v>0</v>
      </c>
      <c r="E150" s="730">
        <f t="shared" si="42"/>
        <v>0</v>
      </c>
      <c r="F150" s="730">
        <f t="shared" si="42"/>
        <v>1937625.5863940157</v>
      </c>
      <c r="G150" s="730">
        <f t="shared" si="42"/>
        <v>-363500.20839445712</v>
      </c>
      <c r="H150" s="730">
        <f t="shared" si="42"/>
        <v>3807532.3603078071</v>
      </c>
      <c r="I150" s="730">
        <f>SUM(I147:I149)</f>
        <v>-5115676.0372067615</v>
      </c>
      <c r="J150" s="730">
        <f t="shared" ref="J150:O150" si="43">SUM(J147:J149)</f>
        <v>17210130.033629756</v>
      </c>
      <c r="K150" s="730">
        <f t="shared" si="43"/>
        <v>-10646445.020113897</v>
      </c>
      <c r="L150" s="730">
        <f t="shared" si="43"/>
        <v>648867.0542743206</v>
      </c>
      <c r="M150" s="730">
        <f t="shared" si="43"/>
        <v>3342490.1089804284</v>
      </c>
      <c r="N150" s="730">
        <f t="shared" si="43"/>
        <v>9176346.8558202013</v>
      </c>
      <c r="O150" s="730">
        <f t="shared" si="43"/>
        <v>1839914.0645160004</v>
      </c>
      <c r="P150" s="730">
        <f>SUM(D150:O150)</f>
        <v>21837284.798207417</v>
      </c>
      <c r="Q150" s="752"/>
    </row>
    <row r="151" spans="2:18" s="718" customFormat="1" x14ac:dyDescent="0.2">
      <c r="C151" s="719"/>
      <c r="D151" s="752"/>
      <c r="E151" s="752"/>
      <c r="F151" s="752"/>
      <c r="G151" s="752"/>
      <c r="H151" s="752"/>
      <c r="I151" s="752"/>
      <c r="J151" s="752"/>
      <c r="K151" s="752"/>
      <c r="L151" s="752"/>
      <c r="M151" s="752"/>
      <c r="N151" s="752"/>
      <c r="O151" s="752"/>
      <c r="P151" s="752"/>
      <c r="Q151" s="752"/>
    </row>
    <row r="152" spans="2:18" s="718" customFormat="1" x14ac:dyDescent="0.2">
      <c r="B152" s="751" t="s">
        <v>220</v>
      </c>
      <c r="C152" s="719"/>
      <c r="D152" s="752"/>
      <c r="E152" s="752"/>
      <c r="F152" s="752"/>
      <c r="G152" s="752"/>
      <c r="H152" s="752"/>
      <c r="I152" s="752"/>
      <c r="J152" s="752"/>
      <c r="K152" s="752"/>
      <c r="L152" s="752"/>
      <c r="M152" s="752"/>
      <c r="N152" s="752"/>
      <c r="O152" s="752"/>
      <c r="P152" s="752"/>
      <c r="Q152" s="721"/>
      <c r="R152" s="722"/>
    </row>
    <row r="153" spans="2:18" s="718" customFormat="1" x14ac:dyDescent="0.2">
      <c r="B153" s="709" t="s">
        <v>72</v>
      </c>
      <c r="C153" s="719">
        <v>23</v>
      </c>
      <c r="D153" s="721">
        <f t="shared" ref="D153:O155" si="44">ROUND(IF(SUM(D$130:D$132,D$140:D$141)&lt;&gt;0,D$147*D130/SUM(D$130:D$132,D$140:D$141),0),0)</f>
        <v>0</v>
      </c>
      <c r="E153" s="721">
        <f t="shared" si="44"/>
        <v>0</v>
      </c>
      <c r="F153" s="721">
        <f t="shared" si="44"/>
        <v>1694668</v>
      </c>
      <c r="G153" s="721">
        <f t="shared" si="44"/>
        <v>-272791</v>
      </c>
      <c r="H153" s="721">
        <f t="shared" si="44"/>
        <v>2783060</v>
      </c>
      <c r="I153" s="721">
        <f t="shared" si="44"/>
        <v>-3713640</v>
      </c>
      <c r="J153" s="721">
        <f t="shared" si="44"/>
        <v>12126683</v>
      </c>
      <c r="K153" s="721">
        <f t="shared" si="44"/>
        <v>-7614772</v>
      </c>
      <c r="L153" s="721">
        <f t="shared" si="44"/>
        <v>473028</v>
      </c>
      <c r="M153" s="721">
        <f t="shared" si="44"/>
        <v>2407991</v>
      </c>
      <c r="N153" s="721">
        <f t="shared" si="44"/>
        <v>6809472</v>
      </c>
      <c r="O153" s="721">
        <f t="shared" si="44"/>
        <v>1560235</v>
      </c>
      <c r="P153" s="721">
        <f>SUM(D153:O153)</f>
        <v>16253934</v>
      </c>
      <c r="Q153" s="721"/>
    </row>
    <row r="154" spans="2:18" s="718" customFormat="1" x14ac:dyDescent="0.2">
      <c r="B154" s="718" t="s">
        <v>101</v>
      </c>
      <c r="C154" s="724">
        <v>31</v>
      </c>
      <c r="D154" s="721">
        <f t="shared" si="44"/>
        <v>0</v>
      </c>
      <c r="E154" s="721">
        <f t="shared" si="44"/>
        <v>0</v>
      </c>
      <c r="F154" s="721">
        <f t="shared" si="44"/>
        <v>0</v>
      </c>
      <c r="G154" s="721">
        <f t="shared" si="44"/>
        <v>-53400</v>
      </c>
      <c r="H154" s="721">
        <f t="shared" si="44"/>
        <v>661053</v>
      </c>
      <c r="I154" s="721">
        <f t="shared" si="44"/>
        <v>-970359</v>
      </c>
      <c r="J154" s="721">
        <f t="shared" si="44"/>
        <v>3193500</v>
      </c>
      <c r="K154" s="721">
        <f t="shared" si="44"/>
        <v>-1917817</v>
      </c>
      <c r="L154" s="721">
        <f t="shared" si="44"/>
        <v>118675</v>
      </c>
      <c r="M154" s="721">
        <f t="shared" si="44"/>
        <v>540598</v>
      </c>
      <c r="N154" s="721">
        <f t="shared" si="44"/>
        <v>1279631</v>
      </c>
      <c r="O154" s="721">
        <f t="shared" si="44"/>
        <v>0</v>
      </c>
      <c r="P154" s="721">
        <f t="shared" ref="P154:P166" si="45">SUM(D154:O154)</f>
        <v>2851881</v>
      </c>
      <c r="Q154" s="721"/>
    </row>
    <row r="155" spans="2:18" s="718" customFormat="1" x14ac:dyDescent="0.2">
      <c r="B155" s="718" t="s">
        <v>102</v>
      </c>
      <c r="C155" s="718">
        <v>41</v>
      </c>
      <c r="D155" s="721">
        <f t="shared" si="44"/>
        <v>0</v>
      </c>
      <c r="E155" s="721">
        <f t="shared" si="44"/>
        <v>0</v>
      </c>
      <c r="F155" s="721">
        <f t="shared" si="44"/>
        <v>87691</v>
      </c>
      <c r="G155" s="721">
        <f t="shared" si="44"/>
        <v>-14803</v>
      </c>
      <c r="H155" s="721">
        <f t="shared" si="44"/>
        <v>141123</v>
      </c>
      <c r="I155" s="721">
        <f t="shared" si="44"/>
        <v>-190226</v>
      </c>
      <c r="J155" s="721">
        <f t="shared" si="44"/>
        <v>631345</v>
      </c>
      <c r="K155" s="721">
        <f t="shared" si="44"/>
        <v>-383771</v>
      </c>
      <c r="L155" s="721">
        <f t="shared" si="44"/>
        <v>26945</v>
      </c>
      <c r="M155" s="721">
        <f t="shared" si="44"/>
        <v>137182</v>
      </c>
      <c r="N155" s="721">
        <f t="shared" si="44"/>
        <v>455684</v>
      </c>
      <c r="O155" s="721">
        <f t="shared" si="44"/>
        <v>124587</v>
      </c>
      <c r="P155" s="721">
        <f t="shared" si="45"/>
        <v>1015757</v>
      </c>
      <c r="Q155" s="721"/>
    </row>
    <row r="156" spans="2:18" s="718" customFormat="1" x14ac:dyDescent="0.2">
      <c r="B156" s="709" t="s">
        <v>259</v>
      </c>
      <c r="C156" s="724" t="s">
        <v>236</v>
      </c>
      <c r="D156" s="721">
        <f t="shared" ref="D156:O158" si="46">ROUND(IF(SUM(D$133:D$135,D$142,D$139)&lt;&gt;0,D$149*D133/SUM(D$133:D$135,D$142,D$139),0),0)</f>
        <v>0</v>
      </c>
      <c r="E156" s="721">
        <f t="shared" si="46"/>
        <v>0</v>
      </c>
      <c r="F156" s="721">
        <f t="shared" si="46"/>
        <v>0</v>
      </c>
      <c r="G156" s="721">
        <f t="shared" si="46"/>
        <v>-911</v>
      </c>
      <c r="H156" s="721">
        <f t="shared" si="46"/>
        <v>10330</v>
      </c>
      <c r="I156" s="721">
        <f t="shared" si="46"/>
        <v>-11569</v>
      </c>
      <c r="J156" s="721">
        <f t="shared" si="46"/>
        <v>53960</v>
      </c>
      <c r="K156" s="721">
        <f t="shared" si="46"/>
        <v>-31805</v>
      </c>
      <c r="L156" s="721">
        <f t="shared" si="46"/>
        <v>1092</v>
      </c>
      <c r="M156" s="721">
        <f t="shared" si="46"/>
        <v>12521</v>
      </c>
      <c r="N156" s="721">
        <f t="shared" si="46"/>
        <v>25984</v>
      </c>
      <c r="O156" s="721">
        <f t="shared" si="46"/>
        <v>0</v>
      </c>
      <c r="P156" s="721">
        <f t="shared" si="45"/>
        <v>59602</v>
      </c>
      <c r="Q156" s="721"/>
    </row>
    <row r="157" spans="2:18" s="718" customFormat="1" x14ac:dyDescent="0.2">
      <c r="B157" s="709" t="s">
        <v>260</v>
      </c>
      <c r="C157" s="724" t="s">
        <v>231</v>
      </c>
      <c r="D157" s="721">
        <f t="shared" si="46"/>
        <v>0</v>
      </c>
      <c r="E157" s="721">
        <f t="shared" si="46"/>
        <v>0</v>
      </c>
      <c r="F157" s="721">
        <f t="shared" si="46"/>
        <v>0</v>
      </c>
      <c r="G157" s="721">
        <f t="shared" si="46"/>
        <v>-1608</v>
      </c>
      <c r="H157" s="721">
        <f t="shared" si="46"/>
        <v>18334</v>
      </c>
      <c r="I157" s="721">
        <f t="shared" si="46"/>
        <v>-21338</v>
      </c>
      <c r="J157" s="721">
        <f t="shared" si="46"/>
        <v>95773</v>
      </c>
      <c r="K157" s="721">
        <f t="shared" si="46"/>
        <v>-40499</v>
      </c>
      <c r="L157" s="721">
        <f t="shared" si="46"/>
        <v>1613</v>
      </c>
      <c r="M157" s="721">
        <f t="shared" si="46"/>
        <v>20904</v>
      </c>
      <c r="N157" s="721">
        <f t="shared" si="46"/>
        <v>62330</v>
      </c>
      <c r="O157" s="721">
        <f t="shared" si="46"/>
        <v>18537</v>
      </c>
      <c r="P157" s="721">
        <f t="shared" si="45"/>
        <v>154046</v>
      </c>
      <c r="Q157" s="721"/>
    </row>
    <row r="158" spans="2:18" s="718" customFormat="1" x14ac:dyDescent="0.2">
      <c r="B158" s="709" t="s">
        <v>263</v>
      </c>
      <c r="C158" s="724" t="s">
        <v>232</v>
      </c>
      <c r="D158" s="721">
        <f t="shared" si="46"/>
        <v>0</v>
      </c>
      <c r="E158" s="721">
        <f t="shared" si="46"/>
        <v>0</v>
      </c>
      <c r="F158" s="721">
        <f t="shared" si="46"/>
        <v>0</v>
      </c>
      <c r="G158" s="721">
        <f t="shared" si="46"/>
        <v>-2200</v>
      </c>
      <c r="H158" s="721">
        <f t="shared" si="46"/>
        <v>32863</v>
      </c>
      <c r="I158" s="721">
        <f t="shared" si="46"/>
        <v>-37796</v>
      </c>
      <c r="J158" s="721">
        <f t="shared" si="46"/>
        <v>167857</v>
      </c>
      <c r="K158" s="721">
        <f t="shared" si="46"/>
        <v>-89985</v>
      </c>
      <c r="L158" s="721">
        <f t="shared" si="46"/>
        <v>2749</v>
      </c>
      <c r="M158" s="721">
        <f t="shared" si="46"/>
        <v>37151</v>
      </c>
      <c r="N158" s="721">
        <f t="shared" si="46"/>
        <v>109586</v>
      </c>
      <c r="O158" s="721">
        <f t="shared" si="46"/>
        <v>24947</v>
      </c>
      <c r="P158" s="721">
        <f t="shared" si="45"/>
        <v>245172</v>
      </c>
      <c r="Q158" s="721"/>
    </row>
    <row r="159" spans="2:18" s="718" customFormat="1" x14ac:dyDescent="0.2">
      <c r="B159" s="718" t="s">
        <v>103</v>
      </c>
      <c r="C159" s="718">
        <v>85</v>
      </c>
      <c r="D159" s="721">
        <f t="shared" ref="D159:L159" si="47">ROUND(IF(SUM(D$136:D$138)&lt;&gt;0,D$148*D136/SUM(D$136:D$138),0),0)</f>
        <v>0</v>
      </c>
      <c r="E159" s="721">
        <f t="shared" si="47"/>
        <v>0</v>
      </c>
      <c r="F159" s="721">
        <f t="shared" si="47"/>
        <v>0</v>
      </c>
      <c r="G159" s="721">
        <f t="shared" si="47"/>
        <v>-1179</v>
      </c>
      <c r="H159" s="721">
        <f t="shared" si="47"/>
        <v>3170</v>
      </c>
      <c r="I159" s="721">
        <f t="shared" si="47"/>
        <v>0</v>
      </c>
      <c r="J159" s="721">
        <f t="shared" si="47"/>
        <v>70309</v>
      </c>
      <c r="K159" s="721">
        <f t="shared" si="47"/>
        <v>-43357</v>
      </c>
      <c r="L159" s="721">
        <f t="shared" si="47"/>
        <v>1732</v>
      </c>
      <c r="M159" s="721">
        <f t="shared" ref="M159:O161" si="48">ROUND(IF(SUM(M$136:M$138)&lt;&gt;0,M$148*M136/SUM(M$136:M$138),0),0)</f>
        <v>7108</v>
      </c>
      <c r="N159" s="721">
        <f t="shared" si="48"/>
        <v>0</v>
      </c>
      <c r="O159" s="721">
        <f t="shared" si="48"/>
        <v>0</v>
      </c>
      <c r="P159" s="721">
        <f t="shared" si="45"/>
        <v>37783</v>
      </c>
      <c r="Q159" s="721"/>
    </row>
    <row r="160" spans="2:18" s="718" customFormat="1" x14ac:dyDescent="0.2">
      <c r="B160" s="718" t="s">
        <v>108</v>
      </c>
      <c r="C160" s="718">
        <v>86</v>
      </c>
      <c r="D160" s="721">
        <f t="shared" ref="D160:L161" si="49">ROUND(IF(SUM(D$136:D$138)&lt;&gt;0,D$148*D137/SUM(D$136:D$138),0),0)</f>
        <v>0</v>
      </c>
      <c r="E160" s="721">
        <f t="shared" si="49"/>
        <v>0</v>
      </c>
      <c r="F160" s="721">
        <f t="shared" si="49"/>
        <v>0</v>
      </c>
      <c r="G160" s="721">
        <f t="shared" si="49"/>
        <v>-1377</v>
      </c>
      <c r="H160" s="721">
        <f t="shared" si="49"/>
        <v>3547</v>
      </c>
      <c r="I160" s="721">
        <f t="shared" si="49"/>
        <v>0</v>
      </c>
      <c r="J160" s="721">
        <f t="shared" si="49"/>
        <v>71982</v>
      </c>
      <c r="K160" s="721">
        <f t="shared" si="49"/>
        <v>-47007</v>
      </c>
      <c r="L160" s="721">
        <f t="shared" si="49"/>
        <v>1822</v>
      </c>
      <c r="M160" s="721">
        <f t="shared" si="48"/>
        <v>7404</v>
      </c>
      <c r="N160" s="721">
        <f t="shared" si="48"/>
        <v>0</v>
      </c>
      <c r="O160" s="721">
        <f t="shared" si="48"/>
        <v>0</v>
      </c>
      <c r="P160" s="721">
        <f t="shared" si="45"/>
        <v>36371</v>
      </c>
      <c r="Q160" s="721"/>
    </row>
    <row r="161" spans="1:17" s="718" customFormat="1" x14ac:dyDescent="0.2">
      <c r="B161" s="718" t="s">
        <v>265</v>
      </c>
      <c r="C161" s="718">
        <v>87</v>
      </c>
      <c r="D161" s="721">
        <f t="shared" si="49"/>
        <v>0</v>
      </c>
      <c r="E161" s="721">
        <f t="shared" si="49"/>
        <v>0</v>
      </c>
      <c r="F161" s="721">
        <f t="shared" si="49"/>
        <v>0</v>
      </c>
      <c r="G161" s="721">
        <f t="shared" si="49"/>
        <v>-1464</v>
      </c>
      <c r="H161" s="721">
        <f t="shared" si="49"/>
        <v>4179</v>
      </c>
      <c r="I161" s="721">
        <f t="shared" si="49"/>
        <v>0</v>
      </c>
      <c r="J161" s="721">
        <f t="shared" si="49"/>
        <v>94022</v>
      </c>
      <c r="K161" s="721">
        <f t="shared" si="49"/>
        <v>-52176</v>
      </c>
      <c r="L161" s="721">
        <f t="shared" si="49"/>
        <v>2076</v>
      </c>
      <c r="M161" s="721">
        <f t="shared" si="48"/>
        <v>8419</v>
      </c>
      <c r="N161" s="721">
        <f t="shared" si="48"/>
        <v>0</v>
      </c>
      <c r="O161" s="721">
        <f t="shared" si="48"/>
        <v>0</v>
      </c>
      <c r="P161" s="721">
        <f t="shared" si="45"/>
        <v>55056</v>
      </c>
      <c r="Q161" s="721"/>
    </row>
    <row r="162" spans="1:17" s="718" customFormat="1" x14ac:dyDescent="0.2">
      <c r="B162" s="709" t="s">
        <v>535</v>
      </c>
      <c r="C162" s="719" t="s">
        <v>387</v>
      </c>
      <c r="D162" s="721">
        <f t="shared" ref="D162:O162" si="50">ROUND(IF(SUM(D$133:D$135,D$142,D$139)&lt;&gt;0,D$149*D139/SUM(D$133:D$135,D$142,D$139),0),0)</f>
        <v>0</v>
      </c>
      <c r="E162" s="721">
        <f t="shared" si="50"/>
        <v>0</v>
      </c>
      <c r="F162" s="721">
        <f t="shared" si="50"/>
        <v>24</v>
      </c>
      <c r="G162" s="721">
        <f t="shared" si="50"/>
        <v>-2</v>
      </c>
      <c r="H162" s="721">
        <f t="shared" si="50"/>
        <v>23</v>
      </c>
      <c r="I162" s="721">
        <f t="shared" si="50"/>
        <v>-25</v>
      </c>
      <c r="J162" s="721">
        <f t="shared" si="50"/>
        <v>115</v>
      </c>
      <c r="K162" s="721">
        <f t="shared" si="50"/>
        <v>-69</v>
      </c>
      <c r="L162" s="721">
        <f t="shared" si="50"/>
        <v>2</v>
      </c>
      <c r="M162" s="721">
        <f t="shared" si="50"/>
        <v>22</v>
      </c>
      <c r="N162" s="721">
        <f t="shared" si="50"/>
        <v>47</v>
      </c>
      <c r="O162" s="721">
        <f t="shared" si="50"/>
        <v>10</v>
      </c>
      <c r="P162" s="721">
        <f t="shared" si="45"/>
        <v>147</v>
      </c>
      <c r="Q162" s="721"/>
    </row>
    <row r="163" spans="1:17" s="718" customFormat="1" x14ac:dyDescent="0.2">
      <c r="B163" s="718" t="s">
        <v>104</v>
      </c>
      <c r="C163" s="718">
        <v>31</v>
      </c>
      <c r="D163" s="721">
        <f t="shared" ref="D163:O164" si="51">ROUND(IF(SUM(D$130:D$132,D$140:D$141)&lt;&gt;0,D$147*D140/SUM(D$130:D$132,D$140:D$141),0),0)</f>
        <v>0</v>
      </c>
      <c r="E163" s="721">
        <f t="shared" si="51"/>
        <v>0</v>
      </c>
      <c r="F163" s="721">
        <f t="shared" si="51"/>
        <v>29453</v>
      </c>
      <c r="G163" s="721">
        <f t="shared" si="51"/>
        <v>-4807</v>
      </c>
      <c r="H163" s="721">
        <f t="shared" si="51"/>
        <v>52513</v>
      </c>
      <c r="I163" s="721">
        <f t="shared" si="51"/>
        <v>-76031</v>
      </c>
      <c r="J163" s="721">
        <f t="shared" si="51"/>
        <v>255055</v>
      </c>
      <c r="K163" s="721">
        <f t="shared" si="51"/>
        <v>-158025</v>
      </c>
      <c r="L163" s="721">
        <f t="shared" si="51"/>
        <v>9703</v>
      </c>
      <c r="M163" s="721">
        <f t="shared" si="51"/>
        <v>44942</v>
      </c>
      <c r="N163" s="721">
        <f t="shared" si="51"/>
        <v>118434</v>
      </c>
      <c r="O163" s="721">
        <f t="shared" si="51"/>
        <v>24530</v>
      </c>
      <c r="P163" s="721">
        <f t="shared" si="45"/>
        <v>295767</v>
      </c>
      <c r="Q163" s="721"/>
    </row>
    <row r="164" spans="1:17" s="725" customFormat="1" x14ac:dyDescent="0.2">
      <c r="A164" s="718"/>
      <c r="B164" s="718" t="s">
        <v>105</v>
      </c>
      <c r="C164" s="718">
        <v>41</v>
      </c>
      <c r="D164" s="721">
        <f t="shared" si="51"/>
        <v>0</v>
      </c>
      <c r="E164" s="721">
        <f t="shared" si="51"/>
        <v>0</v>
      </c>
      <c r="F164" s="721">
        <f t="shared" si="51"/>
        <v>0</v>
      </c>
      <c r="G164" s="721">
        <f t="shared" si="51"/>
        <v>-1318</v>
      </c>
      <c r="H164" s="721">
        <f t="shared" si="51"/>
        <v>8683</v>
      </c>
      <c r="I164" s="721">
        <f t="shared" si="51"/>
        <v>-11030</v>
      </c>
      <c r="J164" s="721">
        <f t="shared" si="51"/>
        <v>38488</v>
      </c>
      <c r="K164" s="721">
        <f t="shared" si="51"/>
        <v>-19749</v>
      </c>
      <c r="L164" s="721">
        <f t="shared" si="51"/>
        <v>2024</v>
      </c>
      <c r="M164" s="721">
        <f t="shared" si="51"/>
        <v>8442</v>
      </c>
      <c r="N164" s="721">
        <f t="shared" si="51"/>
        <v>25001</v>
      </c>
      <c r="O164" s="721">
        <f t="shared" si="51"/>
        <v>0</v>
      </c>
      <c r="P164" s="721">
        <f t="shared" si="45"/>
        <v>50541</v>
      </c>
      <c r="Q164" s="729"/>
    </row>
    <row r="165" spans="1:17" s="718" customFormat="1" ht="15" x14ac:dyDescent="0.25">
      <c r="A165" s="725"/>
      <c r="B165" s="725" t="s">
        <v>270</v>
      </c>
      <c r="C165" s="740" t="s">
        <v>346</v>
      </c>
      <c r="D165" s="721">
        <f t="shared" ref="D165:O165" si="52">ROUND(IF(SUM(D$133:D$135,D$142,D$139)&lt;&gt;0,D$149*D142/SUM(D$133:D$135,D$142,D$139),0),0)</f>
        <v>0</v>
      </c>
      <c r="E165" s="721">
        <f t="shared" si="52"/>
        <v>0</v>
      </c>
      <c r="F165" s="721">
        <f t="shared" si="52"/>
        <v>125789</v>
      </c>
      <c r="G165" s="721">
        <f t="shared" si="52"/>
        <v>-7640</v>
      </c>
      <c r="H165" s="721">
        <f t="shared" si="52"/>
        <v>88655</v>
      </c>
      <c r="I165" s="721">
        <f t="shared" si="52"/>
        <v>-83661</v>
      </c>
      <c r="J165" s="721">
        <f t="shared" si="52"/>
        <v>411040</v>
      </c>
      <c r="K165" s="721">
        <f t="shared" si="52"/>
        <v>-247412</v>
      </c>
      <c r="L165" s="721">
        <f t="shared" si="52"/>
        <v>7408</v>
      </c>
      <c r="M165" s="721">
        <f t="shared" si="52"/>
        <v>109805</v>
      </c>
      <c r="N165" s="721">
        <f t="shared" si="52"/>
        <v>290178</v>
      </c>
      <c r="O165" s="721">
        <f t="shared" si="52"/>
        <v>87068</v>
      </c>
      <c r="P165" s="729">
        <f t="shared" si="45"/>
        <v>781230</v>
      </c>
      <c r="Q165" s="729"/>
    </row>
    <row r="166" spans="1:17" s="718" customFormat="1" x14ac:dyDescent="0.2">
      <c r="B166" s="718" t="s">
        <v>129</v>
      </c>
      <c r="C166" s="719"/>
      <c r="D166" s="730">
        <f t="shared" ref="D166:I166" si="53">SUM(D153:D165)</f>
        <v>0</v>
      </c>
      <c r="E166" s="730">
        <f t="shared" si="53"/>
        <v>0</v>
      </c>
      <c r="F166" s="730">
        <f t="shared" si="53"/>
        <v>1937625</v>
      </c>
      <c r="G166" s="730">
        <f t="shared" si="53"/>
        <v>-363500</v>
      </c>
      <c r="H166" s="730">
        <f t="shared" si="53"/>
        <v>3807533</v>
      </c>
      <c r="I166" s="730">
        <f t="shared" si="53"/>
        <v>-5115675</v>
      </c>
      <c r="J166" s="730">
        <f>SUM(J153:J165)</f>
        <v>17210129</v>
      </c>
      <c r="K166" s="730">
        <f t="shared" ref="K166:O166" si="54">SUM(K153:K165)</f>
        <v>-10646444</v>
      </c>
      <c r="L166" s="730">
        <f t="shared" si="54"/>
        <v>648869</v>
      </c>
      <c r="M166" s="730">
        <f t="shared" si="54"/>
        <v>3342489</v>
      </c>
      <c r="N166" s="730">
        <f t="shared" si="54"/>
        <v>9176347</v>
      </c>
      <c r="O166" s="730">
        <f t="shared" si="54"/>
        <v>1839914</v>
      </c>
      <c r="P166" s="730">
        <f t="shared" si="45"/>
        <v>21837287</v>
      </c>
      <c r="Q166" s="742"/>
    </row>
    <row r="167" spans="1:17" s="718" customFormat="1" x14ac:dyDescent="0.2">
      <c r="B167" s="718" t="s">
        <v>123</v>
      </c>
      <c r="C167" s="719"/>
      <c r="D167" s="742">
        <f t="shared" ref="D167:O167" si="55">IFERROR(D166/D31,0)</f>
        <v>0</v>
      </c>
      <c r="E167" s="742">
        <f t="shared" si="55"/>
        <v>0</v>
      </c>
      <c r="F167" s="742">
        <f t="shared" si="55"/>
        <v>3.6155794585818024E-2</v>
      </c>
      <c r="G167" s="742">
        <f t="shared" si="55"/>
        <v>-3.8892279973175401E-3</v>
      </c>
      <c r="H167" s="742">
        <f t="shared" si="55"/>
        <v>2.9884620136494448E-2</v>
      </c>
      <c r="I167" s="742">
        <f t="shared" si="55"/>
        <v>-3.1647288995522584E-2</v>
      </c>
      <c r="J167" s="742">
        <f t="shared" si="55"/>
        <v>0.11524158232012445</v>
      </c>
      <c r="K167" s="742">
        <f t="shared" si="55"/>
        <v>-7.426219340942615E-2</v>
      </c>
      <c r="L167" s="742">
        <f t="shared" si="55"/>
        <v>4.723362867850499E-3</v>
      </c>
      <c r="M167" s="742">
        <f t="shared" si="55"/>
        <v>3.4949984094612987E-2</v>
      </c>
      <c r="N167" s="742">
        <f>IFERROR(N166/N31,0)</f>
        <v>0.15143772058361277</v>
      </c>
      <c r="O167" s="742">
        <f t="shared" si="55"/>
        <v>3.799394373298174E-2</v>
      </c>
      <c r="P167" s="742">
        <f t="shared" ref="P167" si="56">SUM(D167:L167)</f>
        <v>7.6206649508021154E-2</v>
      </c>
      <c r="Q167" s="729"/>
    </row>
    <row r="168" spans="1:17" s="718" customFormat="1" x14ac:dyDescent="0.2">
      <c r="C168" s="719"/>
      <c r="D168" s="729"/>
      <c r="E168" s="729"/>
      <c r="F168" s="729"/>
      <c r="G168" s="729"/>
      <c r="H168" s="729"/>
      <c r="I168" s="729"/>
      <c r="J168" s="729"/>
      <c r="K168" s="729"/>
      <c r="L168" s="729"/>
      <c r="M168" s="729"/>
      <c r="N168" s="729"/>
      <c r="O168" s="729"/>
      <c r="P168" s="729"/>
      <c r="Q168" s="729"/>
    </row>
    <row r="169" spans="1:17" s="718" customFormat="1" x14ac:dyDescent="0.2">
      <c r="B169" s="751" t="s">
        <v>221</v>
      </c>
      <c r="C169" s="719"/>
      <c r="D169" s="729"/>
      <c r="E169" s="729"/>
      <c r="F169" s="729"/>
      <c r="G169" s="729"/>
      <c r="H169" s="729"/>
      <c r="I169" s="729"/>
      <c r="J169" s="729"/>
      <c r="K169" s="729"/>
      <c r="L169" s="729"/>
      <c r="M169" s="729"/>
      <c r="N169" s="729"/>
      <c r="O169" s="729"/>
      <c r="P169" s="729"/>
      <c r="Q169" s="721"/>
    </row>
    <row r="170" spans="1:17" s="718" customFormat="1" x14ac:dyDescent="0.2">
      <c r="B170" s="718" t="s">
        <v>72</v>
      </c>
      <c r="C170" s="719">
        <v>23</v>
      </c>
      <c r="D170" s="721">
        <f t="shared" ref="D170:O170" si="57">D9+D153</f>
        <v>13443846.632999999</v>
      </c>
      <c r="E170" s="721">
        <f t="shared" si="57"/>
        <v>12736009.979</v>
      </c>
      <c r="F170" s="721">
        <f t="shared" si="57"/>
        <v>21647719.936999999</v>
      </c>
      <c r="G170" s="721">
        <f t="shared" si="57"/>
        <v>46155974.25</v>
      </c>
      <c r="H170" s="721">
        <f t="shared" si="57"/>
        <v>73741897.160999998</v>
      </c>
      <c r="I170" s="721">
        <f t="shared" si="57"/>
        <v>88509622.627000004</v>
      </c>
      <c r="J170" s="721">
        <f t="shared" si="57"/>
        <v>97226692.343999997</v>
      </c>
      <c r="K170" s="721">
        <f t="shared" si="57"/>
        <v>73367926.152999997</v>
      </c>
      <c r="L170" s="721">
        <f t="shared" si="57"/>
        <v>75843560.385000005</v>
      </c>
      <c r="M170" s="721">
        <f t="shared" si="57"/>
        <v>50269722.055</v>
      </c>
      <c r="N170" s="721">
        <f t="shared" si="57"/>
        <v>30887232.546</v>
      </c>
      <c r="O170" s="721">
        <f t="shared" si="57"/>
        <v>19275348.866999999</v>
      </c>
      <c r="P170" s="721">
        <f>SUM(D170:O170)</f>
        <v>603105552.93699992</v>
      </c>
      <c r="Q170" s="721"/>
    </row>
    <row r="171" spans="1:17" s="718" customFormat="1" x14ac:dyDescent="0.2">
      <c r="B171" s="718" t="s">
        <v>101</v>
      </c>
      <c r="C171" s="724">
        <v>31</v>
      </c>
      <c r="D171" s="721">
        <f t="shared" ref="D171:O172" si="58">D11+D154</f>
        <v>7628079.7920000004</v>
      </c>
      <c r="E171" s="721">
        <f t="shared" si="58"/>
        <v>7453085.6330000004</v>
      </c>
      <c r="F171" s="721">
        <f t="shared" si="58"/>
        <v>9048012.2430000007</v>
      </c>
      <c r="G171" s="721">
        <f t="shared" si="58"/>
        <v>15932676.433</v>
      </c>
      <c r="H171" s="721">
        <f t="shared" si="58"/>
        <v>23966771.149999999</v>
      </c>
      <c r="I171" s="721">
        <f t="shared" si="58"/>
        <v>29413050.791000001</v>
      </c>
      <c r="J171" s="721">
        <f t="shared" si="58"/>
        <v>31601920.164999999</v>
      </c>
      <c r="K171" s="721">
        <f t="shared" si="58"/>
        <v>25012454.664999999</v>
      </c>
      <c r="L171" s="721">
        <f t="shared" si="58"/>
        <v>25668437.872000001</v>
      </c>
      <c r="M171" s="721">
        <f t="shared" si="58"/>
        <v>18094159.793000001</v>
      </c>
      <c r="N171" s="721">
        <f t="shared" si="58"/>
        <v>12124126.560000001</v>
      </c>
      <c r="O171" s="721">
        <f t="shared" si="58"/>
        <v>8894243.5490000006</v>
      </c>
      <c r="P171" s="721">
        <f t="shared" ref="P171:P183" si="59">SUM(D171:O171)</f>
        <v>214837018.646</v>
      </c>
      <c r="Q171" s="721"/>
    </row>
    <row r="172" spans="1:17" s="718" customFormat="1" x14ac:dyDescent="0.2">
      <c r="B172" s="718" t="s">
        <v>102</v>
      </c>
      <c r="C172" s="718">
        <v>41</v>
      </c>
      <c r="D172" s="721">
        <f t="shared" si="58"/>
        <v>2436691.1039999998</v>
      </c>
      <c r="E172" s="721">
        <f t="shared" si="58"/>
        <v>2305053.4160000002</v>
      </c>
      <c r="F172" s="721">
        <f t="shared" si="58"/>
        <v>2868775.9019999998</v>
      </c>
      <c r="G172" s="721">
        <f t="shared" si="58"/>
        <v>4444093.4029999999</v>
      </c>
      <c r="H172" s="721">
        <f t="shared" si="58"/>
        <v>5802995.9620000003</v>
      </c>
      <c r="I172" s="721">
        <f t="shared" si="58"/>
        <v>6803789.2349999994</v>
      </c>
      <c r="J172" s="721">
        <f t="shared" si="58"/>
        <v>7214330.9359999998</v>
      </c>
      <c r="K172" s="721">
        <f t="shared" si="58"/>
        <v>5992951.0830000006</v>
      </c>
      <c r="L172" s="721">
        <f t="shared" si="58"/>
        <v>6261605.6830000002</v>
      </c>
      <c r="M172" s="721">
        <f t="shared" si="58"/>
        <v>4926100.1710000001</v>
      </c>
      <c r="N172" s="721">
        <f t="shared" si="58"/>
        <v>3756633.523</v>
      </c>
      <c r="O172" s="721">
        <f t="shared" si="58"/>
        <v>1688485.8959999999</v>
      </c>
      <c r="P172" s="721">
        <f t="shared" si="59"/>
        <v>54501506.313999996</v>
      </c>
      <c r="Q172" s="721"/>
    </row>
    <row r="173" spans="1:17" s="718" customFormat="1" x14ac:dyDescent="0.2">
      <c r="B173" s="709" t="s">
        <v>259</v>
      </c>
      <c r="C173" s="724" t="s">
        <v>236</v>
      </c>
      <c r="D173" s="721">
        <f t="shared" ref="D173:O175" si="60">D23+D156</f>
        <v>842278.49</v>
      </c>
      <c r="E173" s="721">
        <f t="shared" si="60"/>
        <v>919204.60000000009</v>
      </c>
      <c r="F173" s="721">
        <f t="shared" si="60"/>
        <v>874618.36</v>
      </c>
      <c r="G173" s="721">
        <f t="shared" si="60"/>
        <v>1038625.68</v>
      </c>
      <c r="H173" s="721">
        <f t="shared" si="60"/>
        <v>1151459.2390000001</v>
      </c>
      <c r="I173" s="721">
        <f t="shared" si="60"/>
        <v>1237799.6400000001</v>
      </c>
      <c r="J173" s="721">
        <f t="shared" si="60"/>
        <v>1309932.3900000001</v>
      </c>
      <c r="K173" s="721">
        <f t="shared" si="60"/>
        <v>1187686.01</v>
      </c>
      <c r="L173" s="721">
        <f t="shared" si="60"/>
        <v>1250467.8599999999</v>
      </c>
      <c r="M173" s="721">
        <f t="shared" si="60"/>
        <v>1133840.93</v>
      </c>
      <c r="N173" s="721">
        <f t="shared" si="60"/>
        <v>1023426.22</v>
      </c>
      <c r="O173" s="721">
        <f t="shared" si="60"/>
        <v>813156.53</v>
      </c>
      <c r="P173" s="721">
        <f t="shared" si="59"/>
        <v>12782495.949000001</v>
      </c>
      <c r="Q173" s="721"/>
    </row>
    <row r="174" spans="1:17" s="718" customFormat="1" x14ac:dyDescent="0.2">
      <c r="B174" s="709" t="s">
        <v>260</v>
      </c>
      <c r="C174" s="724" t="s">
        <v>231</v>
      </c>
      <c r="D174" s="721">
        <f t="shared" si="60"/>
        <v>1570935.13</v>
      </c>
      <c r="E174" s="721">
        <f t="shared" si="60"/>
        <v>1652500.78</v>
      </c>
      <c r="F174" s="721">
        <f t="shared" si="60"/>
        <v>1563451.74</v>
      </c>
      <c r="G174" s="721">
        <f t="shared" si="60"/>
        <v>1821545.78</v>
      </c>
      <c r="H174" s="721">
        <f t="shared" si="60"/>
        <v>1979027.12</v>
      </c>
      <c r="I174" s="721">
        <f t="shared" si="60"/>
        <v>2153272.2800000003</v>
      </c>
      <c r="J174" s="721">
        <f t="shared" si="60"/>
        <v>2213984.92</v>
      </c>
      <c r="K174" s="721">
        <f t="shared" si="60"/>
        <v>1964790.4500000002</v>
      </c>
      <c r="L174" s="721">
        <f t="shared" si="60"/>
        <v>2105813.58</v>
      </c>
      <c r="M174" s="721">
        <f t="shared" si="60"/>
        <v>1852946.1</v>
      </c>
      <c r="N174" s="721">
        <f t="shared" si="60"/>
        <v>1863363.12</v>
      </c>
      <c r="O174" s="721">
        <f t="shared" si="60"/>
        <v>1750711.3499999999</v>
      </c>
      <c r="P174" s="721">
        <f t="shared" si="59"/>
        <v>22492342.350000005</v>
      </c>
      <c r="Q174" s="721"/>
    </row>
    <row r="175" spans="1:17" s="718" customFormat="1" x14ac:dyDescent="0.2">
      <c r="B175" s="709" t="s">
        <v>263</v>
      </c>
      <c r="C175" s="724" t="s">
        <v>232</v>
      </c>
      <c r="D175" s="721">
        <f t="shared" si="60"/>
        <v>1084131.21</v>
      </c>
      <c r="E175" s="721">
        <f t="shared" si="60"/>
        <v>1076261.75</v>
      </c>
      <c r="F175" s="721">
        <f t="shared" si="60"/>
        <v>1104327.17</v>
      </c>
      <c r="G175" s="721">
        <f t="shared" si="60"/>
        <v>1492017.02</v>
      </c>
      <c r="H175" s="721">
        <f t="shared" si="60"/>
        <v>1844255.06</v>
      </c>
      <c r="I175" s="721">
        <f t="shared" si="60"/>
        <v>2076878.6400000001</v>
      </c>
      <c r="J175" s="721">
        <f t="shared" si="60"/>
        <v>2119316.87</v>
      </c>
      <c r="K175" s="721">
        <f t="shared" si="60"/>
        <v>1871108.9500000002</v>
      </c>
      <c r="L175" s="721">
        <f t="shared" si="60"/>
        <v>1860191.65</v>
      </c>
      <c r="M175" s="721">
        <f t="shared" si="60"/>
        <v>1637011.8800000001</v>
      </c>
      <c r="N175" s="721">
        <f t="shared" si="60"/>
        <v>1388275.8499999999</v>
      </c>
      <c r="O175" s="721">
        <f t="shared" si="60"/>
        <v>1192987.95</v>
      </c>
      <c r="P175" s="721">
        <f t="shared" si="59"/>
        <v>18746764.000000004</v>
      </c>
      <c r="Q175" s="721"/>
    </row>
    <row r="176" spans="1:17" s="718" customFormat="1" x14ac:dyDescent="0.2">
      <c r="B176" s="718" t="s">
        <v>103</v>
      </c>
      <c r="C176" s="718">
        <v>85</v>
      </c>
      <c r="D176" s="721">
        <f t="shared" ref="D176:O178" si="61">D14+D159</f>
        <v>718072.78200000001</v>
      </c>
      <c r="E176" s="721">
        <f t="shared" si="61"/>
        <v>664389.50499999989</v>
      </c>
      <c r="F176" s="721">
        <f t="shared" si="61"/>
        <v>792053.55200000003</v>
      </c>
      <c r="G176" s="721">
        <f t="shared" si="61"/>
        <v>1249577.3330000001</v>
      </c>
      <c r="H176" s="721">
        <f t="shared" si="61"/>
        <v>1554481.9750000001</v>
      </c>
      <c r="I176" s="721">
        <f t="shared" si="61"/>
        <v>1866442.2080000001</v>
      </c>
      <c r="J176" s="721">
        <f t="shared" si="61"/>
        <v>1780824.939</v>
      </c>
      <c r="K176" s="721">
        <f t="shared" si="61"/>
        <v>1536379.5380000002</v>
      </c>
      <c r="L176" s="721">
        <f t="shared" si="61"/>
        <v>1643991.1359999999</v>
      </c>
      <c r="M176" s="721">
        <f t="shared" si="61"/>
        <v>1250763.1359999999</v>
      </c>
      <c r="N176" s="721">
        <f t="shared" si="61"/>
        <v>920234.88600000006</v>
      </c>
      <c r="O176" s="721">
        <f t="shared" si="61"/>
        <v>709740.74400000006</v>
      </c>
      <c r="P176" s="721">
        <f t="shared" si="59"/>
        <v>14686951.734000001</v>
      </c>
      <c r="Q176" s="721"/>
    </row>
    <row r="177" spans="1:17" s="718" customFormat="1" x14ac:dyDescent="0.2">
      <c r="B177" s="718" t="s">
        <v>108</v>
      </c>
      <c r="C177" s="718">
        <v>86</v>
      </c>
      <c r="D177" s="721">
        <f t="shared" si="61"/>
        <v>208746.55599999998</v>
      </c>
      <c r="E177" s="721">
        <f t="shared" si="61"/>
        <v>193052.79699999999</v>
      </c>
      <c r="F177" s="721">
        <f t="shared" si="61"/>
        <v>320287.72700000001</v>
      </c>
      <c r="G177" s="721">
        <f t="shared" si="61"/>
        <v>750962.98400000005</v>
      </c>
      <c r="H177" s="721">
        <f t="shared" si="61"/>
        <v>1030574.388</v>
      </c>
      <c r="I177" s="721">
        <f t="shared" si="61"/>
        <v>1282526.0389999999</v>
      </c>
      <c r="J177" s="721">
        <f t="shared" si="61"/>
        <v>1258725.409</v>
      </c>
      <c r="K177" s="721">
        <f t="shared" si="61"/>
        <v>1049738.9580000001</v>
      </c>
      <c r="L177" s="721">
        <f t="shared" si="61"/>
        <v>1110593.162</v>
      </c>
      <c r="M177" s="721">
        <f t="shared" si="61"/>
        <v>846297.72800000012</v>
      </c>
      <c r="N177" s="721">
        <f t="shared" si="61"/>
        <v>477239.02300000004</v>
      </c>
      <c r="O177" s="721">
        <f t="shared" si="61"/>
        <v>307851.304</v>
      </c>
      <c r="P177" s="721">
        <f t="shared" si="59"/>
        <v>8836596.0750000011</v>
      </c>
      <c r="Q177" s="721"/>
    </row>
    <row r="178" spans="1:17" s="718" customFormat="1" x14ac:dyDescent="0.2">
      <c r="B178" s="718" t="s">
        <v>265</v>
      </c>
      <c r="C178" s="718">
        <v>87</v>
      </c>
      <c r="D178" s="721">
        <f t="shared" si="61"/>
        <v>1205163.1340000001</v>
      </c>
      <c r="E178" s="721">
        <f t="shared" si="61"/>
        <v>1191232.98</v>
      </c>
      <c r="F178" s="721">
        <f t="shared" si="61"/>
        <v>1297454.0249999999</v>
      </c>
      <c r="G178" s="721">
        <f t="shared" si="61"/>
        <v>1956862.8969999999</v>
      </c>
      <c r="H178" s="721">
        <f t="shared" si="61"/>
        <v>2346051.3509999998</v>
      </c>
      <c r="I178" s="721">
        <f t="shared" si="61"/>
        <v>2817477.4819999998</v>
      </c>
      <c r="J178" s="721">
        <f t="shared" si="61"/>
        <v>2582095.4070000001</v>
      </c>
      <c r="K178" s="721">
        <f t="shared" si="61"/>
        <v>2453869.7620000001</v>
      </c>
      <c r="L178" s="721">
        <f t="shared" si="61"/>
        <v>2432020.3769999999</v>
      </c>
      <c r="M178" s="721">
        <f t="shared" si="61"/>
        <v>2074669.916</v>
      </c>
      <c r="N178" s="721">
        <f t="shared" si="61"/>
        <v>1485710.202</v>
      </c>
      <c r="O178" s="721">
        <f t="shared" si="61"/>
        <v>1430551.095</v>
      </c>
      <c r="P178" s="721">
        <f t="shared" si="59"/>
        <v>23273158.627999999</v>
      </c>
      <c r="Q178" s="721"/>
    </row>
    <row r="179" spans="1:17" s="718" customFormat="1" x14ac:dyDescent="0.2">
      <c r="B179" s="709" t="s">
        <v>535</v>
      </c>
      <c r="C179" s="719" t="s">
        <v>387</v>
      </c>
      <c r="D179" s="721">
        <f t="shared" ref="D179:O179" si="62">D13+D162</f>
        <v>76.98</v>
      </c>
      <c r="E179" s="721">
        <f t="shared" si="62"/>
        <v>27.25</v>
      </c>
      <c r="F179" s="721">
        <f t="shared" si="62"/>
        <v>242.87</v>
      </c>
      <c r="G179" s="721">
        <f t="shared" si="62"/>
        <v>1980.63</v>
      </c>
      <c r="H179" s="721">
        <f t="shared" si="62"/>
        <v>3346.76</v>
      </c>
      <c r="I179" s="721">
        <f t="shared" si="62"/>
        <v>4385.21</v>
      </c>
      <c r="J179" s="721">
        <f t="shared" si="62"/>
        <v>2645.87</v>
      </c>
      <c r="K179" s="721">
        <f t="shared" si="62"/>
        <v>3836.98</v>
      </c>
      <c r="L179" s="721">
        <f t="shared" si="62"/>
        <v>2823.34</v>
      </c>
      <c r="M179" s="721">
        <f t="shared" si="62"/>
        <v>2002.65</v>
      </c>
      <c r="N179" s="721">
        <f t="shared" si="62"/>
        <v>642.91</v>
      </c>
      <c r="O179" s="721">
        <f t="shared" si="62"/>
        <v>37.44</v>
      </c>
      <c r="P179" s="721">
        <f t="shared" si="59"/>
        <v>22048.89</v>
      </c>
      <c r="Q179" s="721"/>
    </row>
    <row r="180" spans="1:17" s="718" customFormat="1" x14ac:dyDescent="0.2">
      <c r="B180" s="718" t="s">
        <v>104</v>
      </c>
      <c r="C180" s="718">
        <v>31</v>
      </c>
      <c r="D180" s="721">
        <f t="shared" ref="D180:O181" si="63">D17+D163</f>
        <v>395133.00599999999</v>
      </c>
      <c r="E180" s="721">
        <f t="shared" si="63"/>
        <v>415618.07</v>
      </c>
      <c r="F180" s="721">
        <f t="shared" si="63"/>
        <v>530299.97600000002</v>
      </c>
      <c r="G180" s="721">
        <f t="shared" si="63"/>
        <v>1002186.794</v>
      </c>
      <c r="H180" s="721">
        <f t="shared" si="63"/>
        <v>1580920.077</v>
      </c>
      <c r="I180" s="721">
        <f t="shared" si="63"/>
        <v>1965067.7910000002</v>
      </c>
      <c r="J180" s="721">
        <f t="shared" si="63"/>
        <v>2219846.37</v>
      </c>
      <c r="K180" s="721">
        <f t="shared" si="63"/>
        <v>1724909.0430000001</v>
      </c>
      <c r="L180" s="721">
        <f t="shared" si="63"/>
        <v>1692363.3740000001</v>
      </c>
      <c r="M180" s="721">
        <f t="shared" si="63"/>
        <v>1108860.2120000001</v>
      </c>
      <c r="N180" s="721">
        <f t="shared" si="63"/>
        <v>678225.22699999996</v>
      </c>
      <c r="O180" s="721">
        <f t="shared" si="63"/>
        <v>454283.88400000002</v>
      </c>
      <c r="P180" s="721">
        <f t="shared" si="59"/>
        <v>13767713.823999999</v>
      </c>
      <c r="Q180" s="721"/>
    </row>
    <row r="181" spans="1:17" s="725" customFormat="1" x14ac:dyDescent="0.2">
      <c r="A181" s="718"/>
      <c r="B181" s="718" t="s">
        <v>105</v>
      </c>
      <c r="C181" s="718">
        <v>41</v>
      </c>
      <c r="D181" s="721">
        <f t="shared" si="63"/>
        <v>715686.64599999995</v>
      </c>
      <c r="E181" s="721">
        <f t="shared" si="63"/>
        <v>723322.54399999999</v>
      </c>
      <c r="F181" s="721">
        <f t="shared" si="63"/>
        <v>721587.85899999994</v>
      </c>
      <c r="G181" s="721">
        <f t="shared" si="63"/>
        <v>893700.30300000007</v>
      </c>
      <c r="H181" s="721">
        <f t="shared" si="63"/>
        <v>902546.43400000012</v>
      </c>
      <c r="I181" s="721">
        <f t="shared" si="63"/>
        <v>967290.95299999998</v>
      </c>
      <c r="J181" s="721">
        <f t="shared" si="63"/>
        <v>984923.92099999997</v>
      </c>
      <c r="K181" s="721">
        <f t="shared" si="63"/>
        <v>881329.02300000004</v>
      </c>
      <c r="L181" s="721">
        <f t="shared" si="63"/>
        <v>921278.62699999998</v>
      </c>
      <c r="M181" s="721">
        <f t="shared" si="63"/>
        <v>819888.06</v>
      </c>
      <c r="N181" s="721">
        <f t="shared" si="63"/>
        <v>725118.15899999999</v>
      </c>
      <c r="O181" s="721">
        <f t="shared" si="63"/>
        <v>208689.174</v>
      </c>
      <c r="P181" s="721">
        <f t="shared" si="59"/>
        <v>9465361.7030000016</v>
      </c>
      <c r="Q181" s="729"/>
    </row>
    <row r="182" spans="1:17" s="718" customFormat="1" ht="15" x14ac:dyDescent="0.25">
      <c r="A182" s="725"/>
      <c r="B182" s="725" t="s">
        <v>270</v>
      </c>
      <c r="C182" s="740" t="s">
        <v>346</v>
      </c>
      <c r="D182" s="729">
        <f t="shared" ref="D182:O182" si="64">D30+D165</f>
        <v>1921334.9100000001</v>
      </c>
      <c r="E182" s="729">
        <f t="shared" si="64"/>
        <v>1869187.75</v>
      </c>
      <c r="F182" s="729">
        <f t="shared" si="64"/>
        <v>2068982.99</v>
      </c>
      <c r="G182" s="729">
        <f t="shared" si="64"/>
        <v>3006871.56</v>
      </c>
      <c r="H182" s="729">
        <f t="shared" si="64"/>
        <v>3833917.62</v>
      </c>
      <c r="I182" s="729">
        <f t="shared" si="64"/>
        <v>4352917.41</v>
      </c>
      <c r="J182" s="729">
        <f t="shared" si="64"/>
        <v>4443467.74</v>
      </c>
      <c r="K182" s="729">
        <f t="shared" si="64"/>
        <v>3867486.2699999996</v>
      </c>
      <c r="L182" s="729">
        <f t="shared" si="64"/>
        <v>3813818.93</v>
      </c>
      <c r="M182" s="729">
        <f t="shared" si="64"/>
        <v>3266173.4099999997</v>
      </c>
      <c r="N182" s="729">
        <f t="shared" si="64"/>
        <v>2607580.04</v>
      </c>
      <c r="O182" s="729">
        <f t="shared" si="64"/>
        <v>2223953.0499999998</v>
      </c>
      <c r="P182" s="729">
        <f t="shared" si="59"/>
        <v>37275691.68</v>
      </c>
      <c r="Q182" s="729"/>
    </row>
    <row r="183" spans="1:17" s="718" customFormat="1" x14ac:dyDescent="0.2">
      <c r="B183" s="718" t="s">
        <v>128</v>
      </c>
      <c r="C183" s="719"/>
      <c r="D183" s="730">
        <f t="shared" ref="D183:O183" si="65">SUM(D170:D182)</f>
        <v>32170176.373000003</v>
      </c>
      <c r="E183" s="730">
        <f t="shared" si="65"/>
        <v>31198947.054000001</v>
      </c>
      <c r="F183" s="730">
        <f t="shared" si="65"/>
        <v>42837814.351000004</v>
      </c>
      <c r="G183" s="730">
        <f t="shared" si="65"/>
        <v>79747075.067000002</v>
      </c>
      <c r="H183" s="730">
        <f t="shared" si="65"/>
        <v>119738244.29700001</v>
      </c>
      <c r="I183" s="730">
        <f t="shared" si="65"/>
        <v>143450520.30600005</v>
      </c>
      <c r="J183" s="730">
        <f t="shared" si="65"/>
        <v>154958707.28100002</v>
      </c>
      <c r="K183" s="730">
        <f t="shared" si="65"/>
        <v>120914466.88500001</v>
      </c>
      <c r="L183" s="730">
        <f t="shared" si="65"/>
        <v>124606965.97600003</v>
      </c>
      <c r="M183" s="730">
        <f t="shared" si="65"/>
        <v>87282436.040999994</v>
      </c>
      <c r="N183" s="730">
        <f t="shared" si="65"/>
        <v>57937808.265999995</v>
      </c>
      <c r="O183" s="730">
        <f t="shared" si="65"/>
        <v>38950040.833000004</v>
      </c>
      <c r="P183" s="730">
        <f t="shared" si="59"/>
        <v>1033793202.7300003</v>
      </c>
      <c r="Q183" s="721"/>
    </row>
    <row r="184" spans="1:17" s="718" customFormat="1" x14ac:dyDescent="0.2">
      <c r="D184" s="721"/>
      <c r="E184" s="721"/>
      <c r="F184" s="721"/>
      <c r="G184" s="721"/>
      <c r="H184" s="721"/>
      <c r="I184" s="721"/>
      <c r="J184" s="721"/>
      <c r="K184" s="721"/>
      <c r="L184" s="721"/>
      <c r="M184" s="721"/>
      <c r="N184" s="721"/>
      <c r="O184" s="721"/>
      <c r="P184" s="721"/>
      <c r="Q184" s="721"/>
    </row>
    <row r="185" spans="1:17" s="718" customFormat="1" x14ac:dyDescent="0.2">
      <c r="B185" s="718" t="s">
        <v>171</v>
      </c>
      <c r="C185" s="718">
        <v>16</v>
      </c>
      <c r="D185" s="721">
        <f t="shared" ref="D185:O185" si="66">D8</f>
        <v>826.07600000000002</v>
      </c>
      <c r="E185" s="721">
        <f t="shared" si="66"/>
        <v>820.92700000000002</v>
      </c>
      <c r="F185" s="721">
        <f t="shared" si="66"/>
        <v>774.51800000000003</v>
      </c>
      <c r="G185" s="721">
        <f t="shared" si="66"/>
        <v>824.08199999999999</v>
      </c>
      <c r="H185" s="721">
        <f t="shared" si="66"/>
        <v>783.54899999999998</v>
      </c>
      <c r="I185" s="721">
        <f t="shared" si="66"/>
        <v>800.10699999999997</v>
      </c>
      <c r="J185" s="721">
        <f t="shared" si="66"/>
        <v>797.62900000000002</v>
      </c>
      <c r="K185" s="721">
        <f t="shared" si="66"/>
        <v>723.62300000000005</v>
      </c>
      <c r="L185" s="721">
        <f t="shared" si="66"/>
        <v>835.85599999999999</v>
      </c>
      <c r="M185" s="721">
        <f t="shared" si="66"/>
        <v>821.65099999999995</v>
      </c>
      <c r="N185" s="721">
        <f t="shared" si="66"/>
        <v>818.67499999999995</v>
      </c>
      <c r="O185" s="721">
        <f t="shared" si="66"/>
        <v>765.35199999999998</v>
      </c>
      <c r="P185" s="721">
        <f t="shared" ref="P185:P195" si="67">SUM(D185:O185)</f>
        <v>9592.0450000000001</v>
      </c>
      <c r="Q185" s="721"/>
    </row>
    <row r="186" spans="1:17" s="718" customFormat="1" x14ac:dyDescent="0.2">
      <c r="B186" s="718" t="str">
        <f t="shared" ref="B186:O186" si="68">B10</f>
        <v>Propane</v>
      </c>
      <c r="C186" s="719">
        <f t="shared" si="68"/>
        <v>53</v>
      </c>
      <c r="D186" s="721">
        <f t="shared" si="68"/>
        <v>9.0079999999999991</v>
      </c>
      <c r="E186" s="721">
        <f t="shared" si="68"/>
        <v>9.2899999999999991</v>
      </c>
      <c r="F186" s="721">
        <f t="shared" si="68"/>
        <v>23.614000000000001</v>
      </c>
      <c r="G186" s="721">
        <f t="shared" si="68"/>
        <v>52.81</v>
      </c>
      <c r="H186" s="721">
        <f t="shared" si="68"/>
        <v>67.945999999999998</v>
      </c>
      <c r="I186" s="721">
        <f t="shared" si="68"/>
        <v>68.12700000000001</v>
      </c>
      <c r="J186" s="721">
        <f t="shared" si="68"/>
        <v>56.914999999999999</v>
      </c>
      <c r="K186" s="721">
        <f t="shared" si="68"/>
        <v>7.5629999999999997</v>
      </c>
      <c r="L186" s="721">
        <f t="shared" si="68"/>
        <v>0</v>
      </c>
      <c r="M186" s="721">
        <f t="shared" si="68"/>
        <v>0</v>
      </c>
      <c r="N186" s="721">
        <f t="shared" si="68"/>
        <v>0</v>
      </c>
      <c r="O186" s="721">
        <f t="shared" si="68"/>
        <v>0</v>
      </c>
      <c r="P186" s="721">
        <f t="shared" si="67"/>
        <v>295.27300000000002</v>
      </c>
      <c r="Q186" s="721"/>
    </row>
    <row r="187" spans="1:17" s="718" customFormat="1" x14ac:dyDescent="0.2">
      <c r="B187" s="709" t="s">
        <v>390</v>
      </c>
      <c r="C187" s="724" t="s">
        <v>387</v>
      </c>
      <c r="D187" s="721">
        <f t="shared" ref="D187:O187" si="69">D22</f>
        <v>833.33</v>
      </c>
      <c r="E187" s="721">
        <f t="shared" si="69"/>
        <v>852.46</v>
      </c>
      <c r="F187" s="721">
        <f t="shared" si="69"/>
        <v>1004.34</v>
      </c>
      <c r="G187" s="721">
        <f t="shared" si="69"/>
        <v>1858.11</v>
      </c>
      <c r="H187" s="721">
        <f t="shared" si="69"/>
        <v>2420.34</v>
      </c>
      <c r="I187" s="721">
        <f t="shared" si="69"/>
        <v>3639.8599999999997</v>
      </c>
      <c r="J187" s="721">
        <f t="shared" si="69"/>
        <v>2356.8000000000002</v>
      </c>
      <c r="K187" s="721">
        <f t="shared" si="69"/>
        <v>2713.47</v>
      </c>
      <c r="L187" s="721">
        <f t="shared" si="69"/>
        <v>2240.84</v>
      </c>
      <c r="M187" s="721">
        <f t="shared" si="69"/>
        <v>1514.91</v>
      </c>
      <c r="N187" s="721">
        <f t="shared" si="69"/>
        <v>975.42</v>
      </c>
      <c r="O187" s="721">
        <f t="shared" si="69"/>
        <v>955</v>
      </c>
      <c r="P187" s="721">
        <f t="shared" si="67"/>
        <v>21364.879999999994</v>
      </c>
      <c r="Q187" s="721"/>
    </row>
    <row r="188" spans="1:17" s="718" customFormat="1" x14ac:dyDescent="0.2">
      <c r="B188" s="718" t="str">
        <f t="shared" ref="B188:O190" si="70">B19</f>
        <v>Interruptible with firm option - ind</v>
      </c>
      <c r="C188" s="719">
        <f t="shared" si="70"/>
        <v>85</v>
      </c>
      <c r="D188" s="721">
        <f t="shared" si="70"/>
        <v>118216.663</v>
      </c>
      <c r="E188" s="721">
        <f t="shared" si="70"/>
        <v>108078.61899999999</v>
      </c>
      <c r="F188" s="721">
        <f t="shared" si="70"/>
        <v>117621.26699999999</v>
      </c>
      <c r="G188" s="721">
        <f t="shared" si="70"/>
        <v>132658.54500000001</v>
      </c>
      <c r="H188" s="721">
        <f t="shared" si="70"/>
        <v>150576.024</v>
      </c>
      <c r="I188" s="721">
        <f t="shared" si="70"/>
        <v>162942.16400000002</v>
      </c>
      <c r="J188" s="721">
        <f t="shared" si="70"/>
        <v>152783.32999999999</v>
      </c>
      <c r="K188" s="721">
        <f t="shared" si="70"/>
        <v>144144.49599999998</v>
      </c>
      <c r="L188" s="721">
        <f t="shared" si="70"/>
        <v>145396.611</v>
      </c>
      <c r="M188" s="721">
        <f t="shared" si="70"/>
        <v>149688.77699999997</v>
      </c>
      <c r="N188" s="721">
        <f t="shared" si="70"/>
        <v>126713.5</v>
      </c>
      <c r="O188" s="721">
        <f t="shared" si="70"/>
        <v>112017.696</v>
      </c>
      <c r="P188" s="721">
        <f t="shared" si="67"/>
        <v>1620837.692</v>
      </c>
      <c r="Q188" s="721"/>
    </row>
    <row r="189" spans="1:17" s="718" customFormat="1" x14ac:dyDescent="0.2">
      <c r="B189" s="718" t="str">
        <f t="shared" si="70"/>
        <v>Limited interrupt w/ firm option - ind</v>
      </c>
      <c r="C189" s="719">
        <f t="shared" si="70"/>
        <v>86</v>
      </c>
      <c r="D189" s="721">
        <f t="shared" si="70"/>
        <v>7050.719000000001</v>
      </c>
      <c r="E189" s="721">
        <f t="shared" si="70"/>
        <v>6990.4639999999999</v>
      </c>
      <c r="F189" s="721">
        <f t="shared" si="70"/>
        <v>59473.29</v>
      </c>
      <c r="G189" s="721">
        <f t="shared" si="70"/>
        <v>65278.603999999999</v>
      </c>
      <c r="H189" s="721">
        <f t="shared" si="70"/>
        <v>18252.848999999998</v>
      </c>
      <c r="I189" s="721">
        <f t="shared" si="70"/>
        <v>18496.313999999998</v>
      </c>
      <c r="J189" s="721">
        <f t="shared" si="70"/>
        <v>17702.267</v>
      </c>
      <c r="K189" s="721">
        <f t="shared" si="70"/>
        <v>18723.310999999998</v>
      </c>
      <c r="L189" s="721">
        <f t="shared" si="70"/>
        <v>17030.457000000002</v>
      </c>
      <c r="M189" s="721">
        <f t="shared" si="70"/>
        <v>21970.927</v>
      </c>
      <c r="N189" s="721">
        <f t="shared" si="70"/>
        <v>11131.916000000001</v>
      </c>
      <c r="O189" s="721">
        <f t="shared" si="70"/>
        <v>8571.3490000000002</v>
      </c>
      <c r="P189" s="721">
        <f t="shared" si="67"/>
        <v>270672.46699999995</v>
      </c>
      <c r="Q189" s="721"/>
    </row>
    <row r="190" spans="1:17" s="718" customFormat="1" x14ac:dyDescent="0.2">
      <c r="B190" s="718" t="str">
        <f t="shared" si="70"/>
        <v>Non-excl interrupt w/ firm option - ind</v>
      </c>
      <c r="C190" s="719">
        <f t="shared" si="70"/>
        <v>87</v>
      </c>
      <c r="D190" s="721">
        <f t="shared" si="70"/>
        <v>0</v>
      </c>
      <c r="E190" s="721">
        <f t="shared" si="70"/>
        <v>0</v>
      </c>
      <c r="F190" s="721">
        <f t="shared" si="70"/>
        <v>0</v>
      </c>
      <c r="G190" s="721">
        <f t="shared" si="70"/>
        <v>0</v>
      </c>
      <c r="H190" s="721">
        <f t="shared" si="70"/>
        <v>0</v>
      </c>
      <c r="I190" s="721">
        <f t="shared" si="70"/>
        <v>0</v>
      </c>
      <c r="J190" s="721">
        <f t="shared" si="70"/>
        <v>0</v>
      </c>
      <c r="K190" s="721">
        <f t="shared" si="70"/>
        <v>0</v>
      </c>
      <c r="L190" s="721">
        <f t="shared" si="70"/>
        <v>0</v>
      </c>
      <c r="M190" s="721">
        <f t="shared" si="70"/>
        <v>0</v>
      </c>
      <c r="N190" s="721">
        <f t="shared" si="70"/>
        <v>0</v>
      </c>
      <c r="O190" s="721">
        <f t="shared" si="70"/>
        <v>0</v>
      </c>
      <c r="P190" s="721">
        <f t="shared" si="67"/>
        <v>0</v>
      </c>
      <c r="Q190" s="721"/>
    </row>
    <row r="191" spans="1:17" s="718" customFormat="1" x14ac:dyDescent="0.2">
      <c r="B191" s="709" t="s">
        <v>261</v>
      </c>
      <c r="C191" s="724" t="s">
        <v>236</v>
      </c>
      <c r="D191" s="721">
        <f t="shared" ref="D191:O194" si="71">D26</f>
        <v>566917.64</v>
      </c>
      <c r="E191" s="721">
        <f t="shared" si="71"/>
        <v>536778.17999999993</v>
      </c>
      <c r="F191" s="721">
        <f t="shared" si="71"/>
        <v>501521.2</v>
      </c>
      <c r="G191" s="721">
        <f t="shared" si="71"/>
        <v>548774.43999999994</v>
      </c>
      <c r="H191" s="721">
        <f t="shared" si="71"/>
        <v>530865.47</v>
      </c>
      <c r="I191" s="721">
        <f t="shared" si="71"/>
        <v>502356.32999999996</v>
      </c>
      <c r="J191" s="721">
        <f t="shared" si="71"/>
        <v>587041.71</v>
      </c>
      <c r="K191" s="721">
        <f t="shared" si="71"/>
        <v>560063.15999999992</v>
      </c>
      <c r="L191" s="721">
        <f t="shared" si="71"/>
        <v>653291.67999999993</v>
      </c>
      <c r="M191" s="721">
        <f t="shared" si="71"/>
        <v>562059.31000000006</v>
      </c>
      <c r="N191" s="721">
        <f t="shared" si="71"/>
        <v>465111.51</v>
      </c>
      <c r="O191" s="721">
        <f t="shared" si="71"/>
        <v>456972.94</v>
      </c>
      <c r="P191" s="721">
        <f t="shared" si="67"/>
        <v>6471753.5699999994</v>
      </c>
      <c r="Q191" s="721"/>
    </row>
    <row r="192" spans="1:17" s="718" customFormat="1" x14ac:dyDescent="0.2">
      <c r="B192" s="709" t="s">
        <v>257</v>
      </c>
      <c r="C192" s="724" t="s">
        <v>231</v>
      </c>
      <c r="D192" s="721">
        <f t="shared" si="71"/>
        <v>4280828.5600000005</v>
      </c>
      <c r="E192" s="721">
        <f t="shared" si="71"/>
        <v>4715349.79</v>
      </c>
      <c r="F192" s="721">
        <f t="shared" si="71"/>
        <v>4631320.07</v>
      </c>
      <c r="G192" s="721">
        <f t="shared" si="71"/>
        <v>5126915.4399999995</v>
      </c>
      <c r="H192" s="721">
        <f t="shared" si="71"/>
        <v>4478198.82</v>
      </c>
      <c r="I192" s="721">
        <f t="shared" si="71"/>
        <v>4595260.34</v>
      </c>
      <c r="J192" s="721">
        <f t="shared" si="71"/>
        <v>4463633.12</v>
      </c>
      <c r="K192" s="721">
        <f t="shared" si="71"/>
        <v>4116771.16</v>
      </c>
      <c r="L192" s="721">
        <f t="shared" si="71"/>
        <v>4871480.7699999996</v>
      </c>
      <c r="M192" s="721">
        <f t="shared" si="71"/>
        <v>4319936.82</v>
      </c>
      <c r="N192" s="721">
        <f t="shared" si="71"/>
        <v>4256767.37</v>
      </c>
      <c r="O192" s="721">
        <f t="shared" si="71"/>
        <v>4233782.51</v>
      </c>
      <c r="P192" s="721">
        <f t="shared" si="67"/>
        <v>54090244.769999988</v>
      </c>
      <c r="Q192" s="721"/>
    </row>
    <row r="193" spans="1:17" s="718" customFormat="1" x14ac:dyDescent="0.2">
      <c r="B193" s="718" t="s">
        <v>321</v>
      </c>
      <c r="C193" s="724" t="s">
        <v>298</v>
      </c>
      <c r="D193" s="721">
        <f t="shared" si="71"/>
        <v>24835.61</v>
      </c>
      <c r="E193" s="721">
        <f t="shared" si="71"/>
        <v>18950.099999999999</v>
      </c>
      <c r="F193" s="721">
        <f t="shared" si="71"/>
        <v>14249</v>
      </c>
      <c r="G193" s="721">
        <f t="shared" si="71"/>
        <v>31358.14</v>
      </c>
      <c r="H193" s="721">
        <f t="shared" si="71"/>
        <v>28587.62</v>
      </c>
      <c r="I193" s="721">
        <f t="shared" si="71"/>
        <v>29791.48</v>
      </c>
      <c r="J193" s="721">
        <f t="shared" si="71"/>
        <v>49343.94</v>
      </c>
      <c r="K193" s="721">
        <f t="shared" si="71"/>
        <v>52603.87</v>
      </c>
      <c r="L193" s="721">
        <f t="shared" si="71"/>
        <v>40825.67</v>
      </c>
      <c r="M193" s="721">
        <f t="shared" si="71"/>
        <v>24785.5</v>
      </c>
      <c r="N193" s="721">
        <f t="shared" si="71"/>
        <v>18363.18</v>
      </c>
      <c r="O193" s="721">
        <f t="shared" si="71"/>
        <v>20942.59</v>
      </c>
      <c r="P193" s="721">
        <f t="shared" si="67"/>
        <v>354636.7</v>
      </c>
      <c r="Q193" s="721"/>
    </row>
    <row r="194" spans="1:17" s="718" customFormat="1" x14ac:dyDescent="0.2">
      <c r="B194" s="709" t="s">
        <v>262</v>
      </c>
      <c r="C194" s="724" t="s">
        <v>232</v>
      </c>
      <c r="D194" s="721">
        <f t="shared" si="71"/>
        <v>7598296.1299999999</v>
      </c>
      <c r="E194" s="721">
        <f t="shared" si="71"/>
        <v>7734935.3200000003</v>
      </c>
      <c r="F194" s="721">
        <f t="shared" si="71"/>
        <v>7364818.1600000001</v>
      </c>
      <c r="G194" s="721">
        <f t="shared" si="71"/>
        <v>7444983.4000000004</v>
      </c>
      <c r="H194" s="721">
        <f t="shared" si="71"/>
        <v>6267312.4800000004</v>
      </c>
      <c r="I194" s="721">
        <f t="shared" si="71"/>
        <v>7766997.3499999996</v>
      </c>
      <c r="J194" s="721">
        <f t="shared" si="71"/>
        <v>6317281.6500000004</v>
      </c>
      <c r="K194" s="721">
        <f t="shared" si="71"/>
        <v>6906246.4400000004</v>
      </c>
      <c r="L194" s="721">
        <f t="shared" si="71"/>
        <v>7685171.5099999998</v>
      </c>
      <c r="M194" s="721">
        <f t="shared" si="71"/>
        <v>6615627.5999999996</v>
      </c>
      <c r="N194" s="721">
        <f t="shared" si="71"/>
        <v>6953514.0099999998</v>
      </c>
      <c r="O194" s="721">
        <f t="shared" si="71"/>
        <v>6482373.2000000002</v>
      </c>
      <c r="P194" s="721">
        <f t="shared" si="67"/>
        <v>85137557.25</v>
      </c>
      <c r="Q194" s="729"/>
    </row>
    <row r="195" spans="1:17" s="718" customFormat="1" x14ac:dyDescent="0.2">
      <c r="B195" s="718" t="s">
        <v>139</v>
      </c>
      <c r="C195" s="719"/>
      <c r="D195" s="730">
        <f t="shared" ref="D195:O195" si="72">SUM(D185:D194)</f>
        <v>12597813.736000001</v>
      </c>
      <c r="E195" s="730">
        <f t="shared" si="72"/>
        <v>13122765.15</v>
      </c>
      <c r="F195" s="730">
        <f t="shared" si="72"/>
        <v>12690805.459000001</v>
      </c>
      <c r="G195" s="730">
        <f t="shared" si="72"/>
        <v>13352703.570999999</v>
      </c>
      <c r="H195" s="730">
        <f t="shared" si="72"/>
        <v>11477065.098000001</v>
      </c>
      <c r="I195" s="730">
        <f t="shared" si="72"/>
        <v>13080352.072000001</v>
      </c>
      <c r="J195" s="730">
        <f t="shared" si="72"/>
        <v>11590997.361000001</v>
      </c>
      <c r="K195" s="730">
        <f t="shared" si="72"/>
        <v>11801997.093</v>
      </c>
      <c r="L195" s="730">
        <f t="shared" si="72"/>
        <v>13416273.393999999</v>
      </c>
      <c r="M195" s="730">
        <f t="shared" si="72"/>
        <v>11696405.495000001</v>
      </c>
      <c r="N195" s="730">
        <f t="shared" si="72"/>
        <v>11833395.581</v>
      </c>
      <c r="O195" s="730">
        <f t="shared" si="72"/>
        <v>11316380.637</v>
      </c>
      <c r="P195" s="730">
        <f t="shared" si="67"/>
        <v>147976954.64699998</v>
      </c>
      <c r="Q195" s="729"/>
    </row>
    <row r="196" spans="1:17" x14ac:dyDescent="0.2">
      <c r="A196" s="718"/>
      <c r="B196" s="718" t="s">
        <v>120</v>
      </c>
      <c r="C196" s="719"/>
      <c r="D196" s="730">
        <f t="shared" ref="D196:O196" si="73">D183+D195</f>
        <v>44767990.109000005</v>
      </c>
      <c r="E196" s="730">
        <f t="shared" si="73"/>
        <v>44321712.204000004</v>
      </c>
      <c r="F196" s="730">
        <f t="shared" si="73"/>
        <v>55528619.810000002</v>
      </c>
      <c r="G196" s="730">
        <f t="shared" si="73"/>
        <v>93099778.637999997</v>
      </c>
      <c r="H196" s="730">
        <f t="shared" si="73"/>
        <v>131215309.39500001</v>
      </c>
      <c r="I196" s="730">
        <f t="shared" si="73"/>
        <v>156530872.37800005</v>
      </c>
      <c r="J196" s="730">
        <f t="shared" si="73"/>
        <v>166549704.64200002</v>
      </c>
      <c r="K196" s="730">
        <f t="shared" si="73"/>
        <v>132716463.978</v>
      </c>
      <c r="L196" s="730">
        <f t="shared" si="73"/>
        <v>138023239.37000003</v>
      </c>
      <c r="M196" s="730">
        <f t="shared" si="73"/>
        <v>98978841.535999998</v>
      </c>
      <c r="N196" s="730">
        <f t="shared" si="73"/>
        <v>69771203.847000003</v>
      </c>
      <c r="O196" s="730">
        <f t="shared" si="73"/>
        <v>50266421.470000006</v>
      </c>
      <c r="P196" s="730">
        <f>SUM(D196:O196)</f>
        <v>1181770157.3770001</v>
      </c>
      <c r="Q196" s="738"/>
    </row>
    <row r="197" spans="1:17" x14ac:dyDescent="0.2">
      <c r="C197" s="724"/>
      <c r="D197" s="738"/>
      <c r="E197" s="738"/>
      <c r="F197" s="738"/>
      <c r="G197" s="738"/>
      <c r="H197" s="738"/>
      <c r="I197" s="738"/>
      <c r="J197" s="738"/>
      <c r="K197" s="738"/>
      <c r="L197" s="738"/>
      <c r="M197" s="738"/>
      <c r="N197" s="738"/>
      <c r="O197" s="738"/>
      <c r="P197" s="738"/>
      <c r="Q197" s="738"/>
    </row>
    <row r="198" spans="1:17" x14ac:dyDescent="0.2">
      <c r="B198" s="751" t="s">
        <v>222</v>
      </c>
      <c r="C198" s="724"/>
      <c r="D198" s="738"/>
      <c r="E198" s="738"/>
      <c r="F198" s="738"/>
      <c r="G198" s="738"/>
      <c r="H198" s="738"/>
      <c r="I198" s="738"/>
      <c r="J198" s="738"/>
      <c r="K198" s="738"/>
      <c r="L198" s="738"/>
      <c r="M198" s="738"/>
      <c r="N198" s="738"/>
      <c r="O198" s="738"/>
      <c r="P198" s="738"/>
      <c r="Q198" s="732"/>
    </row>
    <row r="199" spans="1:17" x14ac:dyDescent="0.2">
      <c r="B199" s="753" t="s">
        <v>155</v>
      </c>
      <c r="C199" s="724"/>
      <c r="D199" s="738">
        <v>0</v>
      </c>
      <c r="E199" s="738">
        <v>0</v>
      </c>
      <c r="F199" s="738">
        <v>0</v>
      </c>
      <c r="G199" s="738">
        <v>0</v>
      </c>
      <c r="H199" s="738">
        <v>0</v>
      </c>
      <c r="I199" s="738">
        <v>0</v>
      </c>
      <c r="J199" s="738">
        <v>0</v>
      </c>
      <c r="K199" s="738">
        <v>0</v>
      </c>
      <c r="L199" s="738">
        <v>0</v>
      </c>
      <c r="M199" s="738">
        <v>0</v>
      </c>
      <c r="N199" s="738">
        <v>0</v>
      </c>
      <c r="O199" s="738">
        <v>0</v>
      </c>
      <c r="P199" s="732">
        <f>SUM(D199:O199)</f>
        <v>0</v>
      </c>
      <c r="Q199" s="732"/>
    </row>
    <row r="200" spans="1:17" x14ac:dyDescent="0.2">
      <c r="B200" s="753" t="s">
        <v>152</v>
      </c>
      <c r="C200" s="724"/>
      <c r="D200" s="738">
        <f t="shared" ref="D200:O200" si="74">D153</f>
        <v>0</v>
      </c>
      <c r="E200" s="738">
        <f t="shared" si="74"/>
        <v>0</v>
      </c>
      <c r="F200" s="738">
        <f t="shared" si="74"/>
        <v>1694668</v>
      </c>
      <c r="G200" s="738">
        <f t="shared" si="74"/>
        <v>-272791</v>
      </c>
      <c r="H200" s="738">
        <f t="shared" si="74"/>
        <v>2783060</v>
      </c>
      <c r="I200" s="738">
        <f t="shared" si="74"/>
        <v>-3713640</v>
      </c>
      <c r="J200" s="738">
        <f t="shared" si="74"/>
        <v>12126683</v>
      </c>
      <c r="K200" s="738">
        <f t="shared" si="74"/>
        <v>-7614772</v>
      </c>
      <c r="L200" s="738">
        <f t="shared" si="74"/>
        <v>473028</v>
      </c>
      <c r="M200" s="738">
        <f t="shared" si="74"/>
        <v>2407991</v>
      </c>
      <c r="N200" s="738">
        <f t="shared" si="74"/>
        <v>6809472</v>
      </c>
      <c r="O200" s="738">
        <f t="shared" si="74"/>
        <v>1560235</v>
      </c>
      <c r="P200" s="732">
        <f t="shared" ref="P200:P213" si="75">SUM(D200:O200)</f>
        <v>16253934</v>
      </c>
      <c r="Q200" s="732"/>
    </row>
    <row r="201" spans="1:17" x14ac:dyDescent="0.2">
      <c r="B201" s="754" t="s">
        <v>154</v>
      </c>
      <c r="C201" s="724"/>
      <c r="D201" s="738">
        <f t="shared" ref="D201:L201" si="76">SUM(D154:D154)+D163</f>
        <v>0</v>
      </c>
      <c r="E201" s="738">
        <f t="shared" si="76"/>
        <v>0</v>
      </c>
      <c r="F201" s="738">
        <f t="shared" si="76"/>
        <v>29453</v>
      </c>
      <c r="G201" s="738">
        <f t="shared" si="76"/>
        <v>-58207</v>
      </c>
      <c r="H201" s="738">
        <f t="shared" si="76"/>
        <v>713566</v>
      </c>
      <c r="I201" s="738">
        <f t="shared" si="76"/>
        <v>-1046390</v>
      </c>
      <c r="J201" s="738">
        <f t="shared" si="76"/>
        <v>3448555</v>
      </c>
      <c r="K201" s="738">
        <f t="shared" si="76"/>
        <v>-2075842</v>
      </c>
      <c r="L201" s="738">
        <f t="shared" si="76"/>
        <v>128378</v>
      </c>
      <c r="M201" s="738">
        <f t="shared" ref="M201:O201" si="77">SUM(M154:M154)+M163</f>
        <v>585540</v>
      </c>
      <c r="N201" s="738">
        <f t="shared" si="77"/>
        <v>1398065</v>
      </c>
      <c r="O201" s="738">
        <f t="shared" si="77"/>
        <v>24530</v>
      </c>
      <c r="P201" s="732">
        <f t="shared" si="75"/>
        <v>3147648</v>
      </c>
      <c r="Q201" s="732"/>
    </row>
    <row r="202" spans="1:17" x14ac:dyDescent="0.2">
      <c r="B202" s="753" t="s">
        <v>153</v>
      </c>
      <c r="C202" s="724"/>
      <c r="D202" s="738">
        <f t="shared" ref="D202:O202" si="78">SUM(D155:D155)+D164</f>
        <v>0</v>
      </c>
      <c r="E202" s="738">
        <f t="shared" si="78"/>
        <v>0</v>
      </c>
      <c r="F202" s="738">
        <f t="shared" si="78"/>
        <v>87691</v>
      </c>
      <c r="G202" s="738">
        <f t="shared" si="78"/>
        <v>-16121</v>
      </c>
      <c r="H202" s="738">
        <f t="shared" si="78"/>
        <v>149806</v>
      </c>
      <c r="I202" s="738">
        <f t="shared" si="78"/>
        <v>-201256</v>
      </c>
      <c r="J202" s="738">
        <f t="shared" si="78"/>
        <v>669833</v>
      </c>
      <c r="K202" s="738">
        <f t="shared" si="78"/>
        <v>-403520</v>
      </c>
      <c r="L202" s="738">
        <f t="shared" si="78"/>
        <v>28969</v>
      </c>
      <c r="M202" s="738">
        <f t="shared" si="78"/>
        <v>145624</v>
      </c>
      <c r="N202" s="738">
        <f t="shared" si="78"/>
        <v>480685</v>
      </c>
      <c r="O202" s="738">
        <f t="shared" si="78"/>
        <v>124587</v>
      </c>
      <c r="P202" s="732">
        <f t="shared" si="75"/>
        <v>1066298</v>
      </c>
      <c r="Q202" s="732"/>
    </row>
    <row r="203" spans="1:17" x14ac:dyDescent="0.2">
      <c r="B203" s="753" t="s">
        <v>159</v>
      </c>
      <c r="C203" s="724"/>
      <c r="D203" s="738">
        <v>0</v>
      </c>
      <c r="E203" s="738">
        <v>0</v>
      </c>
      <c r="F203" s="738">
        <v>0</v>
      </c>
      <c r="G203" s="738">
        <v>0</v>
      </c>
      <c r="H203" s="738">
        <v>0</v>
      </c>
      <c r="I203" s="738">
        <v>0</v>
      </c>
      <c r="J203" s="738">
        <v>0</v>
      </c>
      <c r="K203" s="738">
        <v>0</v>
      </c>
      <c r="L203" s="738">
        <v>0</v>
      </c>
      <c r="M203" s="738">
        <v>0</v>
      </c>
      <c r="N203" s="738">
        <v>0</v>
      </c>
      <c r="O203" s="738">
        <v>0</v>
      </c>
      <c r="P203" s="732">
        <f t="shared" si="75"/>
        <v>0</v>
      </c>
      <c r="Q203" s="732"/>
    </row>
    <row r="204" spans="1:17" x14ac:dyDescent="0.2">
      <c r="B204" s="753" t="s">
        <v>156</v>
      </c>
      <c r="C204" s="724"/>
      <c r="D204" s="738">
        <f t="shared" ref="D204:O207" si="79">D159</f>
        <v>0</v>
      </c>
      <c r="E204" s="738">
        <f t="shared" si="79"/>
        <v>0</v>
      </c>
      <c r="F204" s="738">
        <f t="shared" si="79"/>
        <v>0</v>
      </c>
      <c r="G204" s="738">
        <f t="shared" si="79"/>
        <v>-1179</v>
      </c>
      <c r="H204" s="738">
        <f t="shared" si="79"/>
        <v>3170</v>
      </c>
      <c r="I204" s="738">
        <f t="shared" si="79"/>
        <v>0</v>
      </c>
      <c r="J204" s="738">
        <f t="shared" si="79"/>
        <v>70309</v>
      </c>
      <c r="K204" s="738">
        <f t="shared" si="79"/>
        <v>-43357</v>
      </c>
      <c r="L204" s="738">
        <f t="shared" si="79"/>
        <v>1732</v>
      </c>
      <c r="M204" s="738">
        <f t="shared" si="79"/>
        <v>7108</v>
      </c>
      <c r="N204" s="738">
        <f t="shared" si="79"/>
        <v>0</v>
      </c>
      <c r="O204" s="738">
        <f t="shared" si="79"/>
        <v>0</v>
      </c>
      <c r="P204" s="732">
        <f t="shared" si="75"/>
        <v>37783</v>
      </c>
      <c r="Q204" s="732"/>
    </row>
    <row r="205" spans="1:17" x14ac:dyDescent="0.2">
      <c r="B205" s="753" t="s">
        <v>157</v>
      </c>
      <c r="C205" s="724"/>
      <c r="D205" s="738">
        <f t="shared" si="79"/>
        <v>0</v>
      </c>
      <c r="E205" s="738">
        <f t="shared" si="79"/>
        <v>0</v>
      </c>
      <c r="F205" s="738">
        <f t="shared" si="79"/>
        <v>0</v>
      </c>
      <c r="G205" s="738">
        <f t="shared" si="79"/>
        <v>-1377</v>
      </c>
      <c r="H205" s="738">
        <f t="shared" si="79"/>
        <v>3547</v>
      </c>
      <c r="I205" s="738">
        <f t="shared" si="79"/>
        <v>0</v>
      </c>
      <c r="J205" s="738">
        <f t="shared" si="79"/>
        <v>71982</v>
      </c>
      <c r="K205" s="738">
        <f t="shared" si="79"/>
        <v>-47007</v>
      </c>
      <c r="L205" s="738">
        <f t="shared" si="79"/>
        <v>1822</v>
      </c>
      <c r="M205" s="738">
        <f t="shared" si="79"/>
        <v>7404</v>
      </c>
      <c r="N205" s="738">
        <f t="shared" si="79"/>
        <v>0</v>
      </c>
      <c r="O205" s="738">
        <f t="shared" si="79"/>
        <v>0</v>
      </c>
      <c r="P205" s="732">
        <f t="shared" si="75"/>
        <v>36371</v>
      </c>
      <c r="Q205" s="732"/>
    </row>
    <row r="206" spans="1:17" x14ac:dyDescent="0.2">
      <c r="B206" s="753" t="s">
        <v>158</v>
      </c>
      <c r="C206" s="724"/>
      <c r="D206" s="738">
        <f t="shared" si="79"/>
        <v>0</v>
      </c>
      <c r="E206" s="738">
        <f t="shared" si="79"/>
        <v>0</v>
      </c>
      <c r="F206" s="738">
        <f t="shared" si="79"/>
        <v>0</v>
      </c>
      <c r="G206" s="738">
        <f t="shared" si="79"/>
        <v>-1464</v>
      </c>
      <c r="H206" s="738">
        <f t="shared" si="79"/>
        <v>4179</v>
      </c>
      <c r="I206" s="738">
        <f t="shared" si="79"/>
        <v>0</v>
      </c>
      <c r="J206" s="738">
        <f t="shared" si="79"/>
        <v>94022</v>
      </c>
      <c r="K206" s="738">
        <f t="shared" si="79"/>
        <v>-52176</v>
      </c>
      <c r="L206" s="738">
        <f t="shared" si="79"/>
        <v>2076</v>
      </c>
      <c r="M206" s="738">
        <f t="shared" si="79"/>
        <v>8419</v>
      </c>
      <c r="N206" s="738">
        <f t="shared" si="79"/>
        <v>0</v>
      </c>
      <c r="O206" s="738">
        <f t="shared" si="79"/>
        <v>0</v>
      </c>
      <c r="P206" s="732">
        <f t="shared" si="75"/>
        <v>55056</v>
      </c>
      <c r="Q206" s="732"/>
    </row>
    <row r="207" spans="1:17" x14ac:dyDescent="0.2">
      <c r="B207" s="709" t="s">
        <v>391</v>
      </c>
      <c r="C207" s="724"/>
      <c r="D207" s="738">
        <f t="shared" si="79"/>
        <v>0</v>
      </c>
      <c r="E207" s="738">
        <f t="shared" si="79"/>
        <v>0</v>
      </c>
      <c r="F207" s="738">
        <f t="shared" si="79"/>
        <v>24</v>
      </c>
      <c r="G207" s="738">
        <f t="shared" si="79"/>
        <v>-2</v>
      </c>
      <c r="H207" s="738">
        <f t="shared" si="79"/>
        <v>23</v>
      </c>
      <c r="I207" s="738">
        <f t="shared" si="79"/>
        <v>-25</v>
      </c>
      <c r="J207" s="738">
        <f t="shared" si="79"/>
        <v>115</v>
      </c>
      <c r="K207" s="738">
        <f t="shared" si="79"/>
        <v>-69</v>
      </c>
      <c r="L207" s="738">
        <f t="shared" si="79"/>
        <v>2</v>
      </c>
      <c r="M207" s="738">
        <f t="shared" si="79"/>
        <v>22</v>
      </c>
      <c r="N207" s="738">
        <f t="shared" si="79"/>
        <v>47</v>
      </c>
      <c r="O207" s="738">
        <f t="shared" si="79"/>
        <v>10</v>
      </c>
      <c r="P207" s="732">
        <f t="shared" si="75"/>
        <v>147</v>
      </c>
      <c r="Q207" s="732"/>
    </row>
    <row r="208" spans="1:17" x14ac:dyDescent="0.2">
      <c r="B208" s="709" t="s">
        <v>266</v>
      </c>
      <c r="C208" s="724"/>
      <c r="D208" s="738">
        <f t="shared" ref="D208:O209" si="80">D156</f>
        <v>0</v>
      </c>
      <c r="E208" s="738">
        <f t="shared" si="80"/>
        <v>0</v>
      </c>
      <c r="F208" s="738">
        <f t="shared" si="80"/>
        <v>0</v>
      </c>
      <c r="G208" s="738">
        <f t="shared" si="80"/>
        <v>-911</v>
      </c>
      <c r="H208" s="738">
        <f t="shared" si="80"/>
        <v>10330</v>
      </c>
      <c r="I208" s="738">
        <f t="shared" si="80"/>
        <v>-11569</v>
      </c>
      <c r="J208" s="738">
        <f t="shared" si="80"/>
        <v>53960</v>
      </c>
      <c r="K208" s="738">
        <f t="shared" si="80"/>
        <v>-31805</v>
      </c>
      <c r="L208" s="738">
        <f t="shared" si="80"/>
        <v>1092</v>
      </c>
      <c r="M208" s="738">
        <f t="shared" si="80"/>
        <v>12521</v>
      </c>
      <c r="N208" s="738">
        <f t="shared" si="80"/>
        <v>25984</v>
      </c>
      <c r="O208" s="738">
        <f t="shared" si="80"/>
        <v>0</v>
      </c>
      <c r="P208" s="732">
        <f t="shared" si="75"/>
        <v>59602</v>
      </c>
      <c r="Q208" s="732"/>
    </row>
    <row r="209" spans="1:17" x14ac:dyDescent="0.2">
      <c r="B209" s="709" t="s">
        <v>267</v>
      </c>
      <c r="C209" s="724"/>
      <c r="D209" s="738">
        <f t="shared" si="80"/>
        <v>0</v>
      </c>
      <c r="E209" s="738">
        <f t="shared" si="80"/>
        <v>0</v>
      </c>
      <c r="F209" s="738">
        <f t="shared" si="80"/>
        <v>0</v>
      </c>
      <c r="G209" s="738">
        <f t="shared" si="80"/>
        <v>-1608</v>
      </c>
      <c r="H209" s="738">
        <f t="shared" si="80"/>
        <v>18334</v>
      </c>
      <c r="I209" s="738">
        <f t="shared" si="80"/>
        <v>-21338</v>
      </c>
      <c r="J209" s="738">
        <f t="shared" si="80"/>
        <v>95773</v>
      </c>
      <c r="K209" s="738">
        <f t="shared" si="80"/>
        <v>-40499</v>
      </c>
      <c r="L209" s="738">
        <f t="shared" si="80"/>
        <v>1613</v>
      </c>
      <c r="M209" s="738">
        <f t="shared" si="80"/>
        <v>20904</v>
      </c>
      <c r="N209" s="738">
        <f t="shared" si="80"/>
        <v>62330</v>
      </c>
      <c r="O209" s="738">
        <f t="shared" si="80"/>
        <v>18537</v>
      </c>
      <c r="P209" s="732">
        <f t="shared" si="75"/>
        <v>154046</v>
      </c>
      <c r="Q209" s="732"/>
    </row>
    <row r="210" spans="1:17" x14ac:dyDescent="0.2">
      <c r="B210" s="718" t="s">
        <v>340</v>
      </c>
      <c r="C210" s="724"/>
      <c r="D210" s="738">
        <v>0</v>
      </c>
      <c r="E210" s="738">
        <v>0</v>
      </c>
      <c r="F210" s="738">
        <v>0</v>
      </c>
      <c r="G210" s="738">
        <v>0</v>
      </c>
      <c r="H210" s="738">
        <v>0</v>
      </c>
      <c r="I210" s="738">
        <v>0</v>
      </c>
      <c r="J210" s="738">
        <v>0</v>
      </c>
      <c r="K210" s="738">
        <v>0</v>
      </c>
      <c r="L210" s="738">
        <v>0</v>
      </c>
      <c r="M210" s="738">
        <v>0</v>
      </c>
      <c r="N210" s="738">
        <v>0</v>
      </c>
      <c r="O210" s="738">
        <v>0</v>
      </c>
      <c r="P210" s="732">
        <f t="shared" si="75"/>
        <v>0</v>
      </c>
      <c r="Q210" s="732"/>
    </row>
    <row r="211" spans="1:17" s="739" customFormat="1" x14ac:dyDescent="0.2">
      <c r="A211" s="709"/>
      <c r="B211" s="709" t="s">
        <v>268</v>
      </c>
      <c r="C211" s="724"/>
      <c r="D211" s="738">
        <f t="shared" ref="D211:O211" si="81">D158</f>
        <v>0</v>
      </c>
      <c r="E211" s="738">
        <f t="shared" si="81"/>
        <v>0</v>
      </c>
      <c r="F211" s="738">
        <f t="shared" si="81"/>
        <v>0</v>
      </c>
      <c r="G211" s="738">
        <f t="shared" si="81"/>
        <v>-2200</v>
      </c>
      <c r="H211" s="738">
        <f t="shared" si="81"/>
        <v>32863</v>
      </c>
      <c r="I211" s="738">
        <f t="shared" si="81"/>
        <v>-37796</v>
      </c>
      <c r="J211" s="738">
        <f t="shared" si="81"/>
        <v>167857</v>
      </c>
      <c r="K211" s="738">
        <f t="shared" si="81"/>
        <v>-89985</v>
      </c>
      <c r="L211" s="738">
        <f t="shared" si="81"/>
        <v>2749</v>
      </c>
      <c r="M211" s="738">
        <f t="shared" si="81"/>
        <v>37151</v>
      </c>
      <c r="N211" s="738">
        <f t="shared" si="81"/>
        <v>109586</v>
      </c>
      <c r="O211" s="738">
        <f t="shared" si="81"/>
        <v>24947</v>
      </c>
      <c r="P211" s="732">
        <f t="shared" si="75"/>
        <v>245172</v>
      </c>
      <c r="Q211" s="738"/>
    </row>
    <row r="212" spans="1:17" x14ac:dyDescent="0.2">
      <c r="A212" s="739"/>
      <c r="B212" s="755" t="s">
        <v>239</v>
      </c>
      <c r="C212" s="756"/>
      <c r="D212" s="738">
        <f t="shared" ref="D212:O212" si="82">D165</f>
        <v>0</v>
      </c>
      <c r="E212" s="738">
        <f t="shared" si="82"/>
        <v>0</v>
      </c>
      <c r="F212" s="738">
        <f t="shared" si="82"/>
        <v>125789</v>
      </c>
      <c r="G212" s="738">
        <f t="shared" si="82"/>
        <v>-7640</v>
      </c>
      <c r="H212" s="738">
        <f t="shared" si="82"/>
        <v>88655</v>
      </c>
      <c r="I212" s="738">
        <f t="shared" si="82"/>
        <v>-83661</v>
      </c>
      <c r="J212" s="738">
        <f t="shared" si="82"/>
        <v>411040</v>
      </c>
      <c r="K212" s="738">
        <f t="shared" si="82"/>
        <v>-247412</v>
      </c>
      <c r="L212" s="738">
        <f t="shared" si="82"/>
        <v>7408</v>
      </c>
      <c r="M212" s="738">
        <f t="shared" si="82"/>
        <v>109805</v>
      </c>
      <c r="N212" s="738">
        <f t="shared" si="82"/>
        <v>290178</v>
      </c>
      <c r="O212" s="738">
        <f t="shared" si="82"/>
        <v>87068</v>
      </c>
      <c r="P212" s="738">
        <f t="shared" si="75"/>
        <v>781230</v>
      </c>
      <c r="Q212" s="738"/>
    </row>
    <row r="213" spans="1:17" x14ac:dyDescent="0.2">
      <c r="B213" s="753" t="s">
        <v>129</v>
      </c>
      <c r="C213" s="724"/>
      <c r="D213" s="750">
        <f t="shared" ref="D213:O213" si="83">SUM(D199:D212)</f>
        <v>0</v>
      </c>
      <c r="E213" s="750">
        <f t="shared" si="83"/>
        <v>0</v>
      </c>
      <c r="F213" s="750">
        <f t="shared" si="83"/>
        <v>1937625</v>
      </c>
      <c r="G213" s="750">
        <f t="shared" si="83"/>
        <v>-363500</v>
      </c>
      <c r="H213" s="750">
        <f t="shared" si="83"/>
        <v>3807533</v>
      </c>
      <c r="I213" s="750">
        <f t="shared" si="83"/>
        <v>-5115675</v>
      </c>
      <c r="J213" s="750">
        <f t="shared" si="83"/>
        <v>17210129</v>
      </c>
      <c r="K213" s="750">
        <f t="shared" si="83"/>
        <v>-10646444</v>
      </c>
      <c r="L213" s="750">
        <f t="shared" si="83"/>
        <v>648869</v>
      </c>
      <c r="M213" s="750">
        <f t="shared" si="83"/>
        <v>3342489</v>
      </c>
      <c r="N213" s="750">
        <f t="shared" si="83"/>
        <v>9176347</v>
      </c>
      <c r="O213" s="750">
        <f t="shared" si="83"/>
        <v>1839914</v>
      </c>
      <c r="P213" s="750">
        <f t="shared" si="75"/>
        <v>21837287</v>
      </c>
      <c r="Q213" s="738"/>
    </row>
    <row r="214" spans="1:17" x14ac:dyDescent="0.2">
      <c r="B214" s="757" t="s">
        <v>114</v>
      </c>
      <c r="C214" s="758"/>
      <c r="D214" s="759">
        <f t="shared" ref="D214:O214" si="84">D213-D150</f>
        <v>0</v>
      </c>
      <c r="E214" s="759">
        <f t="shared" si="84"/>
        <v>0</v>
      </c>
      <c r="F214" s="759">
        <f t="shared" si="84"/>
        <v>-0.58639401569962502</v>
      </c>
      <c r="G214" s="759">
        <f t="shared" si="84"/>
        <v>0.20839445712044835</v>
      </c>
      <c r="H214" s="759">
        <f t="shared" si="84"/>
        <v>0.63969219289720058</v>
      </c>
      <c r="I214" s="759">
        <f t="shared" si="84"/>
        <v>1.0372067615389824</v>
      </c>
      <c r="J214" s="759">
        <f t="shared" si="84"/>
        <v>-1.0336297564208508</v>
      </c>
      <c r="K214" s="759">
        <f t="shared" si="84"/>
        <v>1.0201138965785503</v>
      </c>
      <c r="L214" s="759">
        <f t="shared" si="84"/>
        <v>1.945725679397583</v>
      </c>
      <c r="M214" s="759">
        <f t="shared" si="84"/>
        <v>-1.1089804284274578</v>
      </c>
      <c r="N214" s="759">
        <f t="shared" si="84"/>
        <v>0.14417979866266251</v>
      </c>
      <c r="O214" s="759">
        <f t="shared" si="84"/>
        <v>-6.451600044965744E-2</v>
      </c>
      <c r="P214" s="759">
        <f t="shared" ref="P214" si="85">SUM(D214:L214)</f>
        <v>3.2311092154122889</v>
      </c>
      <c r="Q214" s="738"/>
    </row>
    <row r="215" spans="1:17" x14ac:dyDescent="0.2">
      <c r="C215" s="724"/>
      <c r="D215" s="738"/>
      <c r="E215" s="738"/>
      <c r="F215" s="738"/>
      <c r="G215" s="738"/>
      <c r="H215" s="738"/>
      <c r="I215" s="738"/>
      <c r="J215" s="738"/>
      <c r="K215" s="738"/>
      <c r="L215" s="738"/>
      <c r="M215" s="738"/>
      <c r="N215" s="738"/>
      <c r="O215" s="738"/>
      <c r="P215" s="738"/>
      <c r="Q215" s="738"/>
    </row>
    <row r="216" spans="1:17" x14ac:dyDescent="0.2">
      <c r="B216" s="751" t="s">
        <v>223</v>
      </c>
      <c r="C216" s="724"/>
      <c r="D216" s="738"/>
      <c r="E216" s="738"/>
      <c r="F216" s="738"/>
      <c r="G216" s="738"/>
      <c r="H216" s="738"/>
      <c r="I216" s="738"/>
      <c r="J216" s="738"/>
      <c r="K216" s="738"/>
      <c r="L216" s="738"/>
      <c r="M216" s="738"/>
      <c r="N216" s="738"/>
      <c r="O216" s="738"/>
      <c r="P216" s="738"/>
      <c r="Q216" s="732"/>
    </row>
    <row r="217" spans="1:17" x14ac:dyDescent="0.2">
      <c r="B217" s="753" t="s">
        <v>155</v>
      </c>
      <c r="C217" s="724"/>
      <c r="D217" s="738">
        <f t="shared" ref="D217:O217" si="86">D185</f>
        <v>826.07600000000002</v>
      </c>
      <c r="E217" s="738">
        <f t="shared" si="86"/>
        <v>820.92700000000002</v>
      </c>
      <c r="F217" s="738">
        <f t="shared" si="86"/>
        <v>774.51800000000003</v>
      </c>
      <c r="G217" s="738">
        <f t="shared" si="86"/>
        <v>824.08199999999999</v>
      </c>
      <c r="H217" s="738">
        <f t="shared" si="86"/>
        <v>783.54899999999998</v>
      </c>
      <c r="I217" s="738">
        <f t="shared" si="86"/>
        <v>800.10699999999997</v>
      </c>
      <c r="J217" s="738">
        <f t="shared" si="86"/>
        <v>797.62900000000002</v>
      </c>
      <c r="K217" s="738">
        <f t="shared" si="86"/>
        <v>723.62300000000005</v>
      </c>
      <c r="L217" s="738">
        <f t="shared" si="86"/>
        <v>835.85599999999999</v>
      </c>
      <c r="M217" s="738">
        <f t="shared" si="86"/>
        <v>821.65099999999995</v>
      </c>
      <c r="N217" s="738">
        <f t="shared" si="86"/>
        <v>818.67499999999995</v>
      </c>
      <c r="O217" s="738">
        <f t="shared" si="86"/>
        <v>765.35199999999998</v>
      </c>
      <c r="P217" s="732">
        <f>SUM(D217:O217)</f>
        <v>9592.0450000000001</v>
      </c>
      <c r="Q217" s="732"/>
    </row>
    <row r="218" spans="1:17" x14ac:dyDescent="0.2">
      <c r="B218" s="753" t="s">
        <v>152</v>
      </c>
      <c r="C218" s="724"/>
      <c r="D218" s="738">
        <f t="shared" ref="D218:O218" si="87">D170+D186</f>
        <v>13443855.640999999</v>
      </c>
      <c r="E218" s="738">
        <f t="shared" si="87"/>
        <v>12736019.268999999</v>
      </c>
      <c r="F218" s="738">
        <f t="shared" si="87"/>
        <v>21647743.550999999</v>
      </c>
      <c r="G218" s="738">
        <f t="shared" si="87"/>
        <v>46156027.060000002</v>
      </c>
      <c r="H218" s="738">
        <f t="shared" si="87"/>
        <v>73741965.106999993</v>
      </c>
      <c r="I218" s="738">
        <f t="shared" si="87"/>
        <v>88509690.754000008</v>
      </c>
      <c r="J218" s="738">
        <f t="shared" si="87"/>
        <v>97226749.259000003</v>
      </c>
      <c r="K218" s="738">
        <f t="shared" si="87"/>
        <v>73367933.715999991</v>
      </c>
      <c r="L218" s="738">
        <f t="shared" si="87"/>
        <v>75843560.385000005</v>
      </c>
      <c r="M218" s="738">
        <f t="shared" si="87"/>
        <v>50269722.055</v>
      </c>
      <c r="N218" s="738">
        <f t="shared" si="87"/>
        <v>30887232.546</v>
      </c>
      <c r="O218" s="738">
        <f t="shared" si="87"/>
        <v>19275348.866999999</v>
      </c>
      <c r="P218" s="732">
        <f t="shared" ref="P218:P231" si="88">SUM(D218:O218)</f>
        <v>603105848.20999992</v>
      </c>
      <c r="Q218" s="732"/>
    </row>
    <row r="219" spans="1:17" x14ac:dyDescent="0.2">
      <c r="B219" s="754" t="s">
        <v>154</v>
      </c>
      <c r="C219" s="724"/>
      <c r="D219" s="738">
        <f t="shared" ref="D219:O219" si="89">SUM(D171:D171)+D180</f>
        <v>8023212.7980000004</v>
      </c>
      <c r="E219" s="738">
        <f t="shared" si="89"/>
        <v>7868703.7030000007</v>
      </c>
      <c r="F219" s="738">
        <f t="shared" si="89"/>
        <v>9578312.2190000005</v>
      </c>
      <c r="G219" s="738">
        <f t="shared" si="89"/>
        <v>16934863.227000002</v>
      </c>
      <c r="H219" s="738">
        <f t="shared" si="89"/>
        <v>25547691.226999998</v>
      </c>
      <c r="I219" s="738">
        <f t="shared" si="89"/>
        <v>31378118.582000002</v>
      </c>
      <c r="J219" s="738">
        <f t="shared" si="89"/>
        <v>33821766.534999996</v>
      </c>
      <c r="K219" s="738">
        <f t="shared" si="89"/>
        <v>26737363.708000001</v>
      </c>
      <c r="L219" s="738">
        <f t="shared" si="89"/>
        <v>27360801.246000003</v>
      </c>
      <c r="M219" s="738">
        <f t="shared" si="89"/>
        <v>19203020.005000003</v>
      </c>
      <c r="N219" s="738">
        <f t="shared" si="89"/>
        <v>12802351.787</v>
      </c>
      <c r="O219" s="738">
        <f t="shared" si="89"/>
        <v>9348527.4330000002</v>
      </c>
      <c r="P219" s="732">
        <f t="shared" si="88"/>
        <v>228604732.46999997</v>
      </c>
      <c r="Q219" s="732"/>
    </row>
    <row r="220" spans="1:17" x14ac:dyDescent="0.2">
      <c r="B220" s="753" t="s">
        <v>153</v>
      </c>
      <c r="C220" s="724"/>
      <c r="D220" s="738">
        <f t="shared" ref="D220:O220" si="90">D172+D181</f>
        <v>3152377.75</v>
      </c>
      <c r="E220" s="738">
        <f t="shared" si="90"/>
        <v>3028375.96</v>
      </c>
      <c r="F220" s="738">
        <f t="shared" si="90"/>
        <v>3590363.7609999999</v>
      </c>
      <c r="G220" s="738">
        <f t="shared" si="90"/>
        <v>5337793.7060000002</v>
      </c>
      <c r="H220" s="738">
        <f t="shared" si="90"/>
        <v>6705542.3960000006</v>
      </c>
      <c r="I220" s="738">
        <f t="shared" si="90"/>
        <v>7771080.1879999992</v>
      </c>
      <c r="J220" s="738">
        <f t="shared" si="90"/>
        <v>8199254.8569999998</v>
      </c>
      <c r="K220" s="738">
        <f t="shared" si="90"/>
        <v>6874280.1060000006</v>
      </c>
      <c r="L220" s="738">
        <f t="shared" si="90"/>
        <v>7182884.3100000005</v>
      </c>
      <c r="M220" s="738">
        <f t="shared" si="90"/>
        <v>5745988.2310000006</v>
      </c>
      <c r="N220" s="738">
        <f t="shared" si="90"/>
        <v>4481751.682</v>
      </c>
      <c r="O220" s="738">
        <f t="shared" si="90"/>
        <v>1897175.0699999998</v>
      </c>
      <c r="P220" s="732">
        <f t="shared" si="88"/>
        <v>63966868.016999997</v>
      </c>
      <c r="Q220" s="732"/>
    </row>
    <row r="221" spans="1:17" x14ac:dyDescent="0.2">
      <c r="B221" s="753" t="s">
        <v>159</v>
      </c>
      <c r="C221" s="724"/>
      <c r="D221" s="738"/>
      <c r="E221" s="738"/>
      <c r="F221" s="738"/>
      <c r="G221" s="738"/>
      <c r="H221" s="738"/>
      <c r="I221" s="738"/>
      <c r="J221" s="738"/>
      <c r="K221" s="738"/>
      <c r="L221" s="738"/>
      <c r="M221" s="738"/>
      <c r="N221" s="738"/>
      <c r="O221" s="738"/>
      <c r="P221" s="732">
        <f t="shared" si="88"/>
        <v>0</v>
      </c>
      <c r="Q221" s="732"/>
    </row>
    <row r="222" spans="1:17" x14ac:dyDescent="0.2">
      <c r="B222" s="753" t="s">
        <v>156</v>
      </c>
      <c r="C222" s="724"/>
      <c r="D222" s="738">
        <f t="shared" ref="D222:O224" si="91">D176+D188</f>
        <v>836289.44500000007</v>
      </c>
      <c r="E222" s="738">
        <f t="shared" si="91"/>
        <v>772468.12399999984</v>
      </c>
      <c r="F222" s="738">
        <f t="shared" si="91"/>
        <v>909674.81900000002</v>
      </c>
      <c r="G222" s="738">
        <f t="shared" si="91"/>
        <v>1382235.878</v>
      </c>
      <c r="H222" s="738">
        <f t="shared" si="91"/>
        <v>1705057.9990000001</v>
      </c>
      <c r="I222" s="738">
        <f t="shared" si="91"/>
        <v>2029384.3720000002</v>
      </c>
      <c r="J222" s="738">
        <f t="shared" si="91"/>
        <v>1933608.2690000001</v>
      </c>
      <c r="K222" s="738">
        <f t="shared" si="91"/>
        <v>1680524.0340000002</v>
      </c>
      <c r="L222" s="738">
        <f t="shared" si="91"/>
        <v>1789387.747</v>
      </c>
      <c r="M222" s="738">
        <f t="shared" si="91"/>
        <v>1400451.9129999999</v>
      </c>
      <c r="N222" s="738">
        <f t="shared" si="91"/>
        <v>1046948.3860000001</v>
      </c>
      <c r="O222" s="738">
        <f t="shared" si="91"/>
        <v>821758.44000000006</v>
      </c>
      <c r="P222" s="732">
        <f t="shared" si="88"/>
        <v>16307789.425999999</v>
      </c>
      <c r="Q222" s="732"/>
    </row>
    <row r="223" spans="1:17" x14ac:dyDescent="0.2">
      <c r="B223" s="753" t="s">
        <v>157</v>
      </c>
      <c r="C223" s="724"/>
      <c r="D223" s="738">
        <f t="shared" si="91"/>
        <v>215797.27499999999</v>
      </c>
      <c r="E223" s="738">
        <f t="shared" si="91"/>
        <v>200043.261</v>
      </c>
      <c r="F223" s="738">
        <f t="shared" si="91"/>
        <v>379761.01699999999</v>
      </c>
      <c r="G223" s="738">
        <f t="shared" si="91"/>
        <v>816241.58800000011</v>
      </c>
      <c r="H223" s="738">
        <f t="shared" si="91"/>
        <v>1048827.237</v>
      </c>
      <c r="I223" s="738">
        <f t="shared" si="91"/>
        <v>1301022.3529999999</v>
      </c>
      <c r="J223" s="738">
        <f t="shared" si="91"/>
        <v>1276427.676</v>
      </c>
      <c r="K223" s="738">
        <f t="shared" si="91"/>
        <v>1068462.2690000001</v>
      </c>
      <c r="L223" s="738">
        <f t="shared" si="91"/>
        <v>1127623.6189999999</v>
      </c>
      <c r="M223" s="738">
        <f t="shared" si="91"/>
        <v>868268.65500000014</v>
      </c>
      <c r="N223" s="738">
        <f t="shared" si="91"/>
        <v>488370.93900000007</v>
      </c>
      <c r="O223" s="738">
        <f t="shared" si="91"/>
        <v>316422.65299999999</v>
      </c>
      <c r="P223" s="732">
        <f t="shared" si="88"/>
        <v>9107268.5420000013</v>
      </c>
      <c r="Q223" s="732"/>
    </row>
    <row r="224" spans="1:17" x14ac:dyDescent="0.2">
      <c r="B224" s="753" t="s">
        <v>158</v>
      </c>
      <c r="C224" s="724"/>
      <c r="D224" s="738">
        <f t="shared" si="91"/>
        <v>1205163.1340000001</v>
      </c>
      <c r="E224" s="738">
        <f t="shared" si="91"/>
        <v>1191232.98</v>
      </c>
      <c r="F224" s="738">
        <f t="shared" si="91"/>
        <v>1297454.0249999999</v>
      </c>
      <c r="G224" s="738">
        <f t="shared" si="91"/>
        <v>1956862.8969999999</v>
      </c>
      <c r="H224" s="738">
        <f t="shared" si="91"/>
        <v>2346051.3509999998</v>
      </c>
      <c r="I224" s="738">
        <f t="shared" si="91"/>
        <v>2817477.4819999998</v>
      </c>
      <c r="J224" s="738">
        <f t="shared" si="91"/>
        <v>2582095.4070000001</v>
      </c>
      <c r="K224" s="738">
        <f t="shared" si="91"/>
        <v>2453869.7620000001</v>
      </c>
      <c r="L224" s="738">
        <f t="shared" si="91"/>
        <v>2432020.3769999999</v>
      </c>
      <c r="M224" s="738">
        <f t="shared" si="91"/>
        <v>2074669.916</v>
      </c>
      <c r="N224" s="738">
        <f t="shared" si="91"/>
        <v>1485710.202</v>
      </c>
      <c r="O224" s="738">
        <f t="shared" si="91"/>
        <v>1430551.095</v>
      </c>
      <c r="P224" s="732">
        <f t="shared" si="88"/>
        <v>23273158.627999999</v>
      </c>
      <c r="Q224" s="732"/>
    </row>
    <row r="225" spans="1:17" x14ac:dyDescent="0.2">
      <c r="B225" s="709" t="s">
        <v>391</v>
      </c>
      <c r="C225" s="724"/>
      <c r="D225" s="738">
        <f t="shared" ref="D225:O225" si="92">D187+D179</f>
        <v>910.31000000000006</v>
      </c>
      <c r="E225" s="738">
        <f t="shared" si="92"/>
        <v>879.71</v>
      </c>
      <c r="F225" s="738">
        <f t="shared" si="92"/>
        <v>1247.21</v>
      </c>
      <c r="G225" s="738">
        <f t="shared" si="92"/>
        <v>3838.74</v>
      </c>
      <c r="H225" s="738">
        <f t="shared" si="92"/>
        <v>5767.1</v>
      </c>
      <c r="I225" s="738">
        <f t="shared" si="92"/>
        <v>8025.07</v>
      </c>
      <c r="J225" s="738">
        <f t="shared" si="92"/>
        <v>5002.67</v>
      </c>
      <c r="K225" s="738">
        <f t="shared" si="92"/>
        <v>6550.45</v>
      </c>
      <c r="L225" s="738">
        <f t="shared" si="92"/>
        <v>5064.18</v>
      </c>
      <c r="M225" s="738">
        <f t="shared" si="92"/>
        <v>3517.5600000000004</v>
      </c>
      <c r="N225" s="738">
        <f t="shared" si="92"/>
        <v>1618.33</v>
      </c>
      <c r="O225" s="738">
        <f t="shared" si="92"/>
        <v>992.44</v>
      </c>
      <c r="P225" s="732">
        <f t="shared" si="88"/>
        <v>43413.770000000004</v>
      </c>
      <c r="Q225" s="732"/>
    </row>
    <row r="226" spans="1:17" x14ac:dyDescent="0.2">
      <c r="B226" s="709" t="s">
        <v>266</v>
      </c>
      <c r="C226" s="724"/>
      <c r="D226" s="738">
        <f t="shared" ref="D226:O227" si="93">D173+D191</f>
        <v>1409196.13</v>
      </c>
      <c r="E226" s="738">
        <f t="shared" si="93"/>
        <v>1455982.78</v>
      </c>
      <c r="F226" s="738">
        <f t="shared" si="93"/>
        <v>1376139.56</v>
      </c>
      <c r="G226" s="738">
        <f t="shared" si="93"/>
        <v>1587400.12</v>
      </c>
      <c r="H226" s="738">
        <f t="shared" si="93"/>
        <v>1682324.709</v>
      </c>
      <c r="I226" s="738">
        <f t="shared" si="93"/>
        <v>1740155.9700000002</v>
      </c>
      <c r="J226" s="738">
        <f t="shared" si="93"/>
        <v>1896974.1</v>
      </c>
      <c r="K226" s="738">
        <f t="shared" si="93"/>
        <v>1747749.17</v>
      </c>
      <c r="L226" s="738">
        <f t="shared" si="93"/>
        <v>1903759.5399999998</v>
      </c>
      <c r="M226" s="738">
        <f t="shared" si="93"/>
        <v>1695900.24</v>
      </c>
      <c r="N226" s="738">
        <f t="shared" si="93"/>
        <v>1488537.73</v>
      </c>
      <c r="O226" s="738">
        <f t="shared" si="93"/>
        <v>1270129.47</v>
      </c>
      <c r="P226" s="732">
        <f t="shared" si="88"/>
        <v>19254249.518999998</v>
      </c>
      <c r="Q226" s="732"/>
    </row>
    <row r="227" spans="1:17" x14ac:dyDescent="0.2">
      <c r="B227" s="709" t="s">
        <v>267</v>
      </c>
      <c r="C227" s="724"/>
      <c r="D227" s="738">
        <f t="shared" si="93"/>
        <v>5851763.6900000004</v>
      </c>
      <c r="E227" s="738">
        <f t="shared" si="93"/>
        <v>6367850.5700000003</v>
      </c>
      <c r="F227" s="738">
        <f t="shared" si="93"/>
        <v>6194771.8100000005</v>
      </c>
      <c r="G227" s="738">
        <f t="shared" si="93"/>
        <v>6948461.2199999997</v>
      </c>
      <c r="H227" s="738">
        <f t="shared" si="93"/>
        <v>6457225.9400000004</v>
      </c>
      <c r="I227" s="738">
        <f t="shared" si="93"/>
        <v>6748532.6200000001</v>
      </c>
      <c r="J227" s="738">
        <f t="shared" si="93"/>
        <v>6677618.04</v>
      </c>
      <c r="K227" s="738">
        <f t="shared" si="93"/>
        <v>6081561.6100000003</v>
      </c>
      <c r="L227" s="738">
        <f t="shared" si="93"/>
        <v>6977294.3499999996</v>
      </c>
      <c r="M227" s="738">
        <f t="shared" si="93"/>
        <v>6172882.9199999999</v>
      </c>
      <c r="N227" s="738">
        <f t="shared" si="93"/>
        <v>6120130.4900000002</v>
      </c>
      <c r="O227" s="738">
        <f t="shared" si="93"/>
        <v>5984493.8599999994</v>
      </c>
      <c r="P227" s="732">
        <f t="shared" si="88"/>
        <v>76582587.120000005</v>
      </c>
      <c r="Q227" s="732"/>
    </row>
    <row r="228" spans="1:17" x14ac:dyDescent="0.2">
      <c r="B228" s="718" t="s">
        <v>322</v>
      </c>
      <c r="C228" s="724"/>
      <c r="D228" s="738">
        <f t="shared" ref="D228:O228" si="94">D193</f>
        <v>24835.61</v>
      </c>
      <c r="E228" s="738">
        <f t="shared" si="94"/>
        <v>18950.099999999999</v>
      </c>
      <c r="F228" s="738">
        <f t="shared" si="94"/>
        <v>14249</v>
      </c>
      <c r="G228" s="738">
        <f t="shared" si="94"/>
        <v>31358.14</v>
      </c>
      <c r="H228" s="738">
        <f t="shared" si="94"/>
        <v>28587.62</v>
      </c>
      <c r="I228" s="738">
        <f t="shared" si="94"/>
        <v>29791.48</v>
      </c>
      <c r="J228" s="738">
        <f t="shared" si="94"/>
        <v>49343.94</v>
      </c>
      <c r="K228" s="738">
        <f t="shared" si="94"/>
        <v>52603.87</v>
      </c>
      <c r="L228" s="738">
        <f t="shared" si="94"/>
        <v>40825.67</v>
      </c>
      <c r="M228" s="738">
        <f t="shared" si="94"/>
        <v>24785.5</v>
      </c>
      <c r="N228" s="738">
        <f t="shared" si="94"/>
        <v>18363.18</v>
      </c>
      <c r="O228" s="738">
        <f t="shared" si="94"/>
        <v>20942.59</v>
      </c>
      <c r="P228" s="732">
        <f t="shared" si="88"/>
        <v>354636.7</v>
      </c>
      <c r="Q228" s="732"/>
    </row>
    <row r="229" spans="1:17" s="739" customFormat="1" x14ac:dyDescent="0.2">
      <c r="A229" s="709"/>
      <c r="B229" s="709" t="s">
        <v>268</v>
      </c>
      <c r="C229" s="724"/>
      <c r="D229" s="738">
        <f t="shared" ref="D229:O229" si="95">D175+D194</f>
        <v>8682427.3399999999</v>
      </c>
      <c r="E229" s="738">
        <f t="shared" si="95"/>
        <v>8811197.0700000003</v>
      </c>
      <c r="F229" s="738">
        <f t="shared" si="95"/>
        <v>8469145.3300000001</v>
      </c>
      <c r="G229" s="738">
        <f t="shared" si="95"/>
        <v>8937000.4199999999</v>
      </c>
      <c r="H229" s="738">
        <f t="shared" si="95"/>
        <v>8111567.540000001</v>
      </c>
      <c r="I229" s="738">
        <f t="shared" si="95"/>
        <v>9843875.9900000002</v>
      </c>
      <c r="J229" s="738">
        <f t="shared" si="95"/>
        <v>8436598.5199999996</v>
      </c>
      <c r="K229" s="738">
        <f t="shared" si="95"/>
        <v>8777355.3900000006</v>
      </c>
      <c r="L229" s="738">
        <f t="shared" si="95"/>
        <v>9545363.1600000001</v>
      </c>
      <c r="M229" s="738">
        <f t="shared" si="95"/>
        <v>8252639.4799999995</v>
      </c>
      <c r="N229" s="738">
        <f t="shared" si="95"/>
        <v>8341789.8599999994</v>
      </c>
      <c r="O229" s="738">
        <f t="shared" si="95"/>
        <v>7675361.1500000004</v>
      </c>
      <c r="P229" s="732">
        <f t="shared" si="88"/>
        <v>103884321.25000001</v>
      </c>
      <c r="Q229" s="738"/>
    </row>
    <row r="230" spans="1:17" x14ac:dyDescent="0.2">
      <c r="A230" s="739"/>
      <c r="B230" s="755" t="s">
        <v>239</v>
      </c>
      <c r="C230" s="756"/>
      <c r="D230" s="738">
        <f t="shared" ref="D230:O230" si="96">D182</f>
        <v>1921334.9100000001</v>
      </c>
      <c r="E230" s="738">
        <f t="shared" si="96"/>
        <v>1869187.75</v>
      </c>
      <c r="F230" s="738">
        <f t="shared" si="96"/>
        <v>2068982.99</v>
      </c>
      <c r="G230" s="738">
        <f t="shared" si="96"/>
        <v>3006871.56</v>
      </c>
      <c r="H230" s="738">
        <f t="shared" si="96"/>
        <v>3833917.62</v>
      </c>
      <c r="I230" s="738">
        <f t="shared" si="96"/>
        <v>4352917.41</v>
      </c>
      <c r="J230" s="738">
        <f t="shared" si="96"/>
        <v>4443467.74</v>
      </c>
      <c r="K230" s="738">
        <f t="shared" si="96"/>
        <v>3867486.2699999996</v>
      </c>
      <c r="L230" s="738">
        <f t="shared" si="96"/>
        <v>3813818.93</v>
      </c>
      <c r="M230" s="738">
        <f t="shared" si="96"/>
        <v>3266173.4099999997</v>
      </c>
      <c r="N230" s="738">
        <f t="shared" si="96"/>
        <v>2607580.04</v>
      </c>
      <c r="O230" s="738">
        <f t="shared" si="96"/>
        <v>2223953.0499999998</v>
      </c>
      <c r="P230" s="738">
        <f t="shared" si="88"/>
        <v>37275691.68</v>
      </c>
      <c r="Q230" s="738"/>
    </row>
    <row r="231" spans="1:17" x14ac:dyDescent="0.2">
      <c r="B231" s="753" t="s">
        <v>166</v>
      </c>
      <c r="C231" s="724"/>
      <c r="D231" s="750">
        <f t="shared" ref="D231:O231" si="97">SUM(D217:D230)</f>
        <v>44767990.108999997</v>
      </c>
      <c r="E231" s="750">
        <f t="shared" si="97"/>
        <v>44321712.204000011</v>
      </c>
      <c r="F231" s="750">
        <f t="shared" si="97"/>
        <v>55528619.809999995</v>
      </c>
      <c r="G231" s="750">
        <f t="shared" si="97"/>
        <v>93099778.638000011</v>
      </c>
      <c r="H231" s="750">
        <f t="shared" si="97"/>
        <v>131215309.395</v>
      </c>
      <c r="I231" s="750">
        <f t="shared" si="97"/>
        <v>156530872.37799999</v>
      </c>
      <c r="J231" s="750">
        <f t="shared" si="97"/>
        <v>166549704.64199999</v>
      </c>
      <c r="K231" s="750">
        <f t="shared" si="97"/>
        <v>132716463.97799999</v>
      </c>
      <c r="L231" s="750">
        <f t="shared" si="97"/>
        <v>138023239.37000003</v>
      </c>
      <c r="M231" s="750">
        <f t="shared" si="97"/>
        <v>98978841.535999998</v>
      </c>
      <c r="N231" s="750">
        <f t="shared" si="97"/>
        <v>69771203.847000003</v>
      </c>
      <c r="O231" s="750">
        <f t="shared" si="97"/>
        <v>50266421.470000006</v>
      </c>
      <c r="P231" s="750">
        <f t="shared" si="88"/>
        <v>1181770157.3770001</v>
      </c>
      <c r="Q231" s="738"/>
    </row>
    <row r="232" spans="1:17" x14ac:dyDescent="0.2">
      <c r="B232" s="757" t="s">
        <v>114</v>
      </c>
      <c r="C232" s="758"/>
      <c r="D232" s="759">
        <f t="shared" ref="D232:O232" si="98">D231-D196</f>
        <v>0</v>
      </c>
      <c r="E232" s="759">
        <f t="shared" si="98"/>
        <v>0</v>
      </c>
      <c r="F232" s="759">
        <f t="shared" si="98"/>
        <v>0</v>
      </c>
      <c r="G232" s="759">
        <f t="shared" si="98"/>
        <v>0</v>
      </c>
      <c r="H232" s="759">
        <f t="shared" si="98"/>
        <v>0</v>
      </c>
      <c r="I232" s="759">
        <f t="shared" si="98"/>
        <v>0</v>
      </c>
      <c r="J232" s="759">
        <f t="shared" si="98"/>
        <v>0</v>
      </c>
      <c r="K232" s="759">
        <f t="shared" si="98"/>
        <v>0</v>
      </c>
      <c r="L232" s="759">
        <f t="shared" si="98"/>
        <v>0</v>
      </c>
      <c r="M232" s="759">
        <f t="shared" si="98"/>
        <v>0</v>
      </c>
      <c r="N232" s="759">
        <f t="shared" si="98"/>
        <v>0</v>
      </c>
      <c r="O232" s="759">
        <f t="shared" si="98"/>
        <v>0</v>
      </c>
      <c r="P232" s="759">
        <f t="shared" ref="P232" si="99">SUM(D232:L232)</f>
        <v>0</v>
      </c>
      <c r="Q232" s="738"/>
    </row>
    <row r="233" spans="1:17" x14ac:dyDescent="0.2">
      <c r="B233" s="731" t="s">
        <v>403</v>
      </c>
      <c r="C233" s="758"/>
      <c r="D233" s="738">
        <f t="shared" ref="D233:O233" si="100">D222+D224+D227+D229+D230</f>
        <v>18496978.519000001</v>
      </c>
      <c r="E233" s="738">
        <f t="shared" si="100"/>
        <v>19011936.494000003</v>
      </c>
      <c r="F233" s="738">
        <f t="shared" si="100"/>
        <v>18940028.973999999</v>
      </c>
      <c r="G233" s="738">
        <f t="shared" si="100"/>
        <v>22231431.974999998</v>
      </c>
      <c r="H233" s="738">
        <f t="shared" si="100"/>
        <v>22453820.449999999</v>
      </c>
      <c r="I233" s="738">
        <f t="shared" si="100"/>
        <v>25792187.874000002</v>
      </c>
      <c r="J233" s="738">
        <f t="shared" si="100"/>
        <v>24073387.976000004</v>
      </c>
      <c r="K233" s="738">
        <f t="shared" si="100"/>
        <v>22860797.066</v>
      </c>
      <c r="L233" s="738">
        <f t="shared" si="100"/>
        <v>24557884.563999999</v>
      </c>
      <c r="M233" s="738">
        <f t="shared" si="100"/>
        <v>21166817.638999999</v>
      </c>
      <c r="N233" s="738">
        <f t="shared" si="100"/>
        <v>19602158.978</v>
      </c>
      <c r="O233" s="738">
        <f t="shared" si="100"/>
        <v>18136117.594999999</v>
      </c>
      <c r="P233" s="738">
        <f>SUM(D233:O233)</f>
        <v>257323548.104</v>
      </c>
      <c r="Q233" s="738"/>
    </row>
    <row r="234" spans="1:17" x14ac:dyDescent="0.2">
      <c r="C234" s="724"/>
      <c r="D234" s="738"/>
      <c r="E234" s="738"/>
      <c r="F234" s="738"/>
      <c r="G234" s="738"/>
      <c r="H234" s="738"/>
      <c r="I234" s="738"/>
      <c r="J234" s="738"/>
      <c r="K234" s="738"/>
      <c r="L234" s="738"/>
      <c r="M234" s="738"/>
      <c r="N234" s="738"/>
      <c r="O234" s="738"/>
      <c r="P234" s="738"/>
      <c r="Q234" s="738"/>
    </row>
    <row r="235" spans="1:17" s="718" customFormat="1" x14ac:dyDescent="0.2">
      <c r="A235" s="709"/>
      <c r="B235" s="751" t="s">
        <v>182</v>
      </c>
      <c r="C235" s="724"/>
      <c r="D235" s="738"/>
      <c r="E235" s="738"/>
      <c r="F235" s="738"/>
      <c r="G235" s="738"/>
      <c r="H235" s="738"/>
      <c r="I235" s="738"/>
      <c r="J235" s="738"/>
      <c r="K235" s="738"/>
      <c r="L235" s="738"/>
      <c r="M235" s="738"/>
      <c r="N235" s="738"/>
      <c r="O235" s="738"/>
      <c r="P235" s="738"/>
      <c r="Q235" s="729"/>
    </row>
    <row r="236" spans="1:17" s="718" customFormat="1" x14ac:dyDescent="0.2">
      <c r="B236" s="755" t="s">
        <v>269</v>
      </c>
      <c r="C236" s="719"/>
      <c r="D236" s="729">
        <f t="shared" ref="D236:O236" si="101">SUM(D36:D38)</f>
        <v>760069</v>
      </c>
      <c r="E236" s="729">
        <f t="shared" si="101"/>
        <v>760656</v>
      </c>
      <c r="F236" s="729">
        <f t="shared" si="101"/>
        <v>761862</v>
      </c>
      <c r="G236" s="729">
        <f t="shared" si="101"/>
        <v>763569</v>
      </c>
      <c r="H236" s="729">
        <f t="shared" si="101"/>
        <v>765588</v>
      </c>
      <c r="I236" s="729">
        <f t="shared" si="101"/>
        <v>767045</v>
      </c>
      <c r="J236" s="729">
        <f t="shared" si="101"/>
        <v>768045</v>
      </c>
      <c r="K236" s="729">
        <f t="shared" si="101"/>
        <v>769188</v>
      </c>
      <c r="L236" s="729">
        <f t="shared" si="101"/>
        <v>769910</v>
      </c>
      <c r="M236" s="729">
        <f t="shared" si="101"/>
        <v>770300</v>
      </c>
      <c r="N236" s="729">
        <f t="shared" si="101"/>
        <v>770946</v>
      </c>
      <c r="O236" s="729">
        <f t="shared" si="101"/>
        <v>771263</v>
      </c>
      <c r="P236" s="729">
        <f>SUM(D236:O236)</f>
        <v>9198441</v>
      </c>
      <c r="Q236" s="729"/>
    </row>
    <row r="237" spans="1:17" x14ac:dyDescent="0.2">
      <c r="A237" s="718"/>
      <c r="B237" s="754" t="s">
        <v>154</v>
      </c>
      <c r="C237" s="719"/>
      <c r="D237" s="729">
        <f t="shared" ref="D237:O237" si="102">SUM(D40,D47)</f>
        <v>56227</v>
      </c>
      <c r="E237" s="729">
        <f t="shared" si="102"/>
        <v>56189</v>
      </c>
      <c r="F237" s="729">
        <f t="shared" si="102"/>
        <v>56153</v>
      </c>
      <c r="G237" s="729">
        <f t="shared" si="102"/>
        <v>56243</v>
      </c>
      <c r="H237" s="729">
        <f t="shared" si="102"/>
        <v>56424</v>
      </c>
      <c r="I237" s="729">
        <f t="shared" si="102"/>
        <v>56574</v>
      </c>
      <c r="J237" s="729">
        <f t="shared" si="102"/>
        <v>56658</v>
      </c>
      <c r="K237" s="729">
        <f t="shared" si="102"/>
        <v>56661</v>
      </c>
      <c r="L237" s="729">
        <f t="shared" si="102"/>
        <v>56738</v>
      </c>
      <c r="M237" s="729">
        <f t="shared" si="102"/>
        <v>56700</v>
      </c>
      <c r="N237" s="729">
        <f t="shared" si="102"/>
        <v>56684</v>
      </c>
      <c r="O237" s="729">
        <f t="shared" si="102"/>
        <v>56609</v>
      </c>
      <c r="P237" s="729">
        <f t="shared" ref="P237:P249" si="103">SUM(D237:O237)</f>
        <v>677860</v>
      </c>
      <c r="Q237" s="738"/>
    </row>
    <row r="238" spans="1:17" x14ac:dyDescent="0.2">
      <c r="B238" s="755" t="s">
        <v>153</v>
      </c>
      <c r="C238" s="724"/>
      <c r="D238" s="738">
        <f t="shared" ref="D238:O238" si="104">D41+D48</f>
        <v>1358</v>
      </c>
      <c r="E238" s="738">
        <f t="shared" si="104"/>
        <v>1351</v>
      </c>
      <c r="F238" s="738">
        <f t="shared" si="104"/>
        <v>1359</v>
      </c>
      <c r="G238" s="738">
        <f t="shared" si="104"/>
        <v>1363</v>
      </c>
      <c r="H238" s="738">
        <f t="shared" si="104"/>
        <v>1360</v>
      </c>
      <c r="I238" s="738">
        <f t="shared" si="104"/>
        <v>1358</v>
      </c>
      <c r="J238" s="738">
        <f t="shared" si="104"/>
        <v>1362</v>
      </c>
      <c r="K238" s="738">
        <f t="shared" si="104"/>
        <v>1357</v>
      </c>
      <c r="L238" s="738">
        <f t="shared" si="104"/>
        <v>1360</v>
      </c>
      <c r="M238" s="738">
        <f t="shared" si="104"/>
        <v>1363</v>
      </c>
      <c r="N238" s="738">
        <f t="shared" si="104"/>
        <v>1361</v>
      </c>
      <c r="O238" s="738">
        <f t="shared" si="104"/>
        <v>1352</v>
      </c>
      <c r="P238" s="738">
        <f t="shared" si="103"/>
        <v>16304</v>
      </c>
      <c r="Q238" s="738"/>
    </row>
    <row r="239" spans="1:17" x14ac:dyDescent="0.2">
      <c r="B239" s="755" t="s">
        <v>407</v>
      </c>
      <c r="C239" s="724"/>
      <c r="D239" s="738">
        <f t="shared" ref="D239:O239" si="105">SUM(D39,D43,D49)</f>
        <v>0</v>
      </c>
      <c r="E239" s="738">
        <f t="shared" si="105"/>
        <v>0</v>
      </c>
      <c r="F239" s="738">
        <f t="shared" si="105"/>
        <v>0</v>
      </c>
      <c r="G239" s="738">
        <f t="shared" si="105"/>
        <v>0</v>
      </c>
      <c r="H239" s="738">
        <f t="shared" si="105"/>
        <v>0</v>
      </c>
      <c r="I239" s="738">
        <f t="shared" si="105"/>
        <v>0</v>
      </c>
      <c r="J239" s="738">
        <f t="shared" si="105"/>
        <v>0</v>
      </c>
      <c r="K239" s="738">
        <f t="shared" si="105"/>
        <v>0</v>
      </c>
      <c r="L239" s="738">
        <f t="shared" si="105"/>
        <v>0</v>
      </c>
      <c r="M239" s="738">
        <f t="shared" si="105"/>
        <v>0</v>
      </c>
      <c r="N239" s="738">
        <f t="shared" si="105"/>
        <v>0</v>
      </c>
      <c r="O239" s="738">
        <f t="shared" si="105"/>
        <v>0</v>
      </c>
      <c r="P239" s="738">
        <f t="shared" si="103"/>
        <v>0</v>
      </c>
      <c r="Q239" s="738"/>
    </row>
    <row r="240" spans="1:17" x14ac:dyDescent="0.2">
      <c r="B240" s="755" t="s">
        <v>156</v>
      </c>
      <c r="C240" s="724"/>
      <c r="D240" s="738">
        <f t="shared" ref="D240:O242" si="106">D44+D50</f>
        <v>29</v>
      </c>
      <c r="E240" s="738">
        <f t="shared" si="106"/>
        <v>29</v>
      </c>
      <c r="F240" s="738">
        <f t="shared" si="106"/>
        <v>28</v>
      </c>
      <c r="G240" s="738">
        <f t="shared" si="106"/>
        <v>29</v>
      </c>
      <c r="H240" s="738">
        <f t="shared" si="106"/>
        <v>29</v>
      </c>
      <c r="I240" s="738">
        <f t="shared" si="106"/>
        <v>29</v>
      </c>
      <c r="J240" s="738">
        <f t="shared" si="106"/>
        <v>29</v>
      </c>
      <c r="K240" s="738">
        <f t="shared" si="106"/>
        <v>29</v>
      </c>
      <c r="L240" s="738">
        <f t="shared" si="106"/>
        <v>29</v>
      </c>
      <c r="M240" s="738">
        <f t="shared" si="106"/>
        <v>29</v>
      </c>
      <c r="N240" s="738">
        <f t="shared" si="106"/>
        <v>29</v>
      </c>
      <c r="O240" s="738">
        <f t="shared" si="106"/>
        <v>28</v>
      </c>
      <c r="P240" s="738">
        <f t="shared" si="103"/>
        <v>346</v>
      </c>
      <c r="Q240" s="738"/>
    </row>
    <row r="241" spans="1:17" x14ac:dyDescent="0.2">
      <c r="B241" s="755" t="s">
        <v>157</v>
      </c>
      <c r="C241" s="724"/>
      <c r="D241" s="738">
        <f t="shared" si="106"/>
        <v>229</v>
      </c>
      <c r="E241" s="738">
        <f t="shared" si="106"/>
        <v>229</v>
      </c>
      <c r="F241" s="738">
        <f t="shared" si="106"/>
        <v>229</v>
      </c>
      <c r="G241" s="738">
        <f t="shared" si="106"/>
        <v>228</v>
      </c>
      <c r="H241" s="738">
        <f t="shared" si="106"/>
        <v>228</v>
      </c>
      <c r="I241" s="738">
        <f t="shared" si="106"/>
        <v>228</v>
      </c>
      <c r="J241" s="738">
        <f t="shared" si="106"/>
        <v>228</v>
      </c>
      <c r="K241" s="738">
        <f t="shared" si="106"/>
        <v>228</v>
      </c>
      <c r="L241" s="738">
        <f t="shared" si="106"/>
        <v>228</v>
      </c>
      <c r="M241" s="738">
        <f t="shared" si="106"/>
        <v>228</v>
      </c>
      <c r="N241" s="738">
        <f t="shared" si="106"/>
        <v>227</v>
      </c>
      <c r="O241" s="738">
        <f t="shared" si="106"/>
        <v>227</v>
      </c>
      <c r="P241" s="738">
        <f t="shared" si="103"/>
        <v>2737</v>
      </c>
      <c r="Q241" s="738"/>
    </row>
    <row r="242" spans="1:17" x14ac:dyDescent="0.2">
      <c r="B242" s="755" t="s">
        <v>158</v>
      </c>
      <c r="C242" s="724"/>
      <c r="D242" s="738">
        <f t="shared" si="106"/>
        <v>5</v>
      </c>
      <c r="E242" s="738">
        <f t="shared" si="106"/>
        <v>5</v>
      </c>
      <c r="F242" s="738">
        <f t="shared" si="106"/>
        <v>5</v>
      </c>
      <c r="G242" s="738">
        <f t="shared" si="106"/>
        <v>5</v>
      </c>
      <c r="H242" s="738">
        <f t="shared" si="106"/>
        <v>5</v>
      </c>
      <c r="I242" s="738">
        <f t="shared" si="106"/>
        <v>5</v>
      </c>
      <c r="J242" s="738">
        <f t="shared" si="106"/>
        <v>5</v>
      </c>
      <c r="K242" s="738">
        <f t="shared" si="106"/>
        <v>5</v>
      </c>
      <c r="L242" s="738">
        <f t="shared" si="106"/>
        <v>5</v>
      </c>
      <c r="M242" s="738">
        <f t="shared" si="106"/>
        <v>5</v>
      </c>
      <c r="N242" s="738">
        <f t="shared" si="106"/>
        <v>5</v>
      </c>
      <c r="O242" s="738">
        <f t="shared" si="106"/>
        <v>5</v>
      </c>
      <c r="P242" s="738">
        <f t="shared" si="103"/>
        <v>60</v>
      </c>
      <c r="Q242" s="738"/>
    </row>
    <row r="243" spans="1:17" x14ac:dyDescent="0.2">
      <c r="B243" s="709" t="s">
        <v>391</v>
      </c>
      <c r="C243" s="724"/>
      <c r="D243" s="738">
        <f t="shared" ref="D243:O243" si="107">D53+D42</f>
        <v>3</v>
      </c>
      <c r="E243" s="738">
        <f t="shared" si="107"/>
        <v>3</v>
      </c>
      <c r="F243" s="738">
        <f t="shared" si="107"/>
        <v>3</v>
      </c>
      <c r="G243" s="738">
        <f t="shared" si="107"/>
        <v>3</v>
      </c>
      <c r="H243" s="738">
        <f t="shared" si="107"/>
        <v>3</v>
      </c>
      <c r="I243" s="738">
        <f t="shared" si="107"/>
        <v>3</v>
      </c>
      <c r="J243" s="738">
        <f t="shared" si="107"/>
        <v>3</v>
      </c>
      <c r="K243" s="738">
        <f t="shared" si="107"/>
        <v>3</v>
      </c>
      <c r="L243" s="738">
        <f t="shared" si="107"/>
        <v>3</v>
      </c>
      <c r="M243" s="738">
        <f t="shared" si="107"/>
        <v>3</v>
      </c>
      <c r="N243" s="738">
        <f t="shared" si="107"/>
        <v>3</v>
      </c>
      <c r="O243" s="738">
        <f t="shared" si="107"/>
        <v>3</v>
      </c>
      <c r="P243" s="738">
        <f t="shared" si="103"/>
        <v>36</v>
      </c>
      <c r="Q243" s="738"/>
    </row>
    <row r="244" spans="1:17" x14ac:dyDescent="0.2">
      <c r="B244" s="709" t="s">
        <v>266</v>
      </c>
      <c r="C244" s="724"/>
      <c r="D244" s="738">
        <f t="shared" ref="D244:O245" si="108">D54+D57</f>
        <v>99</v>
      </c>
      <c r="E244" s="738">
        <f t="shared" si="108"/>
        <v>98</v>
      </c>
      <c r="F244" s="738">
        <f t="shared" si="108"/>
        <v>99</v>
      </c>
      <c r="G244" s="738">
        <f t="shared" si="108"/>
        <v>100</v>
      </c>
      <c r="H244" s="738">
        <f t="shared" si="108"/>
        <v>101</v>
      </c>
      <c r="I244" s="738">
        <f t="shared" si="108"/>
        <v>101</v>
      </c>
      <c r="J244" s="738">
        <f t="shared" si="108"/>
        <v>103</v>
      </c>
      <c r="K244" s="738">
        <f t="shared" si="108"/>
        <v>105</v>
      </c>
      <c r="L244" s="738">
        <f t="shared" si="108"/>
        <v>105</v>
      </c>
      <c r="M244" s="738">
        <f t="shared" si="108"/>
        <v>105</v>
      </c>
      <c r="N244" s="738">
        <f t="shared" si="108"/>
        <v>105</v>
      </c>
      <c r="O244" s="738">
        <f t="shared" si="108"/>
        <v>109</v>
      </c>
      <c r="P244" s="738">
        <f t="shared" si="103"/>
        <v>1230</v>
      </c>
      <c r="Q244" s="738"/>
    </row>
    <row r="245" spans="1:17" x14ac:dyDescent="0.2">
      <c r="B245" s="709" t="s">
        <v>267</v>
      </c>
      <c r="C245" s="724"/>
      <c r="D245" s="738">
        <f t="shared" si="108"/>
        <v>99</v>
      </c>
      <c r="E245" s="738">
        <f t="shared" si="108"/>
        <v>100</v>
      </c>
      <c r="F245" s="738">
        <f t="shared" si="108"/>
        <v>100</v>
      </c>
      <c r="G245" s="738">
        <f t="shared" si="108"/>
        <v>100</v>
      </c>
      <c r="H245" s="738">
        <f t="shared" si="108"/>
        <v>101</v>
      </c>
      <c r="I245" s="738">
        <f t="shared" si="108"/>
        <v>100</v>
      </c>
      <c r="J245" s="738">
        <f t="shared" si="108"/>
        <v>101</v>
      </c>
      <c r="K245" s="738">
        <f t="shared" si="108"/>
        <v>101</v>
      </c>
      <c r="L245" s="738">
        <f t="shared" si="108"/>
        <v>101</v>
      </c>
      <c r="M245" s="738">
        <f t="shared" si="108"/>
        <v>101</v>
      </c>
      <c r="N245" s="738">
        <f t="shared" si="108"/>
        <v>102</v>
      </c>
      <c r="O245" s="738">
        <f t="shared" si="108"/>
        <v>103</v>
      </c>
      <c r="P245" s="738">
        <f t="shared" si="103"/>
        <v>1209</v>
      </c>
      <c r="Q245" s="738"/>
    </row>
    <row r="246" spans="1:17" x14ac:dyDescent="0.2">
      <c r="B246" s="718" t="s">
        <v>322</v>
      </c>
      <c r="C246" s="724"/>
      <c r="D246" s="738">
        <f t="shared" ref="D246:O246" si="109">D59</f>
        <v>4</v>
      </c>
      <c r="E246" s="738">
        <f t="shared" si="109"/>
        <v>4</v>
      </c>
      <c r="F246" s="738">
        <f t="shared" si="109"/>
        <v>4</v>
      </c>
      <c r="G246" s="738">
        <f t="shared" si="109"/>
        <v>4</v>
      </c>
      <c r="H246" s="738">
        <f t="shared" si="109"/>
        <v>2</v>
      </c>
      <c r="I246" s="738">
        <f t="shared" si="109"/>
        <v>2</v>
      </c>
      <c r="J246" s="738">
        <f t="shared" si="109"/>
        <v>2</v>
      </c>
      <c r="K246" s="738">
        <f t="shared" si="109"/>
        <v>2</v>
      </c>
      <c r="L246" s="738">
        <f t="shared" si="109"/>
        <v>2</v>
      </c>
      <c r="M246" s="738">
        <f t="shared" si="109"/>
        <v>2</v>
      </c>
      <c r="N246" s="738">
        <f t="shared" si="109"/>
        <v>2</v>
      </c>
      <c r="O246" s="738">
        <f t="shared" si="109"/>
        <v>2</v>
      </c>
      <c r="P246" s="738">
        <f t="shared" si="103"/>
        <v>32</v>
      </c>
      <c r="Q246" s="738"/>
    </row>
    <row r="247" spans="1:17" s="739" customFormat="1" x14ac:dyDescent="0.2">
      <c r="A247" s="709"/>
      <c r="B247" s="709" t="s">
        <v>268</v>
      </c>
      <c r="C247" s="724"/>
      <c r="D247" s="738">
        <f t="shared" ref="D247:O247" si="110">D56+D60</f>
        <v>10</v>
      </c>
      <c r="E247" s="738">
        <f t="shared" si="110"/>
        <v>10</v>
      </c>
      <c r="F247" s="738">
        <f t="shared" si="110"/>
        <v>10</v>
      </c>
      <c r="G247" s="738">
        <f t="shared" si="110"/>
        <v>10</v>
      </c>
      <c r="H247" s="738">
        <f t="shared" si="110"/>
        <v>10</v>
      </c>
      <c r="I247" s="738">
        <f t="shared" si="110"/>
        <v>10</v>
      </c>
      <c r="J247" s="738">
        <f t="shared" si="110"/>
        <v>10</v>
      </c>
      <c r="K247" s="738">
        <f t="shared" si="110"/>
        <v>10</v>
      </c>
      <c r="L247" s="738">
        <f t="shared" si="110"/>
        <v>10</v>
      </c>
      <c r="M247" s="738">
        <f t="shared" si="110"/>
        <v>10</v>
      </c>
      <c r="N247" s="738">
        <f t="shared" si="110"/>
        <v>10</v>
      </c>
      <c r="O247" s="738">
        <f t="shared" si="110"/>
        <v>10</v>
      </c>
      <c r="P247" s="738">
        <f t="shared" si="103"/>
        <v>120</v>
      </c>
      <c r="Q247" s="738"/>
    </row>
    <row r="248" spans="1:17" x14ac:dyDescent="0.2">
      <c r="A248" s="739"/>
      <c r="B248" s="755" t="s">
        <v>239</v>
      </c>
      <c r="C248" s="756"/>
      <c r="D248" s="738">
        <f t="shared" ref="D248:L248" si="111">SUM(D61:D61)</f>
        <v>10</v>
      </c>
      <c r="E248" s="738">
        <f t="shared" si="111"/>
        <v>10</v>
      </c>
      <c r="F248" s="738">
        <f t="shared" si="111"/>
        <v>10</v>
      </c>
      <c r="G248" s="738">
        <f t="shared" si="111"/>
        <v>10</v>
      </c>
      <c r="H248" s="738">
        <f t="shared" si="111"/>
        <v>10</v>
      </c>
      <c r="I248" s="738">
        <f t="shared" si="111"/>
        <v>10</v>
      </c>
      <c r="J248" s="738">
        <f t="shared" si="111"/>
        <v>10</v>
      </c>
      <c r="K248" s="738">
        <f t="shared" si="111"/>
        <v>10</v>
      </c>
      <c r="L248" s="738">
        <f t="shared" si="111"/>
        <v>10</v>
      </c>
      <c r="M248" s="738">
        <f t="shared" ref="M248:O248" si="112">SUM(M61:M61)</f>
        <v>10</v>
      </c>
      <c r="N248" s="738">
        <f t="shared" si="112"/>
        <v>10</v>
      </c>
      <c r="O248" s="738">
        <f t="shared" si="112"/>
        <v>10</v>
      </c>
      <c r="P248" s="738">
        <f t="shared" si="103"/>
        <v>120</v>
      </c>
      <c r="Q248" s="738"/>
    </row>
    <row r="249" spans="1:17" x14ac:dyDescent="0.2">
      <c r="B249" s="718" t="s">
        <v>185</v>
      </c>
      <c r="C249" s="724"/>
      <c r="D249" s="750">
        <f t="shared" ref="D249:O249" si="113">SUM(D236:D248)</f>
        <v>818142</v>
      </c>
      <c r="E249" s="750">
        <f t="shared" si="113"/>
        <v>818684</v>
      </c>
      <c r="F249" s="750">
        <f t="shared" si="113"/>
        <v>819862</v>
      </c>
      <c r="G249" s="750">
        <f t="shared" si="113"/>
        <v>821664</v>
      </c>
      <c r="H249" s="750">
        <f t="shared" si="113"/>
        <v>823861</v>
      </c>
      <c r="I249" s="750">
        <f t="shared" si="113"/>
        <v>825465</v>
      </c>
      <c r="J249" s="750">
        <f t="shared" si="113"/>
        <v>826556</v>
      </c>
      <c r="K249" s="750">
        <f t="shared" si="113"/>
        <v>827699</v>
      </c>
      <c r="L249" s="750">
        <f t="shared" si="113"/>
        <v>828501</v>
      </c>
      <c r="M249" s="750">
        <f t="shared" si="113"/>
        <v>828856</v>
      </c>
      <c r="N249" s="750">
        <f t="shared" si="113"/>
        <v>829484</v>
      </c>
      <c r="O249" s="750">
        <f t="shared" si="113"/>
        <v>829721</v>
      </c>
      <c r="P249" s="750">
        <f t="shared" si="103"/>
        <v>9898495</v>
      </c>
      <c r="Q249" s="729"/>
    </row>
    <row r="250" spans="1:17" x14ac:dyDescent="0.2">
      <c r="B250" s="760" t="s">
        <v>114</v>
      </c>
      <c r="C250" s="758"/>
      <c r="D250" s="759">
        <f t="shared" ref="D250:O250" si="114">D249-D62</f>
        <v>0</v>
      </c>
      <c r="E250" s="759">
        <f t="shared" si="114"/>
        <v>0</v>
      </c>
      <c r="F250" s="759">
        <f t="shared" si="114"/>
        <v>0</v>
      </c>
      <c r="G250" s="759">
        <f t="shared" si="114"/>
        <v>0</v>
      </c>
      <c r="H250" s="759">
        <f t="shared" si="114"/>
        <v>0</v>
      </c>
      <c r="I250" s="759">
        <f t="shared" si="114"/>
        <v>0</v>
      </c>
      <c r="J250" s="759">
        <f t="shared" si="114"/>
        <v>0</v>
      </c>
      <c r="K250" s="759">
        <f t="shared" si="114"/>
        <v>0</v>
      </c>
      <c r="L250" s="759">
        <f t="shared" si="114"/>
        <v>0</v>
      </c>
      <c r="M250" s="759">
        <f t="shared" si="114"/>
        <v>0</v>
      </c>
      <c r="N250" s="759">
        <f t="shared" si="114"/>
        <v>0</v>
      </c>
      <c r="O250" s="759">
        <f t="shared" si="114"/>
        <v>0</v>
      </c>
      <c r="P250" s="761">
        <f t="shared" ref="P250" si="115">SUM(D250:L250)</f>
        <v>0</v>
      </c>
      <c r="Q250" s="738"/>
    </row>
    <row r="251" spans="1:17" x14ac:dyDescent="0.2">
      <c r="C251" s="724"/>
      <c r="D251" s="738"/>
      <c r="E251" s="738"/>
      <c r="F251" s="738"/>
      <c r="G251" s="738"/>
      <c r="H251" s="738"/>
      <c r="I251" s="738"/>
      <c r="J251" s="738"/>
      <c r="K251" s="738"/>
      <c r="L251" s="738"/>
      <c r="M251" s="738"/>
      <c r="N251" s="738"/>
      <c r="O251" s="738"/>
      <c r="P251" s="738"/>
      <c r="Q251" s="738"/>
    </row>
    <row r="252" spans="1:17" x14ac:dyDescent="0.2">
      <c r="B252" s="751" t="s">
        <v>224</v>
      </c>
      <c r="C252" s="724"/>
      <c r="D252" s="738"/>
      <c r="E252" s="738"/>
      <c r="F252" s="738"/>
      <c r="G252" s="738"/>
      <c r="H252" s="738"/>
      <c r="I252" s="738"/>
      <c r="J252" s="738"/>
      <c r="K252" s="738"/>
      <c r="L252" s="738"/>
      <c r="M252" s="738"/>
      <c r="N252" s="738"/>
      <c r="O252" s="738"/>
      <c r="P252" s="738"/>
      <c r="Q252" s="738"/>
    </row>
    <row r="253" spans="1:17" x14ac:dyDescent="0.2">
      <c r="B253" s="755" t="s">
        <v>269</v>
      </c>
      <c r="C253" s="724"/>
      <c r="D253" s="738">
        <f t="shared" ref="D253:O253" si="116">SUM(D217:D218)</f>
        <v>13444681.716999998</v>
      </c>
      <c r="E253" s="738">
        <f t="shared" si="116"/>
        <v>12736840.195999999</v>
      </c>
      <c r="F253" s="738">
        <f t="shared" si="116"/>
        <v>21648518.068999998</v>
      </c>
      <c r="G253" s="738">
        <f t="shared" si="116"/>
        <v>46156851.142000005</v>
      </c>
      <c r="H253" s="738">
        <f t="shared" si="116"/>
        <v>73742748.655999988</v>
      </c>
      <c r="I253" s="738">
        <f t="shared" si="116"/>
        <v>88510490.861000001</v>
      </c>
      <c r="J253" s="738">
        <f t="shared" si="116"/>
        <v>97227546.887999997</v>
      </c>
      <c r="K253" s="738">
        <f t="shared" si="116"/>
        <v>73368657.338999987</v>
      </c>
      <c r="L253" s="738">
        <f t="shared" si="116"/>
        <v>75844396.241000012</v>
      </c>
      <c r="M253" s="738">
        <f t="shared" si="116"/>
        <v>50270543.706</v>
      </c>
      <c r="N253" s="738">
        <f t="shared" si="116"/>
        <v>30888051.221000001</v>
      </c>
      <c r="O253" s="738">
        <f t="shared" si="116"/>
        <v>19276114.219000001</v>
      </c>
      <c r="P253" s="738">
        <f>SUM(D253:O253)</f>
        <v>603115440.25499988</v>
      </c>
      <c r="Q253" s="738"/>
    </row>
    <row r="254" spans="1:17" x14ac:dyDescent="0.2">
      <c r="B254" s="754" t="s">
        <v>154</v>
      </c>
      <c r="C254" s="724"/>
      <c r="D254" s="738">
        <f t="shared" ref="D254:O254" si="117">SUM(D219:D219,D221:D221)</f>
        <v>8023212.7980000004</v>
      </c>
      <c r="E254" s="738">
        <f t="shared" si="117"/>
        <v>7868703.7030000007</v>
      </c>
      <c r="F254" s="738">
        <f t="shared" si="117"/>
        <v>9578312.2190000005</v>
      </c>
      <c r="G254" s="738">
        <f t="shared" si="117"/>
        <v>16934863.227000002</v>
      </c>
      <c r="H254" s="738">
        <f t="shared" si="117"/>
        <v>25547691.226999998</v>
      </c>
      <c r="I254" s="738">
        <f t="shared" si="117"/>
        <v>31378118.582000002</v>
      </c>
      <c r="J254" s="738">
        <f t="shared" si="117"/>
        <v>33821766.534999996</v>
      </c>
      <c r="K254" s="738">
        <f t="shared" si="117"/>
        <v>26737363.708000001</v>
      </c>
      <c r="L254" s="738">
        <f t="shared" si="117"/>
        <v>27360801.246000003</v>
      </c>
      <c r="M254" s="738">
        <f t="shared" si="117"/>
        <v>19203020.005000003</v>
      </c>
      <c r="N254" s="738">
        <f t="shared" si="117"/>
        <v>12802351.787</v>
      </c>
      <c r="O254" s="738">
        <f t="shared" si="117"/>
        <v>9348527.4330000002</v>
      </c>
      <c r="P254" s="738">
        <f t="shared" ref="P254:P265" si="118">SUM(D254:O254)</f>
        <v>228604732.46999997</v>
      </c>
      <c r="Q254" s="738"/>
    </row>
    <row r="255" spans="1:17" x14ac:dyDescent="0.2">
      <c r="B255" s="755" t="s">
        <v>153</v>
      </c>
      <c r="C255" s="724"/>
      <c r="D255" s="738">
        <f t="shared" ref="D255:O255" si="119">D220</f>
        <v>3152377.75</v>
      </c>
      <c r="E255" s="738">
        <f t="shared" si="119"/>
        <v>3028375.96</v>
      </c>
      <c r="F255" s="738">
        <f t="shared" si="119"/>
        <v>3590363.7609999999</v>
      </c>
      <c r="G255" s="738">
        <f t="shared" si="119"/>
        <v>5337793.7060000002</v>
      </c>
      <c r="H255" s="738">
        <f t="shared" si="119"/>
        <v>6705542.3960000006</v>
      </c>
      <c r="I255" s="738">
        <f t="shared" si="119"/>
        <v>7771080.1879999992</v>
      </c>
      <c r="J255" s="738">
        <f t="shared" si="119"/>
        <v>8199254.8569999998</v>
      </c>
      <c r="K255" s="738">
        <f t="shared" si="119"/>
        <v>6874280.1060000006</v>
      </c>
      <c r="L255" s="738">
        <f t="shared" si="119"/>
        <v>7182884.3100000005</v>
      </c>
      <c r="M255" s="738">
        <f t="shared" si="119"/>
        <v>5745988.2310000006</v>
      </c>
      <c r="N255" s="738">
        <f t="shared" si="119"/>
        <v>4481751.682</v>
      </c>
      <c r="O255" s="738">
        <f t="shared" si="119"/>
        <v>1897175.0699999998</v>
      </c>
      <c r="P255" s="738">
        <f t="shared" si="118"/>
        <v>63966868.016999997</v>
      </c>
      <c r="Q255" s="738"/>
    </row>
    <row r="256" spans="1:17" x14ac:dyDescent="0.2">
      <c r="B256" s="755" t="s">
        <v>156</v>
      </c>
      <c r="C256" s="724"/>
      <c r="D256" s="738">
        <f t="shared" ref="D256:O264" si="120">D222</f>
        <v>836289.44500000007</v>
      </c>
      <c r="E256" s="738">
        <f t="shared" si="120"/>
        <v>772468.12399999984</v>
      </c>
      <c r="F256" s="738">
        <f t="shared" si="120"/>
        <v>909674.81900000002</v>
      </c>
      <c r="G256" s="738">
        <f t="shared" si="120"/>
        <v>1382235.878</v>
      </c>
      <c r="H256" s="738">
        <f t="shared" si="120"/>
        <v>1705057.9990000001</v>
      </c>
      <c r="I256" s="738">
        <f t="shared" si="120"/>
        <v>2029384.3720000002</v>
      </c>
      <c r="J256" s="738">
        <f t="shared" si="120"/>
        <v>1933608.2690000001</v>
      </c>
      <c r="K256" s="738">
        <f t="shared" si="120"/>
        <v>1680524.0340000002</v>
      </c>
      <c r="L256" s="738">
        <f t="shared" si="120"/>
        <v>1789387.747</v>
      </c>
      <c r="M256" s="738">
        <f t="shared" si="120"/>
        <v>1400451.9129999999</v>
      </c>
      <c r="N256" s="738">
        <f t="shared" si="120"/>
        <v>1046948.3860000001</v>
      </c>
      <c r="O256" s="738">
        <f t="shared" si="120"/>
        <v>821758.44000000006</v>
      </c>
      <c r="P256" s="738">
        <f t="shared" si="118"/>
        <v>16307789.425999999</v>
      </c>
      <c r="Q256" s="738"/>
    </row>
    <row r="257" spans="1:17" x14ac:dyDescent="0.2">
      <c r="B257" s="755" t="s">
        <v>157</v>
      </c>
      <c r="C257" s="724"/>
      <c r="D257" s="738">
        <f t="shared" si="120"/>
        <v>215797.27499999999</v>
      </c>
      <c r="E257" s="738">
        <f t="shared" si="120"/>
        <v>200043.261</v>
      </c>
      <c r="F257" s="738">
        <f t="shared" si="120"/>
        <v>379761.01699999999</v>
      </c>
      <c r="G257" s="738">
        <f t="shared" si="120"/>
        <v>816241.58800000011</v>
      </c>
      <c r="H257" s="738">
        <f t="shared" si="120"/>
        <v>1048827.237</v>
      </c>
      <c r="I257" s="738">
        <f t="shared" si="120"/>
        <v>1301022.3529999999</v>
      </c>
      <c r="J257" s="738">
        <f t="shared" si="120"/>
        <v>1276427.676</v>
      </c>
      <c r="K257" s="738">
        <f t="shared" si="120"/>
        <v>1068462.2690000001</v>
      </c>
      <c r="L257" s="738">
        <f t="shared" si="120"/>
        <v>1127623.6189999999</v>
      </c>
      <c r="M257" s="738">
        <f t="shared" si="120"/>
        <v>868268.65500000014</v>
      </c>
      <c r="N257" s="738">
        <f t="shared" si="120"/>
        <v>488370.93900000007</v>
      </c>
      <c r="O257" s="738">
        <f t="shared" si="120"/>
        <v>316422.65299999999</v>
      </c>
      <c r="P257" s="738">
        <f t="shared" si="118"/>
        <v>9107268.5420000013</v>
      </c>
      <c r="Q257" s="738"/>
    </row>
    <row r="258" spans="1:17" x14ac:dyDescent="0.2">
      <c r="B258" s="755" t="s">
        <v>158</v>
      </c>
      <c r="C258" s="724"/>
      <c r="D258" s="738">
        <f t="shared" si="120"/>
        <v>1205163.1340000001</v>
      </c>
      <c r="E258" s="738">
        <f t="shared" si="120"/>
        <v>1191232.98</v>
      </c>
      <c r="F258" s="738">
        <f t="shared" si="120"/>
        <v>1297454.0249999999</v>
      </c>
      <c r="G258" s="738">
        <f t="shared" si="120"/>
        <v>1956862.8969999999</v>
      </c>
      <c r="H258" s="738">
        <f t="shared" si="120"/>
        <v>2346051.3509999998</v>
      </c>
      <c r="I258" s="738">
        <f t="shared" si="120"/>
        <v>2817477.4819999998</v>
      </c>
      <c r="J258" s="738">
        <f t="shared" si="120"/>
        <v>2582095.4070000001</v>
      </c>
      <c r="K258" s="738">
        <f t="shared" si="120"/>
        <v>2453869.7620000001</v>
      </c>
      <c r="L258" s="738">
        <f t="shared" si="120"/>
        <v>2432020.3769999999</v>
      </c>
      <c r="M258" s="738">
        <f t="shared" si="120"/>
        <v>2074669.916</v>
      </c>
      <c r="N258" s="738">
        <f t="shared" si="120"/>
        <v>1485710.202</v>
      </c>
      <c r="O258" s="738">
        <f t="shared" si="120"/>
        <v>1430551.095</v>
      </c>
      <c r="P258" s="738">
        <f t="shared" si="118"/>
        <v>23273158.627999999</v>
      </c>
      <c r="Q258" s="738"/>
    </row>
    <row r="259" spans="1:17" x14ac:dyDescent="0.2">
      <c r="B259" s="709" t="s">
        <v>391</v>
      </c>
      <c r="C259" s="724"/>
      <c r="D259" s="738">
        <f t="shared" si="120"/>
        <v>910.31000000000006</v>
      </c>
      <c r="E259" s="738">
        <f t="shared" si="120"/>
        <v>879.71</v>
      </c>
      <c r="F259" s="738">
        <f t="shared" si="120"/>
        <v>1247.21</v>
      </c>
      <c r="G259" s="738">
        <f t="shared" si="120"/>
        <v>3838.74</v>
      </c>
      <c r="H259" s="738">
        <f t="shared" si="120"/>
        <v>5767.1</v>
      </c>
      <c r="I259" s="738">
        <f t="shared" si="120"/>
        <v>8025.07</v>
      </c>
      <c r="J259" s="738">
        <f t="shared" si="120"/>
        <v>5002.67</v>
      </c>
      <c r="K259" s="738">
        <f t="shared" si="120"/>
        <v>6550.45</v>
      </c>
      <c r="L259" s="738">
        <f t="shared" si="120"/>
        <v>5064.18</v>
      </c>
      <c r="M259" s="738">
        <f t="shared" si="120"/>
        <v>3517.5600000000004</v>
      </c>
      <c r="N259" s="738">
        <f t="shared" si="120"/>
        <v>1618.33</v>
      </c>
      <c r="O259" s="738">
        <f t="shared" si="120"/>
        <v>992.44</v>
      </c>
      <c r="P259" s="738">
        <f t="shared" si="118"/>
        <v>43413.770000000004</v>
      </c>
      <c r="Q259" s="738"/>
    </row>
    <row r="260" spans="1:17" x14ac:dyDescent="0.2">
      <c r="B260" s="709" t="s">
        <v>266</v>
      </c>
      <c r="C260" s="724"/>
      <c r="D260" s="738">
        <f t="shared" si="120"/>
        <v>1409196.13</v>
      </c>
      <c r="E260" s="738">
        <f t="shared" si="120"/>
        <v>1455982.78</v>
      </c>
      <c r="F260" s="738">
        <f t="shared" si="120"/>
        <v>1376139.56</v>
      </c>
      <c r="G260" s="738">
        <f t="shared" si="120"/>
        <v>1587400.12</v>
      </c>
      <c r="H260" s="738">
        <f t="shared" si="120"/>
        <v>1682324.709</v>
      </c>
      <c r="I260" s="738">
        <f t="shared" si="120"/>
        <v>1740155.9700000002</v>
      </c>
      <c r="J260" s="738">
        <f t="shared" si="120"/>
        <v>1896974.1</v>
      </c>
      <c r="K260" s="738">
        <f t="shared" si="120"/>
        <v>1747749.17</v>
      </c>
      <c r="L260" s="738">
        <f t="shared" si="120"/>
        <v>1903759.5399999998</v>
      </c>
      <c r="M260" s="738">
        <f t="shared" si="120"/>
        <v>1695900.24</v>
      </c>
      <c r="N260" s="738">
        <f t="shared" si="120"/>
        <v>1488537.73</v>
      </c>
      <c r="O260" s="738">
        <f t="shared" si="120"/>
        <v>1270129.47</v>
      </c>
      <c r="P260" s="738">
        <f t="shared" si="118"/>
        <v>19254249.518999998</v>
      </c>
      <c r="Q260" s="738"/>
    </row>
    <row r="261" spans="1:17" x14ac:dyDescent="0.2">
      <c r="B261" s="709" t="s">
        <v>267</v>
      </c>
      <c r="C261" s="724"/>
      <c r="D261" s="738">
        <f t="shared" si="120"/>
        <v>5851763.6900000004</v>
      </c>
      <c r="E261" s="738">
        <f t="shared" si="120"/>
        <v>6367850.5700000003</v>
      </c>
      <c r="F261" s="738">
        <f t="shared" si="120"/>
        <v>6194771.8100000005</v>
      </c>
      <c r="G261" s="738">
        <f t="shared" si="120"/>
        <v>6948461.2199999997</v>
      </c>
      <c r="H261" s="738">
        <f t="shared" si="120"/>
        <v>6457225.9400000004</v>
      </c>
      <c r="I261" s="738">
        <f t="shared" si="120"/>
        <v>6748532.6200000001</v>
      </c>
      <c r="J261" s="738">
        <f t="shared" si="120"/>
        <v>6677618.04</v>
      </c>
      <c r="K261" s="738">
        <f t="shared" si="120"/>
        <v>6081561.6100000003</v>
      </c>
      <c r="L261" s="738">
        <f t="shared" si="120"/>
        <v>6977294.3499999996</v>
      </c>
      <c r="M261" s="738">
        <f t="shared" si="120"/>
        <v>6172882.9199999999</v>
      </c>
      <c r="N261" s="738">
        <f t="shared" si="120"/>
        <v>6120130.4900000002</v>
      </c>
      <c r="O261" s="738">
        <f t="shared" si="120"/>
        <v>5984493.8599999994</v>
      </c>
      <c r="P261" s="738">
        <f t="shared" si="118"/>
        <v>76582587.120000005</v>
      </c>
      <c r="Q261" s="738"/>
    </row>
    <row r="262" spans="1:17" x14ac:dyDescent="0.2">
      <c r="B262" s="718" t="s">
        <v>322</v>
      </c>
      <c r="C262" s="724"/>
      <c r="D262" s="738">
        <f t="shared" si="120"/>
        <v>24835.61</v>
      </c>
      <c r="E262" s="738">
        <f t="shared" si="120"/>
        <v>18950.099999999999</v>
      </c>
      <c r="F262" s="738">
        <f t="shared" si="120"/>
        <v>14249</v>
      </c>
      <c r="G262" s="738">
        <f t="shared" si="120"/>
        <v>31358.14</v>
      </c>
      <c r="H262" s="738">
        <f t="shared" si="120"/>
        <v>28587.62</v>
      </c>
      <c r="I262" s="738">
        <f t="shared" si="120"/>
        <v>29791.48</v>
      </c>
      <c r="J262" s="738">
        <f t="shared" si="120"/>
        <v>49343.94</v>
      </c>
      <c r="K262" s="738">
        <f t="shared" si="120"/>
        <v>52603.87</v>
      </c>
      <c r="L262" s="738">
        <f t="shared" si="120"/>
        <v>40825.67</v>
      </c>
      <c r="M262" s="738">
        <f t="shared" si="120"/>
        <v>24785.5</v>
      </c>
      <c r="N262" s="738">
        <f t="shared" si="120"/>
        <v>18363.18</v>
      </c>
      <c r="O262" s="738">
        <f t="shared" si="120"/>
        <v>20942.59</v>
      </c>
      <c r="P262" s="738">
        <f t="shared" si="118"/>
        <v>354636.7</v>
      </c>
      <c r="Q262" s="738"/>
    </row>
    <row r="263" spans="1:17" s="739" customFormat="1" x14ac:dyDescent="0.2">
      <c r="A263" s="709"/>
      <c r="B263" s="709" t="s">
        <v>268</v>
      </c>
      <c r="C263" s="724"/>
      <c r="D263" s="738">
        <f t="shared" si="120"/>
        <v>8682427.3399999999</v>
      </c>
      <c r="E263" s="738">
        <f t="shared" si="120"/>
        <v>8811197.0700000003</v>
      </c>
      <c r="F263" s="738">
        <f t="shared" si="120"/>
        <v>8469145.3300000001</v>
      </c>
      <c r="G263" s="738">
        <f t="shared" si="120"/>
        <v>8937000.4199999999</v>
      </c>
      <c r="H263" s="738">
        <f t="shared" si="120"/>
        <v>8111567.540000001</v>
      </c>
      <c r="I263" s="738">
        <f t="shared" si="120"/>
        <v>9843875.9900000002</v>
      </c>
      <c r="J263" s="738">
        <f t="shared" si="120"/>
        <v>8436598.5199999996</v>
      </c>
      <c r="K263" s="738">
        <f t="shared" si="120"/>
        <v>8777355.3900000006</v>
      </c>
      <c r="L263" s="738">
        <f t="shared" si="120"/>
        <v>9545363.1600000001</v>
      </c>
      <c r="M263" s="738">
        <f t="shared" si="120"/>
        <v>8252639.4799999995</v>
      </c>
      <c r="N263" s="738">
        <f t="shared" si="120"/>
        <v>8341789.8599999994</v>
      </c>
      <c r="O263" s="738">
        <f t="shared" si="120"/>
        <v>7675361.1500000004</v>
      </c>
      <c r="P263" s="738">
        <f t="shared" si="118"/>
        <v>103884321.25000001</v>
      </c>
      <c r="Q263" s="738"/>
    </row>
    <row r="264" spans="1:17" x14ac:dyDescent="0.2">
      <c r="A264" s="739"/>
      <c r="B264" s="755" t="s">
        <v>239</v>
      </c>
      <c r="C264" s="756"/>
      <c r="D264" s="738">
        <f t="shared" si="120"/>
        <v>1921334.9100000001</v>
      </c>
      <c r="E264" s="738">
        <f t="shared" si="120"/>
        <v>1869187.75</v>
      </c>
      <c r="F264" s="738">
        <f t="shared" si="120"/>
        <v>2068982.99</v>
      </c>
      <c r="G264" s="738">
        <f t="shared" si="120"/>
        <v>3006871.56</v>
      </c>
      <c r="H264" s="738">
        <f t="shared" si="120"/>
        <v>3833917.62</v>
      </c>
      <c r="I264" s="738">
        <f t="shared" si="120"/>
        <v>4352917.41</v>
      </c>
      <c r="J264" s="738">
        <f t="shared" si="120"/>
        <v>4443467.74</v>
      </c>
      <c r="K264" s="738">
        <f t="shared" si="120"/>
        <v>3867486.2699999996</v>
      </c>
      <c r="L264" s="738">
        <f t="shared" si="120"/>
        <v>3813818.93</v>
      </c>
      <c r="M264" s="738">
        <f t="shared" si="120"/>
        <v>3266173.4099999997</v>
      </c>
      <c r="N264" s="738">
        <f t="shared" si="120"/>
        <v>2607580.04</v>
      </c>
      <c r="O264" s="738">
        <f t="shared" si="120"/>
        <v>2223953.0499999998</v>
      </c>
      <c r="P264" s="738">
        <f t="shared" si="118"/>
        <v>37275691.68</v>
      </c>
      <c r="Q264" s="738"/>
    </row>
    <row r="265" spans="1:17" x14ac:dyDescent="0.2">
      <c r="B265" s="753" t="s">
        <v>166</v>
      </c>
      <c r="C265" s="724"/>
      <c r="D265" s="750">
        <f t="shared" ref="D265:O265" si="121">SUM(D253:D264)</f>
        <v>44767990.108999997</v>
      </c>
      <c r="E265" s="750">
        <f t="shared" si="121"/>
        <v>44321712.204000011</v>
      </c>
      <c r="F265" s="750">
        <f t="shared" si="121"/>
        <v>55528619.809999995</v>
      </c>
      <c r="G265" s="750">
        <f t="shared" si="121"/>
        <v>93099778.638000011</v>
      </c>
      <c r="H265" s="750">
        <f t="shared" si="121"/>
        <v>131215309.395</v>
      </c>
      <c r="I265" s="750">
        <f t="shared" si="121"/>
        <v>156530872.37799999</v>
      </c>
      <c r="J265" s="750">
        <f t="shared" si="121"/>
        <v>166549704.64199999</v>
      </c>
      <c r="K265" s="750">
        <f t="shared" si="121"/>
        <v>132716463.97799999</v>
      </c>
      <c r="L265" s="750">
        <f t="shared" si="121"/>
        <v>138023239.37000003</v>
      </c>
      <c r="M265" s="750">
        <f t="shared" si="121"/>
        <v>98978841.535999998</v>
      </c>
      <c r="N265" s="750">
        <f t="shared" si="121"/>
        <v>69771203.847000003</v>
      </c>
      <c r="O265" s="750">
        <f t="shared" si="121"/>
        <v>50266421.470000006</v>
      </c>
      <c r="P265" s="750">
        <f t="shared" si="118"/>
        <v>1181770157.3770001</v>
      </c>
      <c r="Q265" s="738"/>
    </row>
    <row r="266" spans="1:17" x14ac:dyDescent="0.2">
      <c r="B266" s="753" t="s">
        <v>114</v>
      </c>
      <c r="C266" s="724"/>
      <c r="D266" s="738">
        <f t="shared" ref="D266:O266" si="122">D265-D231</f>
        <v>0</v>
      </c>
      <c r="E266" s="738">
        <f t="shared" si="122"/>
        <v>0</v>
      </c>
      <c r="F266" s="738">
        <f t="shared" si="122"/>
        <v>0</v>
      </c>
      <c r="G266" s="738">
        <f t="shared" si="122"/>
        <v>0</v>
      </c>
      <c r="H266" s="738">
        <f t="shared" si="122"/>
        <v>0</v>
      </c>
      <c r="I266" s="738">
        <f t="shared" si="122"/>
        <v>0</v>
      </c>
      <c r="J266" s="738">
        <f t="shared" si="122"/>
        <v>0</v>
      </c>
      <c r="K266" s="738">
        <f t="shared" si="122"/>
        <v>0</v>
      </c>
      <c r="L266" s="738">
        <f t="shared" si="122"/>
        <v>0</v>
      </c>
      <c r="M266" s="738">
        <f t="shared" si="122"/>
        <v>0</v>
      </c>
      <c r="N266" s="738">
        <f t="shared" si="122"/>
        <v>0</v>
      </c>
      <c r="O266" s="738">
        <f t="shared" si="122"/>
        <v>0</v>
      </c>
      <c r="P266" s="738">
        <f t="shared" ref="P266" si="123">SUM(D266:L266)</f>
        <v>0</v>
      </c>
      <c r="Q266" s="738"/>
    </row>
    <row r="267" spans="1:17" x14ac:dyDescent="0.2">
      <c r="B267" s="753"/>
      <c r="C267" s="724"/>
      <c r="D267" s="738"/>
      <c r="E267" s="738"/>
      <c r="F267" s="738"/>
      <c r="G267" s="738"/>
      <c r="H267" s="738"/>
      <c r="I267" s="738"/>
      <c r="J267" s="738"/>
      <c r="K267" s="738"/>
      <c r="L267" s="738"/>
      <c r="M267" s="738"/>
      <c r="N267" s="738"/>
      <c r="O267" s="738"/>
      <c r="P267" s="738"/>
      <c r="Q267" s="738"/>
    </row>
    <row r="268" spans="1:17" x14ac:dyDescent="0.2">
      <c r="B268" s="753" t="s">
        <v>86</v>
      </c>
      <c r="C268" s="724"/>
      <c r="D268" s="738">
        <f t="shared" ref="D268:O268" si="124">SUM(D253:D258)</f>
        <v>26877522.118999999</v>
      </c>
      <c r="E268" s="738">
        <f t="shared" si="124"/>
        <v>25797664.224000003</v>
      </c>
      <c r="F268" s="738">
        <f t="shared" si="124"/>
        <v>37404083.909999989</v>
      </c>
      <c r="G268" s="738">
        <f t="shared" si="124"/>
        <v>72584848.438000008</v>
      </c>
      <c r="H268" s="738">
        <f t="shared" si="124"/>
        <v>111095918.86599998</v>
      </c>
      <c r="I268" s="738">
        <f t="shared" si="124"/>
        <v>133807573.83799998</v>
      </c>
      <c r="J268" s="738">
        <f t="shared" si="124"/>
        <v>145040699.632</v>
      </c>
      <c r="K268" s="738">
        <f t="shared" si="124"/>
        <v>112183157.21799998</v>
      </c>
      <c r="L268" s="738">
        <f t="shared" si="124"/>
        <v>115737113.54000002</v>
      </c>
      <c r="M268" s="738">
        <f t="shared" si="124"/>
        <v>79562942.425999999</v>
      </c>
      <c r="N268" s="738">
        <f t="shared" si="124"/>
        <v>51193184.217</v>
      </c>
      <c r="O268" s="738">
        <f t="shared" si="124"/>
        <v>33090548.910000004</v>
      </c>
      <c r="P268" s="738">
        <f>SUM(D268:O268)</f>
        <v>944375257.33799982</v>
      </c>
      <c r="Q268" s="738"/>
    </row>
    <row r="269" spans="1:17" x14ac:dyDescent="0.2">
      <c r="B269" s="753" t="s">
        <v>87</v>
      </c>
      <c r="C269" s="724"/>
      <c r="D269" s="738">
        <f t="shared" ref="D269:I269" si="125">SUM(D259:D264)</f>
        <v>17890467.990000002</v>
      </c>
      <c r="E269" s="738">
        <f t="shared" si="125"/>
        <v>18524047.98</v>
      </c>
      <c r="F269" s="738">
        <f t="shared" si="125"/>
        <v>18124535.899999999</v>
      </c>
      <c r="G269" s="738">
        <f t="shared" si="125"/>
        <v>20514930.199999999</v>
      </c>
      <c r="H269" s="738">
        <f t="shared" si="125"/>
        <v>20119390.529000003</v>
      </c>
      <c r="I269" s="738">
        <f t="shared" si="125"/>
        <v>22723298.540000003</v>
      </c>
      <c r="J269" s="738">
        <f>SUM(J259:J264)</f>
        <v>21509005.009999998</v>
      </c>
      <c r="K269" s="738">
        <f t="shared" ref="K269:O269" si="126">SUM(K259:K264)</f>
        <v>20533306.760000002</v>
      </c>
      <c r="L269" s="738">
        <f t="shared" si="126"/>
        <v>22286125.829999998</v>
      </c>
      <c r="M269" s="738">
        <f t="shared" si="126"/>
        <v>19415899.109999999</v>
      </c>
      <c r="N269" s="738">
        <f t="shared" si="126"/>
        <v>18578019.629999999</v>
      </c>
      <c r="O269" s="738">
        <f t="shared" si="126"/>
        <v>17175872.559999999</v>
      </c>
      <c r="P269" s="738">
        <f t="shared" ref="P269:P270" si="127">SUM(D269:O269)</f>
        <v>237394900.03899997</v>
      </c>
      <c r="Q269" s="738"/>
    </row>
    <row r="270" spans="1:17" x14ac:dyDescent="0.2">
      <c r="B270" s="753" t="s">
        <v>113</v>
      </c>
      <c r="C270" s="724"/>
      <c r="D270" s="750">
        <f t="shared" ref="D270:O270" si="128">SUM(D268:D269)</f>
        <v>44767990.108999997</v>
      </c>
      <c r="E270" s="750">
        <f t="shared" si="128"/>
        <v>44321712.204000004</v>
      </c>
      <c r="F270" s="750">
        <f t="shared" si="128"/>
        <v>55528619.809999987</v>
      </c>
      <c r="G270" s="750">
        <f t="shared" si="128"/>
        <v>93099778.638000011</v>
      </c>
      <c r="H270" s="750">
        <f t="shared" si="128"/>
        <v>131215309.39499998</v>
      </c>
      <c r="I270" s="750">
        <f t="shared" si="128"/>
        <v>156530872.37799999</v>
      </c>
      <c r="J270" s="750">
        <f t="shared" si="128"/>
        <v>166549704.64199999</v>
      </c>
      <c r="K270" s="750">
        <f t="shared" si="128"/>
        <v>132716463.97799999</v>
      </c>
      <c r="L270" s="750">
        <f t="shared" si="128"/>
        <v>138023239.37</v>
      </c>
      <c r="M270" s="750">
        <f t="shared" si="128"/>
        <v>98978841.535999998</v>
      </c>
      <c r="N270" s="750">
        <f t="shared" si="128"/>
        <v>69771203.847000003</v>
      </c>
      <c r="O270" s="750">
        <f t="shared" si="128"/>
        <v>50266421.469999999</v>
      </c>
      <c r="P270" s="750">
        <f t="shared" si="127"/>
        <v>1181770157.3769999</v>
      </c>
      <c r="Q270" s="738"/>
    </row>
    <row r="271" spans="1:17" s="718" customFormat="1" x14ac:dyDescent="0.2">
      <c r="A271" s="709"/>
      <c r="B271" s="757" t="s">
        <v>114</v>
      </c>
      <c r="C271" s="758"/>
      <c r="D271" s="759">
        <f t="shared" ref="D271:O271" si="129">D270-D265</f>
        <v>0</v>
      </c>
      <c r="E271" s="759">
        <f t="shared" si="129"/>
        <v>0</v>
      </c>
      <c r="F271" s="759">
        <f t="shared" si="129"/>
        <v>0</v>
      </c>
      <c r="G271" s="759">
        <f t="shared" si="129"/>
        <v>0</v>
      </c>
      <c r="H271" s="759">
        <f t="shared" si="129"/>
        <v>0</v>
      </c>
      <c r="I271" s="759">
        <f t="shared" si="129"/>
        <v>0</v>
      </c>
      <c r="J271" s="759">
        <f t="shared" si="129"/>
        <v>0</v>
      </c>
      <c r="K271" s="759">
        <f t="shared" si="129"/>
        <v>0</v>
      </c>
      <c r="L271" s="759">
        <f t="shared" si="129"/>
        <v>0</v>
      </c>
      <c r="M271" s="759">
        <f t="shared" si="129"/>
        <v>0</v>
      </c>
      <c r="N271" s="759">
        <f t="shared" si="129"/>
        <v>0</v>
      </c>
      <c r="O271" s="759">
        <f t="shared" si="129"/>
        <v>0</v>
      </c>
      <c r="P271" s="759">
        <f>SUM(D271:L271)</f>
        <v>0</v>
      </c>
      <c r="Q271" s="738"/>
    </row>
    <row r="272" spans="1:17" s="718" customFormat="1" x14ac:dyDescent="0.2">
      <c r="B272" s="753"/>
      <c r="C272" s="724"/>
      <c r="D272" s="738"/>
      <c r="E272" s="738"/>
      <c r="F272" s="738"/>
      <c r="G272" s="738"/>
      <c r="H272" s="738"/>
      <c r="I272" s="738"/>
      <c r="J272" s="738"/>
      <c r="K272" s="738"/>
      <c r="L272" s="738"/>
      <c r="M272" s="738"/>
      <c r="N272" s="738"/>
      <c r="O272" s="738"/>
      <c r="P272" s="738"/>
      <c r="Q272" s="738"/>
    </row>
    <row r="273" spans="1:17" s="718" customFormat="1" x14ac:dyDescent="0.2">
      <c r="B273" s="762" t="s">
        <v>225</v>
      </c>
      <c r="C273" s="724"/>
      <c r="D273" s="738"/>
      <c r="E273" s="738"/>
      <c r="F273" s="738"/>
      <c r="G273" s="738"/>
      <c r="H273" s="738"/>
      <c r="I273" s="738"/>
      <c r="J273" s="738"/>
      <c r="K273" s="738"/>
      <c r="L273" s="738"/>
      <c r="M273" s="738"/>
      <c r="N273" s="738"/>
      <c r="O273" s="738"/>
      <c r="P273" s="738"/>
      <c r="Q273" s="729"/>
    </row>
    <row r="274" spans="1:17" s="718" customFormat="1" x14ac:dyDescent="0.2">
      <c r="B274" s="718" t="s">
        <v>190</v>
      </c>
      <c r="C274" s="719">
        <v>23</v>
      </c>
      <c r="D274" s="729">
        <f t="shared" ref="D274:O287" si="130">IFERROR(ROUND(SUMIF($C$170:$C$194,$C274,D$170:D$194),0)/ROUND(SUMIF($C$36:$C$61,$C274,D$36:D$61),0),0)</f>
        <v>17.687806142385565</v>
      </c>
      <c r="E274" s="729">
        <f t="shared" si="130"/>
        <v>16.743609733267249</v>
      </c>
      <c r="F274" s="729">
        <f t="shared" si="130"/>
        <v>28.414488321268482</v>
      </c>
      <c r="G274" s="729">
        <f t="shared" si="130"/>
        <v>60.448233411301246</v>
      </c>
      <c r="H274" s="729">
        <f t="shared" si="130"/>
        <v>96.321482638675718</v>
      </c>
      <c r="I274" s="729">
        <f t="shared" si="130"/>
        <v>115.39159519032329</v>
      </c>
      <c r="J274" s="729">
        <f t="shared" si="130"/>
        <v>126.59115641564144</v>
      </c>
      <c r="K274" s="729">
        <f t="shared" si="130"/>
        <v>95.38435116786404</v>
      </c>
      <c r="L274" s="729">
        <f t="shared" si="130"/>
        <v>98.510411687690933</v>
      </c>
      <c r="M274" s="729">
        <f t="shared" si="130"/>
        <v>65.260435625877918</v>
      </c>
      <c r="N274" s="729">
        <f t="shared" si="130"/>
        <v>40.06437984797779</v>
      </c>
      <c r="O274" s="729">
        <f t="shared" si="130"/>
        <v>24.992154356011493</v>
      </c>
      <c r="P274" s="729">
        <f>SUM(D274:O274)</f>
        <v>785.81010453828515</v>
      </c>
      <c r="Q274" s="729"/>
    </row>
    <row r="275" spans="1:17" s="718" customFormat="1" x14ac:dyDescent="0.2">
      <c r="B275" s="718" t="s">
        <v>227</v>
      </c>
      <c r="C275" s="719">
        <v>31</v>
      </c>
      <c r="D275" s="729">
        <f t="shared" si="130"/>
        <v>142.69324345954792</v>
      </c>
      <c r="E275" s="729">
        <f t="shared" si="130"/>
        <v>140.03993664240332</v>
      </c>
      <c r="F275" s="729">
        <f t="shared" si="130"/>
        <v>170.57524976403755</v>
      </c>
      <c r="G275" s="729">
        <f t="shared" si="130"/>
        <v>301.10170154508114</v>
      </c>
      <c r="H275" s="729">
        <f t="shared" si="130"/>
        <v>452.78057209697999</v>
      </c>
      <c r="I275" s="729">
        <f t="shared" si="130"/>
        <v>554.63850885565807</v>
      </c>
      <c r="J275" s="729">
        <f t="shared" si="130"/>
        <v>596.94600938967142</v>
      </c>
      <c r="K275" s="729">
        <f t="shared" si="130"/>
        <v>471.8830235964773</v>
      </c>
      <c r="L275" s="729">
        <f t="shared" si="130"/>
        <v>482.23062145299446</v>
      </c>
      <c r="M275" s="729">
        <f t="shared" si="130"/>
        <v>338.67760141093476</v>
      </c>
      <c r="N275" s="729">
        <f t="shared" si="130"/>
        <v>225.8547738338861</v>
      </c>
      <c r="O275" s="729">
        <f t="shared" si="130"/>
        <v>165.14206221625537</v>
      </c>
      <c r="P275" s="729">
        <f t="shared" ref="P275:P288" si="131">SUM(D275:O275)</f>
        <v>4042.5633042639274</v>
      </c>
      <c r="Q275" s="729"/>
    </row>
    <row r="276" spans="1:17" s="718" customFormat="1" x14ac:dyDescent="0.2">
      <c r="B276" s="718" t="s">
        <v>189</v>
      </c>
      <c r="C276" s="719">
        <v>41</v>
      </c>
      <c r="D276" s="729">
        <f t="shared" si="130"/>
        <v>2321.3387334315171</v>
      </c>
      <c r="E276" s="729">
        <f t="shared" si="130"/>
        <v>2241.581051073279</v>
      </c>
      <c r="F276" s="729">
        <f t="shared" si="130"/>
        <v>2641.9161147902869</v>
      </c>
      <c r="G276" s="729">
        <f t="shared" si="130"/>
        <v>3916.2098312545854</v>
      </c>
      <c r="H276" s="729">
        <f t="shared" si="130"/>
        <v>4930.5455882352944</v>
      </c>
      <c r="I276" s="729">
        <f t="shared" si="130"/>
        <v>5722.4447717231224</v>
      </c>
      <c r="J276" s="729">
        <f t="shared" si="130"/>
        <v>6020.0110132158588</v>
      </c>
      <c r="K276" s="729">
        <f t="shared" si="130"/>
        <v>5065.7921886514368</v>
      </c>
      <c r="L276" s="729">
        <f t="shared" si="130"/>
        <v>5281.5323529411762</v>
      </c>
      <c r="M276" s="729">
        <f t="shared" si="130"/>
        <v>4215.6918561995599</v>
      </c>
      <c r="N276" s="729">
        <f t="shared" si="130"/>
        <v>3292.9845701689933</v>
      </c>
      <c r="O276" s="729">
        <f t="shared" si="130"/>
        <v>1403.2359467455622</v>
      </c>
      <c r="P276" s="729">
        <f t="shared" si="131"/>
        <v>47053.28401843067</v>
      </c>
      <c r="Q276" s="729"/>
    </row>
    <row r="277" spans="1:17" s="718" customFormat="1" x14ac:dyDescent="0.2">
      <c r="B277" s="718" t="s">
        <v>75</v>
      </c>
      <c r="C277" s="719">
        <v>53</v>
      </c>
      <c r="D277" s="729">
        <f t="shared" si="130"/>
        <v>9</v>
      </c>
      <c r="E277" s="729">
        <f t="shared" si="130"/>
        <v>9</v>
      </c>
      <c r="F277" s="729">
        <f t="shared" si="130"/>
        <v>24</v>
      </c>
      <c r="G277" s="729">
        <f t="shared" si="130"/>
        <v>53</v>
      </c>
      <c r="H277" s="729">
        <f t="shared" si="130"/>
        <v>68</v>
      </c>
      <c r="I277" s="729">
        <f t="shared" si="130"/>
        <v>68</v>
      </c>
      <c r="J277" s="729">
        <f t="shared" si="130"/>
        <v>57</v>
      </c>
      <c r="K277" s="729">
        <f t="shared" si="130"/>
        <v>0</v>
      </c>
      <c r="L277" s="729">
        <f t="shared" si="130"/>
        <v>0</v>
      </c>
      <c r="M277" s="729">
        <f t="shared" si="130"/>
        <v>0</v>
      </c>
      <c r="N277" s="729">
        <f t="shared" si="130"/>
        <v>0</v>
      </c>
      <c r="O277" s="729">
        <f t="shared" si="130"/>
        <v>0</v>
      </c>
      <c r="P277" s="729">
        <f t="shared" si="131"/>
        <v>288</v>
      </c>
      <c r="Q277" s="729"/>
    </row>
    <row r="278" spans="1:17" s="718" customFormat="1" x14ac:dyDescent="0.2">
      <c r="B278" s="718" t="s">
        <v>401</v>
      </c>
      <c r="C278" s="719">
        <v>50</v>
      </c>
      <c r="D278" s="729">
        <f t="shared" si="130"/>
        <v>0</v>
      </c>
      <c r="E278" s="729">
        <f t="shared" si="130"/>
        <v>0</v>
      </c>
      <c r="F278" s="729">
        <f t="shared" si="130"/>
        <v>0</v>
      </c>
      <c r="G278" s="729">
        <f t="shared" si="130"/>
        <v>0</v>
      </c>
      <c r="H278" s="729">
        <f t="shared" si="130"/>
        <v>0</v>
      </c>
      <c r="I278" s="729">
        <f t="shared" si="130"/>
        <v>0</v>
      </c>
      <c r="J278" s="729">
        <f t="shared" si="130"/>
        <v>0</v>
      </c>
      <c r="K278" s="729">
        <f t="shared" si="130"/>
        <v>0</v>
      </c>
      <c r="L278" s="729">
        <f t="shared" si="130"/>
        <v>0</v>
      </c>
      <c r="M278" s="729">
        <f t="shared" si="130"/>
        <v>0</v>
      </c>
      <c r="N278" s="729">
        <f t="shared" si="130"/>
        <v>0</v>
      </c>
      <c r="O278" s="729">
        <f t="shared" si="130"/>
        <v>0</v>
      </c>
      <c r="P278" s="729">
        <f t="shared" si="131"/>
        <v>0</v>
      </c>
      <c r="Q278" s="729"/>
    </row>
    <row r="279" spans="1:17" s="718" customFormat="1" x14ac:dyDescent="0.2">
      <c r="B279" s="709" t="s">
        <v>391</v>
      </c>
      <c r="C279" s="719" t="s">
        <v>387</v>
      </c>
      <c r="D279" s="729">
        <f t="shared" si="130"/>
        <v>303.33333333333331</v>
      </c>
      <c r="E279" s="729">
        <f t="shared" si="130"/>
        <v>293.33333333333331</v>
      </c>
      <c r="F279" s="729">
        <f t="shared" si="130"/>
        <v>415.66666666666669</v>
      </c>
      <c r="G279" s="729">
        <f t="shared" si="130"/>
        <v>1279.6666666666667</v>
      </c>
      <c r="H279" s="729">
        <f t="shared" si="130"/>
        <v>1922.3333333333333</v>
      </c>
      <c r="I279" s="729">
        <f t="shared" si="130"/>
        <v>2675</v>
      </c>
      <c r="J279" s="729">
        <f t="shared" si="130"/>
        <v>1667.6666666666667</v>
      </c>
      <c r="K279" s="729">
        <f t="shared" si="130"/>
        <v>2183.3333333333335</v>
      </c>
      <c r="L279" s="729">
        <f t="shared" si="130"/>
        <v>1688</v>
      </c>
      <c r="M279" s="729">
        <f t="shared" si="130"/>
        <v>1172.6666666666667</v>
      </c>
      <c r="N279" s="729">
        <f t="shared" si="130"/>
        <v>539.33333333333337</v>
      </c>
      <c r="O279" s="729">
        <f t="shared" si="130"/>
        <v>330.66666666666669</v>
      </c>
      <c r="P279" s="729">
        <f t="shared" si="131"/>
        <v>14471</v>
      </c>
      <c r="Q279" s="729"/>
    </row>
    <row r="280" spans="1:17" s="718" customFormat="1" x14ac:dyDescent="0.2">
      <c r="B280" s="718" t="s">
        <v>266</v>
      </c>
      <c r="C280" s="719" t="s">
        <v>236</v>
      </c>
      <c r="D280" s="729">
        <f t="shared" si="130"/>
        <v>14234.30303030303</v>
      </c>
      <c r="E280" s="729">
        <f t="shared" si="130"/>
        <v>14856.969387755102</v>
      </c>
      <c r="F280" s="729">
        <f t="shared" si="130"/>
        <v>13900.404040404041</v>
      </c>
      <c r="G280" s="729">
        <f t="shared" si="130"/>
        <v>15874</v>
      </c>
      <c r="H280" s="729">
        <f t="shared" si="130"/>
        <v>16656.683168316831</v>
      </c>
      <c r="I280" s="729">
        <f t="shared" si="130"/>
        <v>17229.267326732672</v>
      </c>
      <c r="J280" s="729">
        <f t="shared" si="130"/>
        <v>18417.223300970873</v>
      </c>
      <c r="K280" s="729">
        <f t="shared" si="130"/>
        <v>16645.228571428572</v>
      </c>
      <c r="L280" s="729">
        <f t="shared" si="130"/>
        <v>18131.047619047618</v>
      </c>
      <c r="M280" s="729">
        <f t="shared" si="130"/>
        <v>16151.428571428571</v>
      </c>
      <c r="N280" s="729">
        <f t="shared" si="130"/>
        <v>14176.55238095238</v>
      </c>
      <c r="O280" s="729">
        <f t="shared" si="130"/>
        <v>11652.559633027522</v>
      </c>
      <c r="P280" s="729">
        <f t="shared" si="131"/>
        <v>187925.66703036721</v>
      </c>
      <c r="Q280" s="729"/>
    </row>
    <row r="281" spans="1:17" s="718" customFormat="1" x14ac:dyDescent="0.2">
      <c r="B281" s="718" t="s">
        <v>267</v>
      </c>
      <c r="C281" s="719" t="s">
        <v>231</v>
      </c>
      <c r="D281" s="729">
        <f t="shared" si="130"/>
        <v>59108.727272727272</v>
      </c>
      <c r="E281" s="729">
        <f t="shared" si="130"/>
        <v>63678.51</v>
      </c>
      <c r="F281" s="729">
        <f t="shared" si="130"/>
        <v>61947.72</v>
      </c>
      <c r="G281" s="729">
        <f t="shared" si="130"/>
        <v>69484.61</v>
      </c>
      <c r="H281" s="729">
        <f t="shared" si="130"/>
        <v>63932.930693069306</v>
      </c>
      <c r="I281" s="729">
        <f t="shared" si="130"/>
        <v>67485.33</v>
      </c>
      <c r="J281" s="729">
        <f t="shared" si="130"/>
        <v>66115.029702970292</v>
      </c>
      <c r="K281" s="729">
        <f t="shared" si="130"/>
        <v>60213.485148514854</v>
      </c>
      <c r="L281" s="729">
        <f t="shared" si="130"/>
        <v>69082.118811881184</v>
      </c>
      <c r="M281" s="729">
        <f t="shared" si="130"/>
        <v>61117.653465346535</v>
      </c>
      <c r="N281" s="729">
        <f t="shared" si="130"/>
        <v>60001.274509803923</v>
      </c>
      <c r="O281" s="729">
        <f t="shared" si="130"/>
        <v>58101.88349514563</v>
      </c>
      <c r="P281" s="729">
        <f t="shared" si="131"/>
        <v>760269.27309945901</v>
      </c>
      <c r="Q281" s="729"/>
    </row>
    <row r="282" spans="1:17" s="718" customFormat="1" x14ac:dyDescent="0.2">
      <c r="B282" s="718" t="s">
        <v>322</v>
      </c>
      <c r="C282" s="719" t="s">
        <v>298</v>
      </c>
      <c r="D282" s="729">
        <f t="shared" si="130"/>
        <v>6209</v>
      </c>
      <c r="E282" s="729">
        <f t="shared" si="130"/>
        <v>4737.5</v>
      </c>
      <c r="F282" s="729">
        <f t="shared" si="130"/>
        <v>3562.25</v>
      </c>
      <c r="G282" s="729">
        <f t="shared" si="130"/>
        <v>7839.5</v>
      </c>
      <c r="H282" s="729">
        <f t="shared" si="130"/>
        <v>14294</v>
      </c>
      <c r="I282" s="729">
        <f t="shared" si="130"/>
        <v>14895.5</v>
      </c>
      <c r="J282" s="729">
        <f t="shared" si="130"/>
        <v>24672</v>
      </c>
      <c r="K282" s="729">
        <f t="shared" si="130"/>
        <v>26302</v>
      </c>
      <c r="L282" s="729">
        <f t="shared" si="130"/>
        <v>20413</v>
      </c>
      <c r="M282" s="729">
        <f t="shared" si="130"/>
        <v>12393</v>
      </c>
      <c r="N282" s="729">
        <f t="shared" si="130"/>
        <v>9181.5</v>
      </c>
      <c r="O282" s="729">
        <f t="shared" si="130"/>
        <v>10471.5</v>
      </c>
      <c r="P282" s="729">
        <f t="shared" si="131"/>
        <v>154970.75</v>
      </c>
      <c r="Q282" s="729"/>
    </row>
    <row r="283" spans="1:17" s="718" customFormat="1" x14ac:dyDescent="0.2">
      <c r="B283" s="718" t="s">
        <v>268</v>
      </c>
      <c r="C283" s="719" t="s">
        <v>232</v>
      </c>
      <c r="D283" s="729">
        <f t="shared" si="130"/>
        <v>868242.7</v>
      </c>
      <c r="E283" s="729">
        <f t="shared" si="130"/>
        <v>881119.7</v>
      </c>
      <c r="F283" s="729">
        <f t="shared" si="130"/>
        <v>846914.5</v>
      </c>
      <c r="G283" s="729">
        <f t="shared" si="130"/>
        <v>893700</v>
      </c>
      <c r="H283" s="729">
        <f t="shared" si="130"/>
        <v>811156.8</v>
      </c>
      <c r="I283" s="729">
        <f t="shared" si="130"/>
        <v>984387.6</v>
      </c>
      <c r="J283" s="729">
        <f t="shared" si="130"/>
        <v>843659.9</v>
      </c>
      <c r="K283" s="729">
        <f t="shared" si="130"/>
        <v>877735.5</v>
      </c>
      <c r="L283" s="729">
        <f t="shared" si="130"/>
        <v>954536.3</v>
      </c>
      <c r="M283" s="729">
        <f t="shared" si="130"/>
        <v>825263.9</v>
      </c>
      <c r="N283" s="729">
        <f t="shared" si="130"/>
        <v>834179</v>
      </c>
      <c r="O283" s="729">
        <f t="shared" si="130"/>
        <v>767536.1</v>
      </c>
      <c r="P283" s="729">
        <f t="shared" si="131"/>
        <v>10388432</v>
      </c>
      <c r="Q283" s="729"/>
    </row>
    <row r="284" spans="1:17" s="718" customFormat="1" x14ac:dyDescent="0.2">
      <c r="B284" s="718" t="s">
        <v>186</v>
      </c>
      <c r="C284" s="718">
        <v>85</v>
      </c>
      <c r="D284" s="729">
        <f t="shared" si="130"/>
        <v>28837.551724137931</v>
      </c>
      <c r="E284" s="729">
        <f t="shared" si="130"/>
        <v>26636.827586206895</v>
      </c>
      <c r="F284" s="729">
        <f t="shared" si="130"/>
        <v>32488.392857142859</v>
      </c>
      <c r="G284" s="729">
        <f t="shared" si="130"/>
        <v>47663.310344827587</v>
      </c>
      <c r="H284" s="729">
        <f t="shared" si="130"/>
        <v>58795.103448275862</v>
      </c>
      <c r="I284" s="729">
        <f t="shared" si="130"/>
        <v>69978.758620689652</v>
      </c>
      <c r="J284" s="729">
        <f t="shared" si="130"/>
        <v>66676.137931034478</v>
      </c>
      <c r="K284" s="729">
        <f t="shared" si="130"/>
        <v>57949.103448275862</v>
      </c>
      <c r="L284" s="729">
        <f t="shared" si="130"/>
        <v>61703.034482758623</v>
      </c>
      <c r="M284" s="729">
        <f t="shared" si="130"/>
        <v>48291.448275862072</v>
      </c>
      <c r="N284" s="729">
        <f t="shared" si="130"/>
        <v>36101.65517241379</v>
      </c>
      <c r="O284" s="729">
        <f t="shared" si="130"/>
        <v>29348.5</v>
      </c>
      <c r="P284" s="729">
        <f t="shared" si="131"/>
        <v>564469.82389162562</v>
      </c>
      <c r="Q284" s="729"/>
    </row>
    <row r="285" spans="1:17" s="718" customFormat="1" x14ac:dyDescent="0.2">
      <c r="B285" s="718" t="s">
        <v>187</v>
      </c>
      <c r="C285" s="718">
        <v>86</v>
      </c>
      <c r="D285" s="729">
        <f t="shared" si="130"/>
        <v>942.34497816593887</v>
      </c>
      <c r="E285" s="729">
        <f t="shared" si="130"/>
        <v>873.55021834061131</v>
      </c>
      <c r="F285" s="729">
        <f t="shared" si="130"/>
        <v>1658.3449781659388</v>
      </c>
      <c r="G285" s="729">
        <f t="shared" si="130"/>
        <v>3580.0087719298244</v>
      </c>
      <c r="H285" s="729">
        <f t="shared" si="130"/>
        <v>4600.1184210526317</v>
      </c>
      <c r="I285" s="729">
        <f t="shared" si="130"/>
        <v>5706.2368421052633</v>
      </c>
      <c r="J285" s="729">
        <f t="shared" si="130"/>
        <v>5598.3684210526317</v>
      </c>
      <c r="K285" s="729">
        <f t="shared" si="130"/>
        <v>4686.2368421052633</v>
      </c>
      <c r="L285" s="729">
        <f t="shared" si="130"/>
        <v>4945.7192982456145</v>
      </c>
      <c r="M285" s="729">
        <f t="shared" si="130"/>
        <v>3808.1973684210525</v>
      </c>
      <c r="N285" s="729">
        <f t="shared" si="130"/>
        <v>2151.4140969162995</v>
      </c>
      <c r="O285" s="729">
        <f t="shared" si="130"/>
        <v>1393.9339207048458</v>
      </c>
      <c r="P285" s="729">
        <f t="shared" si="131"/>
        <v>39944.474157205914</v>
      </c>
      <c r="Q285" s="729"/>
    </row>
    <row r="286" spans="1:17" s="725" customFormat="1" x14ac:dyDescent="0.2">
      <c r="A286" s="718"/>
      <c r="B286" s="718" t="s">
        <v>188</v>
      </c>
      <c r="C286" s="718">
        <v>87</v>
      </c>
      <c r="D286" s="729">
        <f t="shared" si="130"/>
        <v>241032.6</v>
      </c>
      <c r="E286" s="729">
        <f t="shared" si="130"/>
        <v>238246.6</v>
      </c>
      <c r="F286" s="729">
        <f t="shared" si="130"/>
        <v>259490.8</v>
      </c>
      <c r="G286" s="729">
        <f t="shared" si="130"/>
        <v>391372.6</v>
      </c>
      <c r="H286" s="729">
        <f t="shared" si="130"/>
        <v>469210.2</v>
      </c>
      <c r="I286" s="729">
        <f t="shared" si="130"/>
        <v>563495.4</v>
      </c>
      <c r="J286" s="729">
        <f t="shared" si="130"/>
        <v>516419</v>
      </c>
      <c r="K286" s="729">
        <f t="shared" si="130"/>
        <v>490774</v>
      </c>
      <c r="L286" s="729">
        <f t="shared" si="130"/>
        <v>486404</v>
      </c>
      <c r="M286" s="729">
        <f t="shared" si="130"/>
        <v>414934</v>
      </c>
      <c r="N286" s="729">
        <f t="shared" si="130"/>
        <v>297142</v>
      </c>
      <c r="O286" s="729">
        <f t="shared" si="130"/>
        <v>286110.2</v>
      </c>
      <c r="P286" s="729">
        <f t="shared" si="131"/>
        <v>4654631.4000000004</v>
      </c>
      <c r="Q286" s="729"/>
    </row>
    <row r="287" spans="1:17" ht="15" x14ac:dyDescent="0.25">
      <c r="A287" s="725"/>
      <c r="B287" s="754" t="s">
        <v>239</v>
      </c>
      <c r="C287" s="740" t="s">
        <v>346</v>
      </c>
      <c r="D287" s="729">
        <f t="shared" si="130"/>
        <v>192133.5</v>
      </c>
      <c r="E287" s="729">
        <f t="shared" si="130"/>
        <v>186918.8</v>
      </c>
      <c r="F287" s="729">
        <f t="shared" si="130"/>
        <v>206898.3</v>
      </c>
      <c r="G287" s="729">
        <f t="shared" si="130"/>
        <v>300687.2</v>
      </c>
      <c r="H287" s="729">
        <f t="shared" si="130"/>
        <v>383391.8</v>
      </c>
      <c r="I287" s="729">
        <f t="shared" si="130"/>
        <v>435291.7</v>
      </c>
      <c r="J287" s="729">
        <f t="shared" si="130"/>
        <v>444346.8</v>
      </c>
      <c r="K287" s="729">
        <f t="shared" si="130"/>
        <v>386748.6</v>
      </c>
      <c r="L287" s="729">
        <f t="shared" si="130"/>
        <v>381381.9</v>
      </c>
      <c r="M287" s="729">
        <f t="shared" si="130"/>
        <v>326617.3</v>
      </c>
      <c r="N287" s="729">
        <f t="shared" si="130"/>
        <v>260758</v>
      </c>
      <c r="O287" s="729">
        <f t="shared" si="130"/>
        <v>222395.3</v>
      </c>
      <c r="P287" s="729">
        <f t="shared" si="131"/>
        <v>3727569.1999999997</v>
      </c>
      <c r="Q287" s="729"/>
    </row>
    <row r="288" spans="1:17" x14ac:dyDescent="0.2">
      <c r="B288" s="718" t="s">
        <v>113</v>
      </c>
      <c r="C288" s="718"/>
      <c r="D288" s="729">
        <f t="shared" ref="D288:O288" si="132">IFERROR(ROUND(D196,0)/ROUND(D62,0),0)</f>
        <v>54.719095218189509</v>
      </c>
      <c r="E288" s="729">
        <f t="shared" si="132"/>
        <v>54.137752783735849</v>
      </c>
      <c r="F288" s="729">
        <f t="shared" si="132"/>
        <v>67.729227601718335</v>
      </c>
      <c r="G288" s="729">
        <f t="shared" si="132"/>
        <v>113.3063867955758</v>
      </c>
      <c r="H288" s="729">
        <f t="shared" si="132"/>
        <v>159.26874679102423</v>
      </c>
      <c r="I288" s="729">
        <f t="shared" si="132"/>
        <v>189.62750934321866</v>
      </c>
      <c r="J288" s="729">
        <f t="shared" si="132"/>
        <v>201.49839212346168</v>
      </c>
      <c r="K288" s="729">
        <f t="shared" si="132"/>
        <v>160.34387379953341</v>
      </c>
      <c r="L288" s="729">
        <f t="shared" si="132"/>
        <v>166.59393169109029</v>
      </c>
      <c r="M288" s="729">
        <f t="shared" si="132"/>
        <v>119.41620981207834</v>
      </c>
      <c r="N288" s="729">
        <f t="shared" si="132"/>
        <v>84.113984115425978</v>
      </c>
      <c r="O288" s="729">
        <f t="shared" si="132"/>
        <v>60.5823174295938</v>
      </c>
      <c r="P288" s="729">
        <f t="shared" si="131"/>
        <v>1431.3374275046458</v>
      </c>
      <c r="Q288" s="763"/>
    </row>
    <row r="289" spans="2:17" x14ac:dyDescent="0.2">
      <c r="B289" s="718"/>
      <c r="C289" s="719"/>
      <c r="D289" s="721"/>
      <c r="E289" s="721"/>
      <c r="F289" s="721"/>
      <c r="G289" s="721"/>
      <c r="H289" s="721"/>
      <c r="I289" s="721"/>
      <c r="J289" s="721"/>
      <c r="K289" s="721"/>
      <c r="L289" s="721"/>
      <c r="M289" s="721"/>
      <c r="N289" s="721"/>
      <c r="O289" s="721"/>
      <c r="P289" s="763"/>
      <c r="Q289" s="763"/>
    </row>
    <row r="290" spans="2:17" x14ac:dyDescent="0.2">
      <c r="B290" s="718"/>
      <c r="C290" s="719"/>
      <c r="D290" s="721"/>
      <c r="E290" s="721"/>
      <c r="F290" s="721"/>
      <c r="G290" s="721"/>
      <c r="H290" s="721"/>
      <c r="I290" s="721"/>
      <c r="J290" s="721"/>
      <c r="K290" s="721"/>
      <c r="L290" s="721"/>
      <c r="M290" s="721"/>
      <c r="N290" s="721"/>
      <c r="O290" s="721"/>
      <c r="P290" s="763"/>
      <c r="Q290" s="732"/>
    </row>
    <row r="291" spans="2:17" x14ac:dyDescent="0.2">
      <c r="D291" s="732"/>
      <c r="E291" s="732"/>
      <c r="F291" s="732"/>
      <c r="G291" s="732"/>
      <c r="H291" s="732"/>
      <c r="I291" s="732"/>
      <c r="J291" s="732"/>
      <c r="K291" s="732"/>
      <c r="L291" s="732"/>
      <c r="M291" s="732"/>
      <c r="N291" s="732"/>
      <c r="O291" s="732"/>
      <c r="P291" s="732"/>
      <c r="Q291" s="732"/>
    </row>
    <row r="292" spans="2:17" x14ac:dyDescent="0.2">
      <c r="D292" s="732"/>
      <c r="E292" s="732"/>
      <c r="F292" s="732"/>
      <c r="G292" s="732"/>
      <c r="H292" s="732"/>
      <c r="I292" s="732"/>
      <c r="J292" s="732"/>
      <c r="K292" s="732"/>
      <c r="L292" s="732"/>
      <c r="M292" s="732"/>
      <c r="N292" s="732"/>
      <c r="O292" s="732"/>
      <c r="P292" s="732"/>
      <c r="Q292" s="732"/>
    </row>
    <row r="293" spans="2:17" x14ac:dyDescent="0.2">
      <c r="D293" s="732"/>
      <c r="E293" s="732"/>
      <c r="F293" s="732"/>
      <c r="G293" s="732"/>
      <c r="H293" s="732"/>
      <c r="I293" s="732"/>
      <c r="J293" s="732"/>
      <c r="K293" s="732"/>
      <c r="L293" s="732"/>
      <c r="M293" s="732"/>
      <c r="N293" s="732"/>
      <c r="O293" s="732"/>
      <c r="P293" s="732"/>
      <c r="Q293" s="732"/>
    </row>
    <row r="294" spans="2:17" x14ac:dyDescent="0.2">
      <c r="D294" s="732"/>
      <c r="E294" s="732"/>
      <c r="F294" s="732"/>
      <c r="G294" s="732"/>
      <c r="H294" s="732"/>
      <c r="I294" s="732"/>
      <c r="J294" s="732"/>
      <c r="K294" s="732"/>
      <c r="L294" s="732"/>
      <c r="M294" s="732"/>
      <c r="N294" s="732"/>
      <c r="O294" s="732"/>
      <c r="P294" s="732"/>
      <c r="Q294" s="732"/>
    </row>
    <row r="295" spans="2:17" x14ac:dyDescent="0.2">
      <c r="D295" s="732"/>
      <c r="E295" s="732"/>
      <c r="F295" s="732"/>
      <c r="G295" s="732"/>
      <c r="H295" s="732"/>
      <c r="I295" s="732"/>
      <c r="J295" s="732"/>
      <c r="K295" s="732"/>
      <c r="L295" s="732"/>
      <c r="M295" s="732"/>
      <c r="N295" s="732"/>
      <c r="O295" s="732"/>
      <c r="P295" s="732"/>
      <c r="Q295" s="732"/>
    </row>
    <row r="296" spans="2:17" x14ac:dyDescent="0.2">
      <c r="D296" s="732"/>
      <c r="E296" s="732"/>
      <c r="F296" s="732"/>
      <c r="G296" s="732"/>
      <c r="H296" s="732"/>
      <c r="I296" s="732"/>
      <c r="J296" s="732"/>
      <c r="K296" s="732"/>
      <c r="L296" s="732"/>
      <c r="M296" s="732"/>
      <c r="N296" s="732"/>
      <c r="O296" s="732"/>
      <c r="P296" s="732"/>
      <c r="Q296" s="732"/>
    </row>
    <row r="297" spans="2:17" x14ac:dyDescent="0.2">
      <c r="D297" s="732"/>
      <c r="E297" s="732"/>
      <c r="F297" s="732"/>
      <c r="G297" s="732"/>
      <c r="H297" s="732"/>
      <c r="I297" s="732"/>
      <c r="J297" s="732"/>
      <c r="K297" s="732"/>
      <c r="L297" s="732"/>
      <c r="M297" s="732"/>
      <c r="N297" s="732"/>
      <c r="O297" s="732"/>
      <c r="P297" s="732"/>
      <c r="Q297" s="732"/>
    </row>
    <row r="298" spans="2:17" x14ac:dyDescent="0.2">
      <c r="D298" s="732"/>
      <c r="E298" s="732"/>
      <c r="F298" s="732"/>
      <c r="G298" s="732"/>
      <c r="H298" s="732"/>
      <c r="I298" s="732"/>
      <c r="J298" s="732"/>
      <c r="K298" s="732"/>
      <c r="L298" s="732"/>
      <c r="M298" s="732"/>
      <c r="N298" s="732"/>
      <c r="O298" s="732"/>
      <c r="P298" s="732"/>
      <c r="Q298" s="732"/>
    </row>
    <row r="299" spans="2:17" x14ac:dyDescent="0.2">
      <c r="D299" s="732"/>
      <c r="E299" s="732"/>
      <c r="F299" s="732"/>
      <c r="G299" s="732"/>
      <c r="H299" s="732"/>
      <c r="I299" s="732"/>
      <c r="J299" s="732"/>
      <c r="K299" s="732"/>
      <c r="L299" s="732"/>
      <c r="M299" s="732"/>
      <c r="N299" s="732"/>
      <c r="O299" s="732"/>
      <c r="P299" s="732"/>
      <c r="Q299" s="732"/>
    </row>
    <row r="300" spans="2:17" x14ac:dyDescent="0.2">
      <c r="D300" s="732"/>
      <c r="E300" s="732"/>
      <c r="F300" s="732"/>
      <c r="G300" s="732"/>
      <c r="H300" s="732"/>
      <c r="I300" s="732"/>
      <c r="J300" s="732"/>
      <c r="K300" s="732"/>
      <c r="L300" s="732"/>
      <c r="M300" s="732"/>
      <c r="N300" s="732"/>
      <c r="O300" s="732"/>
      <c r="P300" s="732"/>
      <c r="Q300" s="732"/>
    </row>
    <row r="301" spans="2:17" x14ac:dyDescent="0.2">
      <c r="D301" s="732"/>
      <c r="E301" s="732"/>
      <c r="F301" s="732"/>
      <c r="G301" s="732"/>
      <c r="H301" s="732"/>
      <c r="I301" s="732"/>
      <c r="J301" s="732"/>
      <c r="K301" s="732"/>
      <c r="L301" s="732"/>
      <c r="M301" s="732"/>
      <c r="N301" s="732"/>
      <c r="O301" s="732"/>
      <c r="P301" s="732"/>
      <c r="Q301" s="732"/>
    </row>
    <row r="302" spans="2:17" x14ac:dyDescent="0.2">
      <c r="D302" s="732"/>
      <c r="E302" s="732"/>
      <c r="F302" s="732"/>
      <c r="G302" s="732"/>
      <c r="H302" s="732"/>
      <c r="I302" s="732"/>
      <c r="J302" s="732"/>
      <c r="K302" s="732"/>
      <c r="L302" s="732"/>
      <c r="M302" s="732"/>
      <c r="N302" s="732"/>
      <c r="O302" s="732"/>
      <c r="P302" s="732"/>
      <c r="Q302" s="732"/>
    </row>
    <row r="303" spans="2:17" x14ac:dyDescent="0.2">
      <c r="D303" s="732"/>
      <c r="E303" s="732"/>
      <c r="F303" s="732"/>
      <c r="G303" s="732"/>
      <c r="H303" s="732"/>
      <c r="I303" s="732"/>
      <c r="J303" s="732"/>
      <c r="K303" s="732"/>
      <c r="L303" s="732"/>
      <c r="M303" s="732"/>
      <c r="N303" s="732"/>
      <c r="O303" s="732"/>
      <c r="P303" s="732"/>
      <c r="Q303" s="732"/>
    </row>
    <row r="304" spans="2:17" x14ac:dyDescent="0.2">
      <c r="D304" s="732"/>
      <c r="E304" s="732"/>
      <c r="F304" s="732"/>
      <c r="G304" s="732"/>
      <c r="H304" s="732"/>
      <c r="I304" s="732"/>
      <c r="J304" s="732"/>
      <c r="K304" s="732"/>
      <c r="L304" s="732"/>
      <c r="M304" s="732"/>
      <c r="N304" s="732"/>
      <c r="O304" s="732"/>
      <c r="P304" s="732"/>
      <c r="Q304" s="732"/>
    </row>
    <row r="305" spans="4:17" x14ac:dyDescent="0.2">
      <c r="D305" s="732"/>
      <c r="E305" s="732"/>
      <c r="F305" s="732"/>
      <c r="G305" s="732"/>
      <c r="H305" s="732"/>
      <c r="I305" s="732"/>
      <c r="J305" s="732"/>
      <c r="K305" s="732"/>
      <c r="L305" s="732"/>
      <c r="M305" s="732"/>
      <c r="N305" s="732"/>
      <c r="O305" s="732"/>
      <c r="P305" s="732"/>
      <c r="Q305" s="732"/>
    </row>
    <row r="306" spans="4:17" x14ac:dyDescent="0.2">
      <c r="D306" s="732"/>
      <c r="E306" s="732"/>
      <c r="F306" s="732"/>
      <c r="G306" s="732"/>
      <c r="H306" s="732"/>
      <c r="I306" s="732"/>
      <c r="J306" s="732"/>
      <c r="K306" s="732"/>
      <c r="L306" s="732"/>
      <c r="M306" s="732"/>
      <c r="N306" s="732"/>
      <c r="O306" s="732"/>
      <c r="P306" s="732"/>
      <c r="Q306" s="732"/>
    </row>
    <row r="307" spans="4:17" x14ac:dyDescent="0.2">
      <c r="D307" s="732"/>
      <c r="E307" s="732"/>
      <c r="F307" s="732"/>
      <c r="G307" s="732"/>
      <c r="H307" s="732"/>
      <c r="I307" s="732"/>
      <c r="J307" s="732"/>
      <c r="K307" s="732"/>
      <c r="L307" s="732"/>
      <c r="M307" s="732"/>
      <c r="N307" s="732"/>
      <c r="O307" s="732"/>
      <c r="P307" s="732"/>
      <c r="Q307" s="732"/>
    </row>
    <row r="308" spans="4:17" x14ac:dyDescent="0.2">
      <c r="D308" s="732"/>
      <c r="E308" s="732"/>
      <c r="F308" s="732"/>
      <c r="G308" s="732"/>
      <c r="H308" s="732"/>
      <c r="I308" s="732"/>
      <c r="J308" s="732"/>
      <c r="K308" s="732"/>
      <c r="L308" s="732"/>
      <c r="M308" s="732"/>
      <c r="N308" s="732"/>
      <c r="O308" s="732"/>
      <c r="P308" s="732"/>
      <c r="Q308" s="732"/>
    </row>
    <row r="309" spans="4:17" x14ac:dyDescent="0.2">
      <c r="D309" s="732"/>
      <c r="E309" s="732"/>
      <c r="F309" s="732"/>
      <c r="G309" s="732"/>
      <c r="H309" s="732"/>
      <c r="I309" s="732"/>
      <c r="J309" s="732"/>
      <c r="K309" s="732"/>
      <c r="L309" s="732"/>
      <c r="M309" s="732"/>
      <c r="N309" s="732"/>
      <c r="O309" s="732"/>
      <c r="P309" s="732"/>
      <c r="Q309" s="732"/>
    </row>
    <row r="310" spans="4:17" x14ac:dyDescent="0.2">
      <c r="D310" s="732"/>
      <c r="E310" s="732"/>
      <c r="F310" s="732"/>
      <c r="G310" s="732"/>
      <c r="H310" s="732"/>
      <c r="I310" s="732"/>
      <c r="J310" s="732"/>
      <c r="K310" s="732"/>
      <c r="L310" s="732"/>
      <c r="M310" s="732"/>
      <c r="N310" s="732"/>
      <c r="O310" s="732"/>
      <c r="P310" s="732"/>
      <c r="Q310" s="732"/>
    </row>
    <row r="311" spans="4:17" x14ac:dyDescent="0.2">
      <c r="D311" s="732"/>
      <c r="E311" s="732"/>
      <c r="F311" s="732"/>
      <c r="G311" s="732"/>
      <c r="H311" s="732"/>
      <c r="I311" s="732"/>
      <c r="J311" s="732"/>
      <c r="K311" s="732"/>
      <c r="L311" s="732"/>
      <c r="M311" s="732"/>
      <c r="N311" s="732"/>
      <c r="O311" s="732"/>
      <c r="P311" s="732"/>
      <c r="Q311" s="732"/>
    </row>
    <row r="312" spans="4:17" x14ac:dyDescent="0.2">
      <c r="D312" s="732"/>
      <c r="E312" s="732"/>
      <c r="F312" s="732"/>
      <c r="G312" s="732"/>
      <c r="H312" s="732"/>
      <c r="I312" s="732"/>
      <c r="J312" s="732"/>
      <c r="K312" s="732"/>
      <c r="L312" s="732"/>
      <c r="M312" s="732"/>
      <c r="N312" s="732"/>
      <c r="O312" s="732"/>
      <c r="P312" s="732"/>
      <c r="Q312" s="732"/>
    </row>
    <row r="313" spans="4:17" x14ac:dyDescent="0.2">
      <c r="D313" s="732"/>
      <c r="E313" s="732"/>
      <c r="F313" s="732"/>
      <c r="G313" s="732"/>
      <c r="H313" s="732"/>
      <c r="I313" s="732"/>
      <c r="J313" s="732"/>
      <c r="K313" s="732"/>
      <c r="L313" s="732"/>
      <c r="M313" s="732"/>
      <c r="N313" s="732"/>
      <c r="O313" s="732"/>
      <c r="P313" s="732"/>
      <c r="Q313" s="732"/>
    </row>
    <row r="314" spans="4:17" x14ac:dyDescent="0.2">
      <c r="D314" s="732"/>
      <c r="E314" s="732"/>
      <c r="F314" s="732"/>
      <c r="G314" s="732"/>
      <c r="H314" s="732"/>
      <c r="I314" s="732"/>
      <c r="J314" s="732"/>
      <c r="K314" s="732"/>
      <c r="L314" s="732"/>
      <c r="M314" s="732"/>
      <c r="N314" s="732"/>
      <c r="O314" s="732"/>
      <c r="P314" s="732"/>
      <c r="Q314" s="732"/>
    </row>
    <row r="315" spans="4:17" x14ac:dyDescent="0.2">
      <c r="D315" s="732"/>
      <c r="E315" s="732"/>
      <c r="F315" s="732"/>
      <c r="G315" s="732"/>
      <c r="H315" s="732"/>
      <c r="I315" s="732"/>
      <c r="J315" s="732"/>
      <c r="K315" s="732"/>
      <c r="L315" s="732"/>
      <c r="M315" s="732"/>
      <c r="N315" s="732"/>
      <c r="O315" s="732"/>
      <c r="P315" s="732"/>
      <c r="Q315" s="732"/>
    </row>
    <row r="316" spans="4:17" x14ac:dyDescent="0.2">
      <c r="D316" s="732"/>
      <c r="E316" s="732"/>
      <c r="F316" s="732"/>
      <c r="G316" s="732"/>
      <c r="H316" s="732"/>
      <c r="I316" s="732"/>
      <c r="J316" s="732"/>
      <c r="K316" s="732"/>
      <c r="L316" s="732"/>
      <c r="M316" s="732"/>
      <c r="N316" s="732"/>
      <c r="O316" s="732"/>
      <c r="P316" s="732"/>
      <c r="Q316" s="732"/>
    </row>
    <row r="317" spans="4:17" x14ac:dyDescent="0.2">
      <c r="D317" s="732"/>
      <c r="E317" s="732"/>
      <c r="F317" s="732"/>
      <c r="G317" s="732"/>
      <c r="H317" s="732"/>
      <c r="I317" s="732"/>
      <c r="J317" s="732"/>
      <c r="K317" s="732"/>
      <c r="L317" s="732"/>
      <c r="M317" s="732"/>
      <c r="N317" s="732"/>
      <c r="O317" s="732"/>
      <c r="P317" s="732"/>
      <c r="Q317" s="732"/>
    </row>
    <row r="318" spans="4:17" x14ac:dyDescent="0.2">
      <c r="D318" s="732"/>
      <c r="E318" s="732"/>
      <c r="F318" s="732"/>
      <c r="G318" s="732"/>
      <c r="H318" s="732"/>
      <c r="I318" s="732"/>
      <c r="J318" s="732"/>
      <c r="K318" s="732"/>
      <c r="L318" s="732"/>
      <c r="M318" s="732"/>
      <c r="N318" s="732"/>
      <c r="O318" s="732"/>
      <c r="P318" s="732"/>
      <c r="Q318" s="732"/>
    </row>
    <row r="319" spans="4:17" x14ac:dyDescent="0.2">
      <c r="D319" s="732"/>
      <c r="E319" s="732"/>
      <c r="F319" s="732"/>
      <c r="G319" s="732"/>
      <c r="H319" s="732"/>
      <c r="I319" s="732"/>
      <c r="J319" s="732"/>
      <c r="K319" s="732"/>
      <c r="L319" s="732"/>
      <c r="M319" s="732"/>
      <c r="N319" s="732"/>
      <c r="O319" s="732"/>
      <c r="P319" s="732"/>
      <c r="Q319" s="732"/>
    </row>
    <row r="320" spans="4:17" x14ac:dyDescent="0.2">
      <c r="D320" s="732"/>
      <c r="E320" s="732"/>
      <c r="F320" s="732"/>
      <c r="G320" s="732"/>
      <c r="H320" s="732"/>
      <c r="I320" s="732"/>
      <c r="J320" s="732"/>
      <c r="K320" s="732"/>
      <c r="L320" s="732"/>
      <c r="M320" s="732"/>
      <c r="N320" s="732"/>
      <c r="O320" s="732"/>
      <c r="P320" s="732"/>
      <c r="Q320" s="732"/>
    </row>
    <row r="321" spans="4:17" x14ac:dyDescent="0.2">
      <c r="D321" s="732"/>
      <c r="E321" s="732"/>
      <c r="F321" s="732"/>
      <c r="G321" s="732"/>
      <c r="H321" s="732"/>
      <c r="I321" s="732"/>
      <c r="J321" s="732"/>
      <c r="K321" s="732"/>
      <c r="L321" s="732"/>
      <c r="M321" s="732"/>
      <c r="N321" s="732"/>
      <c r="O321" s="732"/>
      <c r="P321" s="732"/>
      <c r="Q321" s="732"/>
    </row>
    <row r="322" spans="4:17" x14ac:dyDescent="0.2">
      <c r="D322" s="732"/>
      <c r="E322" s="732"/>
      <c r="F322" s="732"/>
      <c r="G322" s="732"/>
      <c r="H322" s="732"/>
      <c r="I322" s="732"/>
      <c r="J322" s="732"/>
      <c r="K322" s="732"/>
      <c r="L322" s="732"/>
      <c r="M322" s="732"/>
      <c r="N322" s="732"/>
      <c r="O322" s="732"/>
      <c r="P322" s="732"/>
      <c r="Q322" s="732"/>
    </row>
    <row r="323" spans="4:17" x14ac:dyDescent="0.2">
      <c r="D323" s="732"/>
      <c r="E323" s="732"/>
      <c r="F323" s="732"/>
      <c r="G323" s="732"/>
      <c r="H323" s="732"/>
      <c r="I323" s="732"/>
      <c r="J323" s="732"/>
      <c r="K323" s="732"/>
      <c r="L323" s="732"/>
      <c r="M323" s="732"/>
      <c r="N323" s="732"/>
      <c r="O323" s="732"/>
      <c r="P323" s="732"/>
      <c r="Q323" s="732"/>
    </row>
    <row r="324" spans="4:17" x14ac:dyDescent="0.2">
      <c r="D324" s="732"/>
      <c r="E324" s="732"/>
      <c r="F324" s="732"/>
      <c r="G324" s="732"/>
      <c r="H324" s="732"/>
      <c r="I324" s="732"/>
      <c r="J324" s="732"/>
      <c r="K324" s="732"/>
      <c r="L324" s="732"/>
      <c r="M324" s="732"/>
      <c r="N324" s="732"/>
      <c r="O324" s="732"/>
      <c r="P324" s="732"/>
      <c r="Q324" s="732"/>
    </row>
    <row r="325" spans="4:17" x14ac:dyDescent="0.2">
      <c r="D325" s="732"/>
      <c r="E325" s="732"/>
      <c r="F325" s="732"/>
      <c r="G325" s="732"/>
      <c r="H325" s="732"/>
      <c r="I325" s="732"/>
      <c r="J325" s="732"/>
      <c r="K325" s="732"/>
      <c r="L325" s="732"/>
      <c r="M325" s="732"/>
      <c r="N325" s="732"/>
      <c r="O325" s="732"/>
      <c r="P325" s="732"/>
      <c r="Q325" s="732"/>
    </row>
    <row r="326" spans="4:17" x14ac:dyDescent="0.2">
      <c r="D326" s="732"/>
      <c r="E326" s="732"/>
      <c r="F326" s="732"/>
      <c r="G326" s="732"/>
      <c r="H326" s="732"/>
      <c r="I326" s="732"/>
      <c r="J326" s="732"/>
      <c r="K326" s="732"/>
      <c r="L326" s="732"/>
      <c r="M326" s="732"/>
      <c r="N326" s="732"/>
      <c r="O326" s="732"/>
      <c r="P326" s="732"/>
      <c r="Q326" s="732"/>
    </row>
    <row r="327" spans="4:17" x14ac:dyDescent="0.2">
      <c r="D327" s="732"/>
      <c r="E327" s="732"/>
      <c r="F327" s="732"/>
      <c r="G327" s="732"/>
      <c r="H327" s="732"/>
      <c r="I327" s="732"/>
      <c r="J327" s="732"/>
      <c r="K327" s="732"/>
      <c r="L327" s="732"/>
      <c r="M327" s="732"/>
      <c r="N327" s="732"/>
      <c r="O327" s="732"/>
      <c r="P327" s="732"/>
      <c r="Q327" s="732"/>
    </row>
    <row r="328" spans="4:17" x14ac:dyDescent="0.2">
      <c r="D328" s="732"/>
      <c r="E328" s="732"/>
      <c r="F328" s="732"/>
      <c r="G328" s="732"/>
      <c r="H328" s="732"/>
      <c r="I328" s="732"/>
      <c r="J328" s="732"/>
      <c r="K328" s="732"/>
      <c r="L328" s="732"/>
      <c r="M328" s="732"/>
      <c r="N328" s="732"/>
      <c r="O328" s="732"/>
      <c r="P328" s="732"/>
      <c r="Q328" s="732"/>
    </row>
    <row r="329" spans="4:17" x14ac:dyDescent="0.2">
      <c r="D329" s="732"/>
      <c r="E329" s="732"/>
      <c r="F329" s="732"/>
      <c r="G329" s="732"/>
      <c r="H329" s="732"/>
      <c r="I329" s="732"/>
      <c r="J329" s="732"/>
      <c r="K329" s="732"/>
      <c r="L329" s="732"/>
      <c r="M329" s="732"/>
      <c r="N329" s="732"/>
      <c r="O329" s="732"/>
      <c r="P329" s="732"/>
      <c r="Q329" s="732"/>
    </row>
    <row r="330" spans="4:17" x14ac:dyDescent="0.2">
      <c r="D330" s="732"/>
      <c r="E330" s="732"/>
      <c r="F330" s="732"/>
      <c r="G330" s="732"/>
      <c r="H330" s="732"/>
      <c r="I330" s="732"/>
      <c r="J330" s="732"/>
      <c r="K330" s="732"/>
      <c r="L330" s="732"/>
      <c r="M330" s="732"/>
      <c r="N330" s="732"/>
      <c r="O330" s="732"/>
      <c r="P330" s="732"/>
      <c r="Q330" s="732"/>
    </row>
    <row r="331" spans="4:17" x14ac:dyDescent="0.2">
      <c r="D331" s="732"/>
      <c r="E331" s="732"/>
      <c r="F331" s="732"/>
      <c r="G331" s="732"/>
      <c r="H331" s="732"/>
      <c r="I331" s="732"/>
      <c r="J331" s="732"/>
      <c r="K331" s="732"/>
      <c r="L331" s="732"/>
      <c r="M331" s="732"/>
      <c r="N331" s="732"/>
      <c r="O331" s="732"/>
      <c r="P331" s="732"/>
      <c r="Q331" s="732"/>
    </row>
    <row r="332" spans="4:17" x14ac:dyDescent="0.2">
      <c r="D332" s="732"/>
      <c r="E332" s="732"/>
      <c r="F332" s="732"/>
      <c r="G332" s="732"/>
      <c r="H332" s="732"/>
      <c r="I332" s="732"/>
      <c r="J332" s="732"/>
      <c r="K332" s="732"/>
      <c r="L332" s="732"/>
      <c r="M332" s="732"/>
      <c r="N332" s="732"/>
      <c r="O332" s="732"/>
      <c r="P332" s="732"/>
      <c r="Q332" s="732"/>
    </row>
    <row r="333" spans="4:17" x14ac:dyDescent="0.2">
      <c r="D333" s="732"/>
      <c r="E333" s="732"/>
      <c r="F333" s="732"/>
      <c r="G333" s="732"/>
      <c r="H333" s="732"/>
      <c r="I333" s="732"/>
      <c r="J333" s="732"/>
      <c r="K333" s="732"/>
      <c r="L333" s="732"/>
      <c r="M333" s="732"/>
      <c r="N333" s="732"/>
      <c r="O333" s="732"/>
      <c r="P333" s="732"/>
      <c r="Q333" s="732"/>
    </row>
    <row r="334" spans="4:17" x14ac:dyDescent="0.2">
      <c r="D334" s="732"/>
      <c r="E334" s="732"/>
      <c r="F334" s="732"/>
      <c r="G334" s="732"/>
      <c r="H334" s="732"/>
      <c r="I334" s="732"/>
      <c r="J334" s="732"/>
      <c r="K334" s="732"/>
      <c r="L334" s="732"/>
      <c r="M334" s="732"/>
      <c r="N334" s="732"/>
      <c r="O334" s="732"/>
      <c r="P334" s="732"/>
      <c r="Q334" s="732"/>
    </row>
    <row r="335" spans="4:17" x14ac:dyDescent="0.2">
      <c r="D335" s="732"/>
      <c r="E335" s="732"/>
      <c r="F335" s="732"/>
      <c r="G335" s="732"/>
      <c r="H335" s="732"/>
      <c r="I335" s="732"/>
      <c r="J335" s="732"/>
      <c r="K335" s="732"/>
      <c r="L335" s="732"/>
      <c r="M335" s="732"/>
      <c r="N335" s="732"/>
      <c r="O335" s="732"/>
      <c r="P335" s="732"/>
    </row>
  </sheetData>
  <mergeCells count="4">
    <mergeCell ref="B1:P1"/>
    <mergeCell ref="B2:P2"/>
    <mergeCell ref="B3:P3"/>
    <mergeCell ref="B4:P4"/>
  </mergeCells>
  <printOptions horizontalCentered="1"/>
  <pageMargins left="0.5" right="0.5" top="0.75" bottom="0.75" header="0.5" footer="0.3"/>
  <pageSetup scale="57" fitToHeight="5" orientation="landscape" blackAndWhite="1" r:id="rId1"/>
  <headerFooter alignWithMargins="0">
    <oddFooter>&amp;L&amp;F  
&amp;A&amp;C&amp;P&amp;R&amp;D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57"/>
  <sheetViews>
    <sheetView zoomScale="90" zoomScaleNormal="90" workbookViewId="0">
      <selection activeCell="M56" sqref="M56"/>
    </sheetView>
  </sheetViews>
  <sheetFormatPr defaultRowHeight="15" x14ac:dyDescent="0.25"/>
  <cols>
    <col min="1" max="1" width="2" style="797" customWidth="1"/>
    <col min="2" max="2" width="37.5703125" style="797" bestFit="1" customWidth="1"/>
    <col min="3" max="3" width="9.140625" style="797"/>
    <col min="4" max="15" width="11.5703125" style="797" customWidth="1"/>
    <col min="16" max="16" width="13" style="797" customWidth="1"/>
    <col min="17" max="16384" width="9.140625" style="797"/>
  </cols>
  <sheetData>
    <row r="1" spans="1:18" s="778" customFormat="1" ht="15" customHeight="1" x14ac:dyDescent="0.2">
      <c r="A1" s="847" t="s">
        <v>1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7"/>
      <c r="Q1" s="777"/>
    </row>
    <row r="2" spans="1:18" s="778" customFormat="1" ht="15" customHeight="1" x14ac:dyDescent="0.2">
      <c r="A2" s="847" t="s">
        <v>397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847"/>
      <c r="M2" s="847"/>
      <c r="N2" s="847"/>
      <c r="O2" s="847"/>
      <c r="P2" s="847"/>
      <c r="Q2" s="777"/>
    </row>
    <row r="3" spans="1:18" s="778" customFormat="1" ht="15" customHeight="1" x14ac:dyDescent="0.2">
      <c r="A3" s="847" t="s">
        <v>568</v>
      </c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7"/>
      <c r="Q3" s="777"/>
    </row>
    <row r="4" spans="1:18" s="778" customFormat="1" ht="15" customHeight="1" x14ac:dyDescent="0.2">
      <c r="A4" s="847" t="s">
        <v>542</v>
      </c>
      <c r="B4" s="847"/>
      <c r="C4" s="847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847"/>
      <c r="O4" s="847"/>
      <c r="P4" s="847"/>
      <c r="Q4" s="777"/>
    </row>
    <row r="5" spans="1:18" s="778" customFormat="1" ht="12.75" x14ac:dyDescent="0.2">
      <c r="B5" s="779"/>
      <c r="C5" s="777"/>
      <c r="D5" s="777"/>
      <c r="E5" s="777"/>
      <c r="F5" s="777"/>
      <c r="G5" s="777"/>
      <c r="H5" s="777"/>
      <c r="I5" s="777"/>
      <c r="J5" s="777"/>
      <c r="K5" s="777"/>
      <c r="L5" s="777"/>
      <c r="M5" s="777"/>
      <c r="N5" s="777"/>
      <c r="O5" s="777"/>
      <c r="P5" s="777"/>
      <c r="Q5" s="777"/>
    </row>
    <row r="6" spans="1:18" s="778" customFormat="1" ht="12.75" x14ac:dyDescent="0.2">
      <c r="B6" s="779"/>
      <c r="C6" s="777"/>
      <c r="D6" s="777"/>
      <c r="E6" s="777"/>
      <c r="F6" s="777"/>
      <c r="G6" s="777"/>
      <c r="H6" s="777"/>
      <c r="I6" s="777"/>
      <c r="J6" s="777"/>
      <c r="K6" s="777"/>
      <c r="L6" s="777"/>
      <c r="M6" s="777"/>
      <c r="N6" s="777"/>
      <c r="O6" s="777"/>
      <c r="P6" s="777"/>
      <c r="Q6" s="777"/>
    </row>
    <row r="7" spans="1:18" s="778" customFormat="1" ht="12.75" x14ac:dyDescent="0.2">
      <c r="B7" s="780" t="s">
        <v>117</v>
      </c>
      <c r="C7" s="780" t="s">
        <v>118</v>
      </c>
      <c r="D7" s="781">
        <v>42917</v>
      </c>
      <c r="E7" s="781">
        <v>42948</v>
      </c>
      <c r="F7" s="781">
        <v>42979</v>
      </c>
      <c r="G7" s="781">
        <v>43009</v>
      </c>
      <c r="H7" s="781">
        <v>43040</v>
      </c>
      <c r="I7" s="781">
        <v>43070</v>
      </c>
      <c r="J7" s="781">
        <v>43101</v>
      </c>
      <c r="K7" s="781">
        <f>EDATE(J7,1)</f>
        <v>43132</v>
      </c>
      <c r="L7" s="781">
        <f t="shared" ref="L7:O7" si="0">EDATE(K7,1)</f>
        <v>43160</v>
      </c>
      <c r="M7" s="781">
        <f t="shared" si="0"/>
        <v>43191</v>
      </c>
      <c r="N7" s="781">
        <f t="shared" si="0"/>
        <v>43221</v>
      </c>
      <c r="O7" s="781">
        <f t="shared" si="0"/>
        <v>43252</v>
      </c>
      <c r="P7" s="781" t="s">
        <v>113</v>
      </c>
      <c r="Q7" s="782"/>
    </row>
    <row r="8" spans="1:18" s="778" customFormat="1" ht="12.75" x14ac:dyDescent="0.2">
      <c r="A8" s="783" t="s">
        <v>218</v>
      </c>
      <c r="C8" s="784"/>
      <c r="D8" s="785"/>
      <c r="E8" s="785"/>
      <c r="F8" s="785"/>
      <c r="G8" s="785"/>
      <c r="H8" s="785"/>
      <c r="I8" s="785"/>
      <c r="J8" s="785"/>
      <c r="K8" s="785"/>
      <c r="L8" s="785"/>
      <c r="M8" s="785"/>
      <c r="N8" s="785"/>
      <c r="O8" s="785"/>
      <c r="P8" s="782"/>
      <c r="Q8" s="782"/>
    </row>
    <row r="9" spans="1:18" s="786" customFormat="1" ht="12.75" x14ac:dyDescent="0.2">
      <c r="A9" s="778" t="s">
        <v>260</v>
      </c>
      <c r="C9" s="787" t="s">
        <v>231</v>
      </c>
      <c r="D9" s="840">
        <f>'Weather Adj'!D157</f>
        <v>0</v>
      </c>
      <c r="E9" s="840">
        <f>'Weather Adj'!E157</f>
        <v>0</v>
      </c>
      <c r="F9" s="840">
        <f>'Weather Adj'!F157</f>
        <v>0</v>
      </c>
      <c r="G9" s="840">
        <f>'Weather Adj'!G157</f>
        <v>-1608</v>
      </c>
      <c r="H9" s="840">
        <f>'Weather Adj'!H157</f>
        <v>18334</v>
      </c>
      <c r="I9" s="840">
        <f>'Weather Adj'!I157</f>
        <v>-21338</v>
      </c>
      <c r="J9" s="840">
        <f>'Weather Adj'!J157</f>
        <v>95773</v>
      </c>
      <c r="K9" s="840">
        <f>'Weather Adj'!K157</f>
        <v>-40499</v>
      </c>
      <c r="L9" s="840">
        <f>'Weather Adj'!L157</f>
        <v>1613</v>
      </c>
      <c r="M9" s="840">
        <f>'Weather Adj'!M157</f>
        <v>20904</v>
      </c>
      <c r="N9" s="840">
        <f>'Weather Adj'!N157</f>
        <v>62330</v>
      </c>
      <c r="O9" s="840">
        <f>'Weather Adj'!O157</f>
        <v>18537</v>
      </c>
      <c r="P9" s="788">
        <f>SUM(D9:O9)</f>
        <v>154046</v>
      </c>
      <c r="Q9" s="789"/>
      <c r="R9" s="790"/>
    </row>
    <row r="10" spans="1:18" s="786" customFormat="1" ht="12.75" x14ac:dyDescent="0.2">
      <c r="A10" s="778" t="s">
        <v>263</v>
      </c>
      <c r="C10" s="787" t="s">
        <v>232</v>
      </c>
      <c r="D10" s="840">
        <f>'Weather Adj'!D158</f>
        <v>0</v>
      </c>
      <c r="E10" s="840">
        <f>'Weather Adj'!E158</f>
        <v>0</v>
      </c>
      <c r="F10" s="840">
        <f>'Weather Adj'!F158</f>
        <v>0</v>
      </c>
      <c r="G10" s="840">
        <f>'Weather Adj'!G158</f>
        <v>-2200</v>
      </c>
      <c r="H10" s="840">
        <f>'Weather Adj'!H158</f>
        <v>32863</v>
      </c>
      <c r="I10" s="840">
        <f>'Weather Adj'!I158</f>
        <v>-37796</v>
      </c>
      <c r="J10" s="840">
        <f>'Weather Adj'!J158</f>
        <v>167857</v>
      </c>
      <c r="K10" s="840">
        <f>'Weather Adj'!K158</f>
        <v>-89985</v>
      </c>
      <c r="L10" s="840">
        <f>'Weather Adj'!L158</f>
        <v>2749</v>
      </c>
      <c r="M10" s="840">
        <f>'Weather Adj'!M158</f>
        <v>37151</v>
      </c>
      <c r="N10" s="840">
        <f>'Weather Adj'!N158</f>
        <v>109586</v>
      </c>
      <c r="O10" s="840">
        <f>'Weather Adj'!O158</f>
        <v>24947</v>
      </c>
      <c r="P10" s="788">
        <f t="shared" ref="P10:P13" si="1">SUM(D10:O10)</f>
        <v>245172</v>
      </c>
      <c r="Q10" s="789"/>
      <c r="R10" s="790"/>
    </row>
    <row r="11" spans="1:18" s="786" customFormat="1" ht="12.75" x14ac:dyDescent="0.2">
      <c r="A11" s="786" t="s">
        <v>103</v>
      </c>
      <c r="C11" s="786">
        <v>85</v>
      </c>
      <c r="D11" s="840">
        <f>'Weather Adj'!D159</f>
        <v>0</v>
      </c>
      <c r="E11" s="840">
        <f>'Weather Adj'!E159</f>
        <v>0</v>
      </c>
      <c r="F11" s="840">
        <f>'Weather Adj'!F159</f>
        <v>0</v>
      </c>
      <c r="G11" s="840">
        <f>'Weather Adj'!G159</f>
        <v>-1179</v>
      </c>
      <c r="H11" s="840">
        <f>'Weather Adj'!H159</f>
        <v>3170</v>
      </c>
      <c r="I11" s="840">
        <f>'Weather Adj'!I159</f>
        <v>0</v>
      </c>
      <c r="J11" s="840">
        <f>'Weather Adj'!J159</f>
        <v>70309</v>
      </c>
      <c r="K11" s="840">
        <f>'Weather Adj'!K159</f>
        <v>-43357</v>
      </c>
      <c r="L11" s="840">
        <f>'Weather Adj'!L159</f>
        <v>1732</v>
      </c>
      <c r="M11" s="840">
        <f>'Weather Adj'!M159</f>
        <v>7108</v>
      </c>
      <c r="N11" s="840">
        <f>'Weather Adj'!N159</f>
        <v>0</v>
      </c>
      <c r="O11" s="840">
        <f>'Weather Adj'!O159</f>
        <v>0</v>
      </c>
      <c r="P11" s="788">
        <f t="shared" si="1"/>
        <v>37783</v>
      </c>
      <c r="Q11" s="789"/>
      <c r="R11" s="790"/>
    </row>
    <row r="12" spans="1:18" s="786" customFormat="1" ht="12.75" x14ac:dyDescent="0.2">
      <c r="A12" s="786" t="s">
        <v>265</v>
      </c>
      <c r="C12" s="786">
        <v>87</v>
      </c>
      <c r="D12" s="840">
        <f>'Weather Adj'!D161</f>
        <v>0</v>
      </c>
      <c r="E12" s="840">
        <f>'Weather Adj'!E161</f>
        <v>0</v>
      </c>
      <c r="F12" s="840">
        <f>'Weather Adj'!F161</f>
        <v>0</v>
      </c>
      <c r="G12" s="840">
        <f>'Weather Adj'!G161</f>
        <v>-1464</v>
      </c>
      <c r="H12" s="840">
        <f>'Weather Adj'!H161</f>
        <v>4179</v>
      </c>
      <c r="I12" s="840">
        <f>'Weather Adj'!I161</f>
        <v>0</v>
      </c>
      <c r="J12" s="840">
        <f>'Weather Adj'!J161</f>
        <v>94022</v>
      </c>
      <c r="K12" s="840">
        <f>'Weather Adj'!K161</f>
        <v>-52176</v>
      </c>
      <c r="L12" s="840">
        <f>'Weather Adj'!L161</f>
        <v>2076</v>
      </c>
      <c r="M12" s="840">
        <f>'Weather Adj'!M161</f>
        <v>8419</v>
      </c>
      <c r="N12" s="840">
        <f>'Weather Adj'!N161</f>
        <v>0</v>
      </c>
      <c r="O12" s="840">
        <f>'Weather Adj'!O161</f>
        <v>0</v>
      </c>
      <c r="P12" s="788">
        <f t="shared" si="1"/>
        <v>55056</v>
      </c>
      <c r="Q12" s="789"/>
      <c r="R12" s="790"/>
    </row>
    <row r="13" spans="1:18" s="786" customFormat="1" x14ac:dyDescent="0.25">
      <c r="A13" s="791" t="s">
        <v>270</v>
      </c>
      <c r="B13" s="792"/>
      <c r="C13" s="793" t="s">
        <v>346</v>
      </c>
      <c r="D13" s="841">
        <f>'Weather Adj'!D165</f>
        <v>0</v>
      </c>
      <c r="E13" s="841">
        <f>'Weather Adj'!E165</f>
        <v>0</v>
      </c>
      <c r="F13" s="841">
        <f>'Weather Adj'!F165</f>
        <v>125789</v>
      </c>
      <c r="G13" s="841">
        <f>'Weather Adj'!G165</f>
        <v>-7640</v>
      </c>
      <c r="H13" s="841">
        <f>'Weather Adj'!H165</f>
        <v>88655</v>
      </c>
      <c r="I13" s="841">
        <f>'Weather Adj'!I165</f>
        <v>-83661</v>
      </c>
      <c r="J13" s="841">
        <f>'Weather Adj'!J165</f>
        <v>411040</v>
      </c>
      <c r="K13" s="841">
        <f>'Weather Adj'!K165</f>
        <v>-247412</v>
      </c>
      <c r="L13" s="841">
        <f>'Weather Adj'!L165</f>
        <v>7408</v>
      </c>
      <c r="M13" s="841">
        <f>'Weather Adj'!M165</f>
        <v>109805</v>
      </c>
      <c r="N13" s="841">
        <f>'Weather Adj'!N165</f>
        <v>290178</v>
      </c>
      <c r="O13" s="841">
        <f>'Weather Adj'!O165</f>
        <v>87068</v>
      </c>
      <c r="P13" s="794">
        <f t="shared" si="1"/>
        <v>781230</v>
      </c>
      <c r="Q13" s="789"/>
      <c r="R13" s="790"/>
    </row>
    <row r="14" spans="1:18" x14ac:dyDescent="0.25">
      <c r="A14" s="786" t="s">
        <v>113</v>
      </c>
      <c r="B14" s="795"/>
      <c r="C14" s="786"/>
      <c r="D14" s="796">
        <f>SUM(D9:D13)</f>
        <v>0</v>
      </c>
      <c r="E14" s="796">
        <f t="shared" ref="E14:P14" si="2">SUM(E9:E13)</f>
        <v>0</v>
      </c>
      <c r="F14" s="796">
        <f t="shared" si="2"/>
        <v>125789</v>
      </c>
      <c r="G14" s="796">
        <f t="shared" si="2"/>
        <v>-14091</v>
      </c>
      <c r="H14" s="796">
        <f t="shared" si="2"/>
        <v>147201</v>
      </c>
      <c r="I14" s="796">
        <f t="shared" si="2"/>
        <v>-142795</v>
      </c>
      <c r="J14" s="796">
        <f t="shared" si="2"/>
        <v>839001</v>
      </c>
      <c r="K14" s="796">
        <f t="shared" si="2"/>
        <v>-473429</v>
      </c>
      <c r="L14" s="796">
        <f t="shared" si="2"/>
        <v>15578</v>
      </c>
      <c r="M14" s="796">
        <f t="shared" si="2"/>
        <v>183387</v>
      </c>
      <c r="N14" s="796">
        <f t="shared" si="2"/>
        <v>462094</v>
      </c>
      <c r="O14" s="796">
        <f t="shared" si="2"/>
        <v>130552</v>
      </c>
      <c r="P14" s="796">
        <f t="shared" si="2"/>
        <v>1273287</v>
      </c>
    </row>
    <row r="15" spans="1:18" x14ac:dyDescent="0.25">
      <c r="A15" s="795"/>
      <c r="B15" s="798" t="s">
        <v>114</v>
      </c>
      <c r="C15" s="799"/>
      <c r="D15" s="800">
        <f>D14-SUM('Weather Adj'!D157:D159,'Weather Adj'!D161,'Weather Adj'!D165)</f>
        <v>0</v>
      </c>
      <c r="E15" s="800">
        <f>E14-SUM('Weather Adj'!E157:E159,'Weather Adj'!E161,'Weather Adj'!E165)</f>
        <v>0</v>
      </c>
      <c r="F15" s="800">
        <f>F14-SUM('Weather Adj'!F157:F159,'Weather Adj'!F161,'Weather Adj'!F165)</f>
        <v>0</v>
      </c>
      <c r="G15" s="800">
        <f>G14-SUM('Weather Adj'!G157:G159,'Weather Adj'!G161,'Weather Adj'!G165)</f>
        <v>0</v>
      </c>
      <c r="H15" s="800">
        <f>H14-SUM('Weather Adj'!H157:H159,'Weather Adj'!H161,'Weather Adj'!H165)</f>
        <v>0</v>
      </c>
      <c r="I15" s="800">
        <f>I14-SUM('Weather Adj'!I157:I159,'Weather Adj'!I161,'Weather Adj'!I165)</f>
        <v>0</v>
      </c>
      <c r="J15" s="800">
        <f>J14-SUM('Weather Adj'!J157:J159,'Weather Adj'!J161,'Weather Adj'!J165)</f>
        <v>0</v>
      </c>
      <c r="K15" s="800">
        <f>K14-SUM('Weather Adj'!K157:K159,'Weather Adj'!K161,'Weather Adj'!K165)</f>
        <v>0</v>
      </c>
      <c r="L15" s="800">
        <f>L14-SUM('Weather Adj'!L157:L159,'Weather Adj'!L161,'Weather Adj'!L165)</f>
        <v>0</v>
      </c>
      <c r="M15" s="800">
        <f>M14-SUM('Weather Adj'!M157:M159,'Weather Adj'!M161,'Weather Adj'!M165)</f>
        <v>0</v>
      </c>
      <c r="N15" s="800">
        <f>N14-SUM('Weather Adj'!N157:N159,'Weather Adj'!N161,'Weather Adj'!N165)</f>
        <v>0</v>
      </c>
      <c r="O15" s="800">
        <f>O14-SUM('Weather Adj'!O157:O159,'Weather Adj'!O161,'Weather Adj'!O165)</f>
        <v>0</v>
      </c>
      <c r="P15" s="800">
        <f>P14-SUM('Weather Adj'!P157:P159,'Weather Adj'!P161,'Weather Adj'!P165)</f>
        <v>0</v>
      </c>
    </row>
    <row r="16" spans="1:18" x14ac:dyDescent="0.25">
      <c r="A16" s="795"/>
      <c r="B16" s="786"/>
      <c r="C16" s="795"/>
      <c r="D16" s="801"/>
      <c r="E16" s="801"/>
      <c r="F16" s="801"/>
      <c r="G16" s="801"/>
      <c r="H16" s="801"/>
      <c r="I16" s="801"/>
      <c r="J16" s="801"/>
      <c r="K16" s="801"/>
      <c r="L16" s="801"/>
      <c r="M16" s="801"/>
      <c r="N16" s="801"/>
      <c r="O16" s="801"/>
      <c r="P16" s="801"/>
    </row>
    <row r="17" spans="1:17" x14ac:dyDescent="0.25">
      <c r="A17" s="783" t="s">
        <v>7</v>
      </c>
      <c r="B17" s="795"/>
      <c r="C17" s="795"/>
      <c r="D17" s="795"/>
      <c r="E17" s="795"/>
      <c r="F17" s="795"/>
      <c r="G17" s="795"/>
      <c r="H17" s="795"/>
      <c r="I17" s="795"/>
      <c r="J17" s="795"/>
      <c r="K17" s="795"/>
      <c r="L17" s="795"/>
      <c r="M17" s="795"/>
      <c r="N17" s="795"/>
      <c r="O17" s="795"/>
      <c r="P17" s="795"/>
    </row>
    <row r="18" spans="1:17" s="786" customFormat="1" ht="12.75" x14ac:dyDescent="0.2">
      <c r="A18" s="778" t="s">
        <v>260</v>
      </c>
      <c r="C18" s="787" t="s">
        <v>231</v>
      </c>
      <c r="D18" s="789"/>
      <c r="E18" s="789"/>
      <c r="F18" s="789"/>
      <c r="G18" s="789"/>
      <c r="H18" s="789"/>
      <c r="I18" s="789"/>
      <c r="J18" s="802"/>
      <c r="K18" s="789"/>
      <c r="L18" s="789"/>
      <c r="M18" s="789"/>
      <c r="N18" s="789"/>
      <c r="O18" s="789"/>
      <c r="P18" s="789"/>
      <c r="Q18" s="789"/>
    </row>
    <row r="19" spans="1:17" s="786" customFormat="1" ht="12.75" x14ac:dyDescent="0.2">
      <c r="A19" s="778"/>
      <c r="B19" s="786" t="s">
        <v>424</v>
      </c>
      <c r="C19" s="793"/>
      <c r="D19" s="803">
        <v>4.8320000000000002E-2</v>
      </c>
      <c r="E19" s="804">
        <f t="shared" ref="E19:I21" si="3">D19</f>
        <v>4.8320000000000002E-2</v>
      </c>
      <c r="F19" s="804">
        <f t="shared" si="3"/>
        <v>4.8320000000000002E-2</v>
      </c>
      <c r="G19" s="804">
        <f t="shared" si="3"/>
        <v>4.8320000000000002E-2</v>
      </c>
      <c r="H19" s="804">
        <f t="shared" si="3"/>
        <v>4.8320000000000002E-2</v>
      </c>
      <c r="I19" s="804">
        <f t="shared" si="3"/>
        <v>4.8320000000000002E-2</v>
      </c>
      <c r="J19" s="803">
        <v>5.0049999999999997E-2</v>
      </c>
      <c r="K19" s="804">
        <f t="shared" ref="K19:O21" si="4">J19</f>
        <v>5.0049999999999997E-2</v>
      </c>
      <c r="L19" s="804">
        <f t="shared" si="4"/>
        <v>5.0049999999999997E-2</v>
      </c>
      <c r="M19" s="804">
        <f t="shared" si="4"/>
        <v>5.0049999999999997E-2</v>
      </c>
      <c r="N19" s="804">
        <f t="shared" si="4"/>
        <v>5.0049999999999997E-2</v>
      </c>
      <c r="O19" s="804">
        <f t="shared" si="4"/>
        <v>5.0049999999999997E-2</v>
      </c>
      <c r="P19" s="789"/>
      <c r="Q19" s="789"/>
    </row>
    <row r="20" spans="1:17" s="786" customFormat="1" ht="12.75" x14ac:dyDescent="0.2">
      <c r="A20" s="778"/>
      <c r="B20" s="786" t="s">
        <v>565</v>
      </c>
      <c r="C20" s="793"/>
      <c r="D20" s="803">
        <v>-2.2000000000000001E-4</v>
      </c>
      <c r="E20" s="804">
        <f t="shared" si="3"/>
        <v>-2.2000000000000001E-4</v>
      </c>
      <c r="F20" s="804">
        <f t="shared" si="3"/>
        <v>-2.2000000000000001E-4</v>
      </c>
      <c r="G20" s="804">
        <f t="shared" si="3"/>
        <v>-2.2000000000000001E-4</v>
      </c>
      <c r="H20" s="804">
        <f t="shared" si="3"/>
        <v>-2.2000000000000001E-4</v>
      </c>
      <c r="I20" s="804">
        <f t="shared" si="3"/>
        <v>-2.2000000000000001E-4</v>
      </c>
      <c r="J20" s="803">
        <v>0</v>
      </c>
      <c r="K20" s="804">
        <f t="shared" si="4"/>
        <v>0</v>
      </c>
      <c r="L20" s="804">
        <f t="shared" si="4"/>
        <v>0</v>
      </c>
      <c r="M20" s="804">
        <f t="shared" si="4"/>
        <v>0</v>
      </c>
      <c r="N20" s="804">
        <f t="shared" si="4"/>
        <v>0</v>
      </c>
      <c r="O20" s="804">
        <f t="shared" si="4"/>
        <v>0</v>
      </c>
      <c r="P20" s="789"/>
      <c r="Q20" s="789"/>
    </row>
    <row r="21" spans="1:17" s="786" customFormat="1" ht="12.75" x14ac:dyDescent="0.2">
      <c r="A21" s="778"/>
      <c r="B21" s="786" t="s">
        <v>566</v>
      </c>
      <c r="C21" s="793"/>
      <c r="D21" s="805">
        <v>5.5300000000000002E-3</v>
      </c>
      <c r="E21" s="806">
        <f t="shared" si="3"/>
        <v>5.5300000000000002E-3</v>
      </c>
      <c r="F21" s="806">
        <f t="shared" si="3"/>
        <v>5.5300000000000002E-3</v>
      </c>
      <c r="G21" s="806">
        <f t="shared" si="3"/>
        <v>5.5300000000000002E-3</v>
      </c>
      <c r="H21" s="806">
        <f t="shared" si="3"/>
        <v>5.5300000000000002E-3</v>
      </c>
      <c r="I21" s="806">
        <f t="shared" si="3"/>
        <v>5.5300000000000002E-3</v>
      </c>
      <c r="J21" s="805">
        <v>0</v>
      </c>
      <c r="K21" s="807">
        <f>J21</f>
        <v>0</v>
      </c>
      <c r="L21" s="807">
        <f>K21</f>
        <v>0</v>
      </c>
      <c r="M21" s="807">
        <f t="shared" si="4"/>
        <v>0</v>
      </c>
      <c r="N21" s="807">
        <f t="shared" si="4"/>
        <v>0</v>
      </c>
      <c r="O21" s="807">
        <f t="shared" si="4"/>
        <v>0</v>
      </c>
      <c r="P21" s="789"/>
      <c r="Q21" s="789"/>
    </row>
    <row r="22" spans="1:17" s="786" customFormat="1" ht="12.75" x14ac:dyDescent="0.2">
      <c r="B22" s="778" t="s">
        <v>432</v>
      </c>
      <c r="C22" s="793"/>
      <c r="D22" s="804">
        <f t="shared" ref="D22:O22" si="5">SUM(D19:D21)</f>
        <v>5.3630000000000004E-2</v>
      </c>
      <c r="E22" s="804">
        <f t="shared" si="5"/>
        <v>5.3630000000000004E-2</v>
      </c>
      <c r="F22" s="804">
        <f t="shared" si="5"/>
        <v>5.3630000000000004E-2</v>
      </c>
      <c r="G22" s="804">
        <f t="shared" si="5"/>
        <v>5.3630000000000004E-2</v>
      </c>
      <c r="H22" s="804">
        <f t="shared" si="5"/>
        <v>5.3630000000000004E-2</v>
      </c>
      <c r="I22" s="804">
        <f t="shared" si="5"/>
        <v>5.3630000000000004E-2</v>
      </c>
      <c r="J22" s="804">
        <f t="shared" si="5"/>
        <v>5.0049999999999997E-2</v>
      </c>
      <c r="K22" s="804">
        <f t="shared" si="5"/>
        <v>5.0049999999999997E-2</v>
      </c>
      <c r="L22" s="804">
        <f t="shared" si="5"/>
        <v>5.0049999999999997E-2</v>
      </c>
      <c r="M22" s="804">
        <f t="shared" si="5"/>
        <v>5.0049999999999997E-2</v>
      </c>
      <c r="N22" s="804">
        <f t="shared" si="5"/>
        <v>5.0049999999999997E-2</v>
      </c>
      <c r="O22" s="804">
        <f t="shared" si="5"/>
        <v>5.0049999999999997E-2</v>
      </c>
      <c r="P22" s="789"/>
      <c r="Q22" s="789"/>
    </row>
    <row r="23" spans="1:17" s="786" customFormat="1" ht="12.75" x14ac:dyDescent="0.2">
      <c r="A23" s="778"/>
      <c r="C23" s="787"/>
      <c r="D23" s="789"/>
      <c r="E23" s="789"/>
      <c r="F23" s="789"/>
      <c r="G23" s="789"/>
      <c r="H23" s="789"/>
      <c r="I23" s="789"/>
      <c r="J23" s="802"/>
      <c r="K23" s="789"/>
      <c r="L23" s="789"/>
      <c r="M23" s="789"/>
      <c r="N23" s="789"/>
      <c r="O23" s="789"/>
      <c r="P23" s="789"/>
      <c r="Q23" s="789"/>
    </row>
    <row r="24" spans="1:17" s="786" customFormat="1" ht="12.75" x14ac:dyDescent="0.2">
      <c r="A24" s="778" t="s">
        <v>263</v>
      </c>
      <c r="C24" s="787" t="s">
        <v>232</v>
      </c>
      <c r="D24" s="789"/>
      <c r="E24" s="789"/>
      <c r="F24" s="789"/>
      <c r="G24" s="789"/>
      <c r="H24" s="789"/>
      <c r="I24" s="789"/>
      <c r="J24" s="802"/>
      <c r="K24" s="789"/>
      <c r="L24" s="789"/>
      <c r="M24" s="789"/>
      <c r="N24" s="789"/>
      <c r="O24" s="789"/>
      <c r="P24" s="789"/>
      <c r="Q24" s="789"/>
    </row>
    <row r="25" spans="1:17" s="786" customFormat="1" ht="12.75" x14ac:dyDescent="0.2">
      <c r="A25" s="778"/>
      <c r="B25" s="786" t="s">
        <v>424</v>
      </c>
      <c r="C25" s="793"/>
      <c r="D25" s="803">
        <v>1.9769999999999999E-2</v>
      </c>
      <c r="E25" s="804">
        <f t="shared" ref="E25:I27" si="6">D25</f>
        <v>1.9769999999999999E-2</v>
      </c>
      <c r="F25" s="804">
        <f t="shared" si="6"/>
        <v>1.9769999999999999E-2</v>
      </c>
      <c r="G25" s="804">
        <f t="shared" si="6"/>
        <v>1.9769999999999999E-2</v>
      </c>
      <c r="H25" s="804">
        <f t="shared" si="6"/>
        <v>1.9769999999999999E-2</v>
      </c>
      <c r="I25" s="804">
        <f t="shared" si="6"/>
        <v>1.9769999999999999E-2</v>
      </c>
      <c r="J25" s="803">
        <v>2.0250000000000001E-2</v>
      </c>
      <c r="K25" s="804">
        <f t="shared" ref="K25:O27" si="7">J25</f>
        <v>2.0250000000000001E-2</v>
      </c>
      <c r="L25" s="804">
        <f t="shared" si="7"/>
        <v>2.0250000000000001E-2</v>
      </c>
      <c r="M25" s="804">
        <f t="shared" si="7"/>
        <v>2.0250000000000001E-2</v>
      </c>
      <c r="N25" s="804">
        <f t="shared" si="7"/>
        <v>2.0250000000000001E-2</v>
      </c>
      <c r="O25" s="804">
        <f t="shared" si="7"/>
        <v>2.0250000000000001E-2</v>
      </c>
      <c r="P25" s="789"/>
      <c r="Q25" s="789"/>
    </row>
    <row r="26" spans="1:17" s="786" customFormat="1" ht="12.75" x14ac:dyDescent="0.2">
      <c r="A26" s="778"/>
      <c r="B26" s="786" t="s">
        <v>565</v>
      </c>
      <c r="C26" s="793"/>
      <c r="D26" s="803">
        <v>-1.2E-4</v>
      </c>
      <c r="E26" s="804">
        <f t="shared" si="6"/>
        <v>-1.2E-4</v>
      </c>
      <c r="F26" s="804">
        <f t="shared" si="6"/>
        <v>-1.2E-4</v>
      </c>
      <c r="G26" s="804">
        <f t="shared" si="6"/>
        <v>-1.2E-4</v>
      </c>
      <c r="H26" s="804">
        <f t="shared" si="6"/>
        <v>-1.2E-4</v>
      </c>
      <c r="I26" s="804">
        <f t="shared" si="6"/>
        <v>-1.2E-4</v>
      </c>
      <c r="J26" s="803">
        <v>0</v>
      </c>
      <c r="K26" s="804">
        <f t="shared" si="7"/>
        <v>0</v>
      </c>
      <c r="L26" s="804">
        <f t="shared" si="7"/>
        <v>0</v>
      </c>
      <c r="M26" s="804">
        <f t="shared" si="7"/>
        <v>0</v>
      </c>
      <c r="N26" s="804">
        <f t="shared" si="7"/>
        <v>0</v>
      </c>
      <c r="O26" s="804">
        <f t="shared" si="7"/>
        <v>0</v>
      </c>
      <c r="P26" s="789"/>
      <c r="Q26" s="789"/>
    </row>
    <row r="27" spans="1:17" s="786" customFormat="1" ht="12.75" x14ac:dyDescent="0.2">
      <c r="A27" s="778"/>
      <c r="B27" s="786" t="s">
        <v>566</v>
      </c>
      <c r="C27" s="793"/>
      <c r="D27" s="805">
        <v>2.2499999999999998E-3</v>
      </c>
      <c r="E27" s="807">
        <f t="shared" si="6"/>
        <v>2.2499999999999998E-3</v>
      </c>
      <c r="F27" s="807">
        <f t="shared" si="6"/>
        <v>2.2499999999999998E-3</v>
      </c>
      <c r="G27" s="807">
        <f t="shared" si="6"/>
        <v>2.2499999999999998E-3</v>
      </c>
      <c r="H27" s="807">
        <f t="shared" si="6"/>
        <v>2.2499999999999998E-3</v>
      </c>
      <c r="I27" s="807">
        <f t="shared" si="6"/>
        <v>2.2499999999999998E-3</v>
      </c>
      <c r="J27" s="805">
        <v>0</v>
      </c>
      <c r="K27" s="807">
        <f>J27</f>
        <v>0</v>
      </c>
      <c r="L27" s="807">
        <f>K27</f>
        <v>0</v>
      </c>
      <c r="M27" s="807">
        <f t="shared" si="7"/>
        <v>0</v>
      </c>
      <c r="N27" s="807">
        <f t="shared" si="7"/>
        <v>0</v>
      </c>
      <c r="O27" s="807">
        <f t="shared" si="7"/>
        <v>0</v>
      </c>
      <c r="P27" s="789"/>
      <c r="Q27" s="789"/>
    </row>
    <row r="28" spans="1:17" s="786" customFormat="1" ht="12.75" x14ac:dyDescent="0.2">
      <c r="B28" s="778" t="s">
        <v>432</v>
      </c>
      <c r="C28" s="793"/>
      <c r="D28" s="804">
        <f t="shared" ref="D28:O28" si="8">SUM(D25:D27)</f>
        <v>2.1899999999999999E-2</v>
      </c>
      <c r="E28" s="804">
        <f t="shared" si="8"/>
        <v>2.1899999999999999E-2</v>
      </c>
      <c r="F28" s="804">
        <f t="shared" si="8"/>
        <v>2.1899999999999999E-2</v>
      </c>
      <c r="G28" s="804">
        <f t="shared" si="8"/>
        <v>2.1899999999999999E-2</v>
      </c>
      <c r="H28" s="804">
        <f t="shared" si="8"/>
        <v>2.1899999999999999E-2</v>
      </c>
      <c r="I28" s="804">
        <f t="shared" si="8"/>
        <v>2.1899999999999999E-2</v>
      </c>
      <c r="J28" s="804">
        <f t="shared" si="8"/>
        <v>2.0250000000000001E-2</v>
      </c>
      <c r="K28" s="804">
        <f t="shared" si="8"/>
        <v>2.0250000000000001E-2</v>
      </c>
      <c r="L28" s="804">
        <f t="shared" si="8"/>
        <v>2.0250000000000001E-2</v>
      </c>
      <c r="M28" s="804">
        <f t="shared" si="8"/>
        <v>2.0250000000000001E-2</v>
      </c>
      <c r="N28" s="804">
        <f t="shared" si="8"/>
        <v>2.0250000000000001E-2</v>
      </c>
      <c r="O28" s="804">
        <f t="shared" si="8"/>
        <v>2.0250000000000001E-2</v>
      </c>
      <c r="P28" s="789"/>
      <c r="Q28" s="789"/>
    </row>
    <row r="29" spans="1:17" s="786" customFormat="1" ht="12.75" x14ac:dyDescent="0.2">
      <c r="A29" s="778"/>
      <c r="C29" s="787"/>
      <c r="D29" s="804"/>
      <c r="E29" s="804"/>
      <c r="F29" s="804"/>
      <c r="G29" s="804"/>
      <c r="H29" s="804"/>
      <c r="I29" s="804"/>
      <c r="J29" s="803"/>
      <c r="K29" s="804"/>
      <c r="L29" s="804"/>
      <c r="M29" s="804"/>
      <c r="N29" s="804"/>
      <c r="O29" s="804"/>
      <c r="P29" s="789"/>
      <c r="Q29" s="789"/>
    </row>
    <row r="30" spans="1:17" s="786" customFormat="1" ht="12.75" x14ac:dyDescent="0.2">
      <c r="A30" s="786" t="s">
        <v>103</v>
      </c>
      <c r="C30" s="786">
        <v>85</v>
      </c>
      <c r="D30" s="804"/>
      <c r="E30" s="804"/>
      <c r="F30" s="804"/>
      <c r="G30" s="804"/>
      <c r="H30" s="804"/>
      <c r="I30" s="804"/>
      <c r="J30" s="803"/>
      <c r="K30" s="804"/>
      <c r="L30" s="804"/>
      <c r="M30" s="804"/>
      <c r="N30" s="804"/>
      <c r="O30" s="804"/>
      <c r="P30" s="789"/>
      <c r="Q30" s="789"/>
    </row>
    <row r="31" spans="1:17" s="786" customFormat="1" ht="12.75" x14ac:dyDescent="0.2">
      <c r="A31" s="778"/>
      <c r="B31" s="786" t="s">
        <v>424</v>
      </c>
      <c r="C31" s="793"/>
      <c r="D31" s="803">
        <f>0.04832+0.00682</f>
        <v>5.5140000000000002E-2</v>
      </c>
      <c r="E31" s="804">
        <f t="shared" ref="E31:I33" si="9">D31</f>
        <v>5.5140000000000002E-2</v>
      </c>
      <c r="F31" s="804">
        <f t="shared" si="9"/>
        <v>5.5140000000000002E-2</v>
      </c>
      <c r="G31" s="804">
        <f t="shared" si="9"/>
        <v>5.5140000000000002E-2</v>
      </c>
      <c r="H31" s="804">
        <f t="shared" si="9"/>
        <v>5.5140000000000002E-2</v>
      </c>
      <c r="I31" s="804">
        <f t="shared" si="9"/>
        <v>5.5140000000000002E-2</v>
      </c>
      <c r="J31" s="803">
        <f>0.05005+0.00747</f>
        <v>5.7519999999999995E-2</v>
      </c>
      <c r="K31" s="804">
        <f t="shared" ref="K31:O33" si="10">J31</f>
        <v>5.7519999999999995E-2</v>
      </c>
      <c r="L31" s="804">
        <f t="shared" si="10"/>
        <v>5.7519999999999995E-2</v>
      </c>
      <c r="M31" s="804">
        <f t="shared" si="10"/>
        <v>5.7519999999999995E-2</v>
      </c>
      <c r="N31" s="804">
        <f t="shared" si="10"/>
        <v>5.7519999999999995E-2</v>
      </c>
      <c r="O31" s="804">
        <f t="shared" si="10"/>
        <v>5.7519999999999995E-2</v>
      </c>
      <c r="P31" s="789"/>
      <c r="Q31" s="789"/>
    </row>
    <row r="32" spans="1:17" s="786" customFormat="1" ht="12.75" x14ac:dyDescent="0.2">
      <c r="A32" s="778"/>
      <c r="B32" s="786" t="s">
        <v>565</v>
      </c>
      <c r="C32" s="793"/>
      <c r="D32" s="803">
        <f>-0.00022-0.00003</f>
        <v>-2.5000000000000001E-4</v>
      </c>
      <c r="E32" s="804">
        <f t="shared" si="9"/>
        <v>-2.5000000000000001E-4</v>
      </c>
      <c r="F32" s="804">
        <f t="shared" si="9"/>
        <v>-2.5000000000000001E-4</v>
      </c>
      <c r="G32" s="804">
        <f t="shared" si="9"/>
        <v>-2.5000000000000001E-4</v>
      </c>
      <c r="H32" s="804">
        <f t="shared" si="9"/>
        <v>-2.5000000000000001E-4</v>
      </c>
      <c r="I32" s="804">
        <f t="shared" si="9"/>
        <v>-2.5000000000000001E-4</v>
      </c>
      <c r="J32" s="803">
        <v>0</v>
      </c>
      <c r="K32" s="804">
        <f t="shared" si="10"/>
        <v>0</v>
      </c>
      <c r="L32" s="804">
        <f t="shared" si="10"/>
        <v>0</v>
      </c>
      <c r="M32" s="804">
        <f t="shared" si="10"/>
        <v>0</v>
      </c>
      <c r="N32" s="804">
        <f t="shared" si="10"/>
        <v>0</v>
      </c>
      <c r="O32" s="804">
        <f t="shared" si="10"/>
        <v>0</v>
      </c>
      <c r="P32" s="789"/>
      <c r="Q32" s="789"/>
    </row>
    <row r="33" spans="1:17" s="786" customFormat="1" ht="12.75" x14ac:dyDescent="0.2">
      <c r="A33" s="778"/>
      <c r="B33" s="786" t="s">
        <v>566</v>
      </c>
      <c r="C33" s="793"/>
      <c r="D33" s="805">
        <f>0.00553+0.00078</f>
        <v>6.3100000000000005E-3</v>
      </c>
      <c r="E33" s="807">
        <f t="shared" si="9"/>
        <v>6.3100000000000005E-3</v>
      </c>
      <c r="F33" s="807">
        <f t="shared" si="9"/>
        <v>6.3100000000000005E-3</v>
      </c>
      <c r="G33" s="807">
        <f t="shared" si="9"/>
        <v>6.3100000000000005E-3</v>
      </c>
      <c r="H33" s="807">
        <f t="shared" si="9"/>
        <v>6.3100000000000005E-3</v>
      </c>
      <c r="I33" s="807">
        <f t="shared" si="9"/>
        <v>6.3100000000000005E-3</v>
      </c>
      <c r="J33" s="805">
        <v>0</v>
      </c>
      <c r="K33" s="807">
        <f t="shared" si="10"/>
        <v>0</v>
      </c>
      <c r="L33" s="807">
        <f t="shared" si="10"/>
        <v>0</v>
      </c>
      <c r="M33" s="807">
        <f t="shared" si="10"/>
        <v>0</v>
      </c>
      <c r="N33" s="807">
        <f t="shared" si="10"/>
        <v>0</v>
      </c>
      <c r="O33" s="807">
        <f t="shared" si="10"/>
        <v>0</v>
      </c>
      <c r="P33" s="789"/>
      <c r="Q33" s="789"/>
    </row>
    <row r="34" spans="1:17" s="786" customFormat="1" ht="12.75" x14ac:dyDescent="0.2">
      <c r="B34" s="778" t="s">
        <v>432</v>
      </c>
      <c r="C34" s="793"/>
      <c r="D34" s="804">
        <f t="shared" ref="D34" si="11">SUM(D31:D33)</f>
        <v>6.1200000000000004E-2</v>
      </c>
      <c r="E34" s="804">
        <f t="shared" ref="E34:O34" si="12">SUM(E31:E33)</f>
        <v>6.1200000000000004E-2</v>
      </c>
      <c r="F34" s="804">
        <f t="shared" si="12"/>
        <v>6.1200000000000004E-2</v>
      </c>
      <c r="G34" s="804">
        <f t="shared" si="12"/>
        <v>6.1200000000000004E-2</v>
      </c>
      <c r="H34" s="804">
        <f t="shared" si="12"/>
        <v>6.1200000000000004E-2</v>
      </c>
      <c r="I34" s="804">
        <f t="shared" si="12"/>
        <v>6.1200000000000004E-2</v>
      </c>
      <c r="J34" s="804">
        <f t="shared" si="12"/>
        <v>5.7519999999999995E-2</v>
      </c>
      <c r="K34" s="804">
        <f t="shared" si="12"/>
        <v>5.7519999999999995E-2</v>
      </c>
      <c r="L34" s="804">
        <f t="shared" si="12"/>
        <v>5.7519999999999995E-2</v>
      </c>
      <c r="M34" s="804">
        <f t="shared" si="12"/>
        <v>5.7519999999999995E-2</v>
      </c>
      <c r="N34" s="804">
        <f t="shared" si="12"/>
        <v>5.7519999999999995E-2</v>
      </c>
      <c r="O34" s="804">
        <f t="shared" si="12"/>
        <v>5.7519999999999995E-2</v>
      </c>
      <c r="P34" s="789"/>
      <c r="Q34" s="789"/>
    </row>
    <row r="35" spans="1:17" s="786" customFormat="1" ht="12.75" x14ac:dyDescent="0.2">
      <c r="A35" s="778"/>
      <c r="C35" s="787"/>
      <c r="D35" s="804"/>
      <c r="E35" s="804"/>
      <c r="F35" s="804"/>
      <c r="G35" s="804"/>
      <c r="H35" s="804"/>
      <c r="I35" s="804"/>
      <c r="J35" s="803"/>
      <c r="K35" s="804"/>
      <c r="L35" s="804"/>
      <c r="M35" s="804"/>
      <c r="N35" s="804"/>
      <c r="O35" s="804"/>
      <c r="P35" s="789"/>
      <c r="Q35" s="789"/>
    </row>
    <row r="36" spans="1:17" s="786" customFormat="1" ht="12.75" x14ac:dyDescent="0.2">
      <c r="A36" s="786" t="s">
        <v>265</v>
      </c>
      <c r="C36" s="786">
        <v>87</v>
      </c>
      <c r="D36" s="804"/>
      <c r="E36" s="804"/>
      <c r="F36" s="804"/>
      <c r="G36" s="804"/>
      <c r="H36" s="804"/>
      <c r="I36" s="804"/>
      <c r="J36" s="803"/>
      <c r="K36" s="804"/>
      <c r="L36" s="804"/>
      <c r="M36" s="804"/>
      <c r="N36" s="804"/>
      <c r="O36" s="804"/>
      <c r="P36" s="789"/>
      <c r="Q36" s="789"/>
    </row>
    <row r="37" spans="1:17" s="786" customFormat="1" ht="12.75" x14ac:dyDescent="0.2">
      <c r="A37" s="778"/>
      <c r="B37" s="786" t="s">
        <v>424</v>
      </c>
      <c r="C37" s="793"/>
      <c r="D37" s="803">
        <f>0.01977+0.00539</f>
        <v>2.5159999999999998E-2</v>
      </c>
      <c r="E37" s="804">
        <f t="shared" ref="E37:I39" si="13">D37</f>
        <v>2.5159999999999998E-2</v>
      </c>
      <c r="F37" s="804">
        <f t="shared" si="13"/>
        <v>2.5159999999999998E-2</v>
      </c>
      <c r="G37" s="804">
        <f t="shared" si="13"/>
        <v>2.5159999999999998E-2</v>
      </c>
      <c r="H37" s="804">
        <f t="shared" si="13"/>
        <v>2.5159999999999998E-2</v>
      </c>
      <c r="I37" s="804">
        <f t="shared" si="13"/>
        <v>2.5159999999999998E-2</v>
      </c>
      <c r="J37" s="803">
        <f>0.02025+0.00594</f>
        <v>2.6190000000000001E-2</v>
      </c>
      <c r="K37" s="804">
        <f t="shared" ref="K37:O39" si="14">J37</f>
        <v>2.6190000000000001E-2</v>
      </c>
      <c r="L37" s="804">
        <f t="shared" si="14"/>
        <v>2.6190000000000001E-2</v>
      </c>
      <c r="M37" s="804">
        <f t="shared" si="14"/>
        <v>2.6190000000000001E-2</v>
      </c>
      <c r="N37" s="804">
        <f t="shared" si="14"/>
        <v>2.6190000000000001E-2</v>
      </c>
      <c r="O37" s="804">
        <f t="shared" si="14"/>
        <v>2.6190000000000001E-2</v>
      </c>
      <c r="P37" s="789"/>
      <c r="Q37" s="789"/>
    </row>
    <row r="38" spans="1:17" s="786" customFormat="1" ht="12.75" x14ac:dyDescent="0.2">
      <c r="A38" s="778"/>
      <c r="B38" s="786" t="s">
        <v>565</v>
      </c>
      <c r="C38" s="793"/>
      <c r="D38" s="803">
        <f>-0.00012-0.00003</f>
        <v>-1.5000000000000001E-4</v>
      </c>
      <c r="E38" s="804">
        <f t="shared" si="13"/>
        <v>-1.5000000000000001E-4</v>
      </c>
      <c r="F38" s="804">
        <f t="shared" si="13"/>
        <v>-1.5000000000000001E-4</v>
      </c>
      <c r="G38" s="804">
        <f t="shared" si="13"/>
        <v>-1.5000000000000001E-4</v>
      </c>
      <c r="H38" s="804">
        <f t="shared" si="13"/>
        <v>-1.5000000000000001E-4</v>
      </c>
      <c r="I38" s="804">
        <f t="shared" si="13"/>
        <v>-1.5000000000000001E-4</v>
      </c>
      <c r="J38" s="803">
        <v>0</v>
      </c>
      <c r="K38" s="804">
        <f t="shared" si="14"/>
        <v>0</v>
      </c>
      <c r="L38" s="804">
        <f t="shared" si="14"/>
        <v>0</v>
      </c>
      <c r="M38" s="804">
        <f t="shared" si="14"/>
        <v>0</v>
      </c>
      <c r="N38" s="804">
        <f t="shared" si="14"/>
        <v>0</v>
      </c>
      <c r="O38" s="804">
        <f t="shared" si="14"/>
        <v>0</v>
      </c>
      <c r="P38" s="789"/>
      <c r="Q38" s="789"/>
    </row>
    <row r="39" spans="1:17" s="786" customFormat="1" ht="12.75" x14ac:dyDescent="0.2">
      <c r="A39" s="778"/>
      <c r="B39" s="786" t="s">
        <v>566</v>
      </c>
      <c r="C39" s="793"/>
      <c r="D39" s="805">
        <f>0.00225+0.00062</f>
        <v>2.8699999999999997E-3</v>
      </c>
      <c r="E39" s="807">
        <f t="shared" si="13"/>
        <v>2.8699999999999997E-3</v>
      </c>
      <c r="F39" s="807">
        <f t="shared" si="13"/>
        <v>2.8699999999999997E-3</v>
      </c>
      <c r="G39" s="807">
        <f t="shared" si="13"/>
        <v>2.8699999999999997E-3</v>
      </c>
      <c r="H39" s="807">
        <f t="shared" si="13"/>
        <v>2.8699999999999997E-3</v>
      </c>
      <c r="I39" s="807">
        <f t="shared" si="13"/>
        <v>2.8699999999999997E-3</v>
      </c>
      <c r="J39" s="805">
        <v>0</v>
      </c>
      <c r="K39" s="807">
        <f t="shared" si="14"/>
        <v>0</v>
      </c>
      <c r="L39" s="807">
        <f t="shared" si="14"/>
        <v>0</v>
      </c>
      <c r="M39" s="807">
        <f t="shared" si="14"/>
        <v>0</v>
      </c>
      <c r="N39" s="807">
        <f t="shared" si="14"/>
        <v>0</v>
      </c>
      <c r="O39" s="807">
        <f t="shared" si="14"/>
        <v>0</v>
      </c>
      <c r="P39" s="789"/>
      <c r="Q39" s="789"/>
    </row>
    <row r="40" spans="1:17" s="786" customFormat="1" ht="12.75" x14ac:dyDescent="0.2">
      <c r="B40" s="778" t="s">
        <v>432</v>
      </c>
      <c r="C40" s="793"/>
      <c r="D40" s="804">
        <f t="shared" ref="D40" si="15">SUM(D37:D39)</f>
        <v>2.7879999999999999E-2</v>
      </c>
      <c r="E40" s="804">
        <f t="shared" ref="E40:O40" si="16">SUM(E37:E39)</f>
        <v>2.7879999999999999E-2</v>
      </c>
      <c r="F40" s="804">
        <f t="shared" si="16"/>
        <v>2.7879999999999999E-2</v>
      </c>
      <c r="G40" s="804">
        <f t="shared" si="16"/>
        <v>2.7879999999999999E-2</v>
      </c>
      <c r="H40" s="804">
        <f t="shared" si="16"/>
        <v>2.7879999999999999E-2</v>
      </c>
      <c r="I40" s="804">
        <f t="shared" si="16"/>
        <v>2.7879999999999999E-2</v>
      </c>
      <c r="J40" s="804">
        <f t="shared" si="16"/>
        <v>2.6190000000000001E-2</v>
      </c>
      <c r="K40" s="804">
        <f t="shared" si="16"/>
        <v>2.6190000000000001E-2</v>
      </c>
      <c r="L40" s="804">
        <f t="shared" si="16"/>
        <v>2.6190000000000001E-2</v>
      </c>
      <c r="M40" s="804">
        <f t="shared" si="16"/>
        <v>2.6190000000000001E-2</v>
      </c>
      <c r="N40" s="804">
        <f t="shared" si="16"/>
        <v>2.6190000000000001E-2</v>
      </c>
      <c r="O40" s="804">
        <f t="shared" si="16"/>
        <v>2.6190000000000001E-2</v>
      </c>
      <c r="P40" s="789"/>
      <c r="Q40" s="789"/>
    </row>
    <row r="41" spans="1:17" s="786" customFormat="1" ht="12.75" x14ac:dyDescent="0.2">
      <c r="A41" s="778"/>
      <c r="C41" s="787"/>
      <c r="D41" s="804"/>
      <c r="E41" s="804"/>
      <c r="F41" s="804"/>
      <c r="G41" s="804"/>
      <c r="H41" s="804"/>
      <c r="I41" s="804"/>
      <c r="J41" s="803"/>
      <c r="K41" s="804"/>
      <c r="L41" s="804"/>
      <c r="M41" s="804"/>
      <c r="N41" s="804"/>
      <c r="O41" s="804"/>
      <c r="P41" s="789"/>
      <c r="Q41" s="789"/>
    </row>
    <row r="42" spans="1:17" s="786" customFormat="1" x14ac:dyDescent="0.25">
      <c r="A42" s="904"/>
      <c r="B42" s="905"/>
      <c r="C42" s="906"/>
      <c r="D42" s="907"/>
      <c r="E42" s="907"/>
      <c r="F42" s="907"/>
      <c r="G42" s="907"/>
      <c r="H42" s="907"/>
      <c r="I42" s="907"/>
      <c r="J42" s="907"/>
      <c r="K42" s="907"/>
      <c r="L42" s="907"/>
      <c r="M42" s="907"/>
      <c r="N42" s="907"/>
      <c r="O42" s="908"/>
      <c r="P42" s="789"/>
      <c r="Q42" s="789"/>
    </row>
    <row r="43" spans="1:17" s="786" customFormat="1" ht="12.75" x14ac:dyDescent="0.2">
      <c r="A43" s="909"/>
      <c r="B43" s="910"/>
      <c r="C43" s="911"/>
      <c r="D43" s="912"/>
      <c r="E43" s="913"/>
      <c r="F43" s="913"/>
      <c r="G43" s="913"/>
      <c r="H43" s="913"/>
      <c r="I43" s="913"/>
      <c r="J43" s="913"/>
      <c r="K43" s="913"/>
      <c r="L43" s="913"/>
      <c r="M43" s="913"/>
      <c r="N43" s="913"/>
      <c r="O43" s="914"/>
      <c r="P43" s="789"/>
      <c r="Q43" s="789"/>
    </row>
    <row r="44" spans="1:17" s="786" customFormat="1" ht="20.25" x14ac:dyDescent="0.3">
      <c r="A44" s="909"/>
      <c r="B44" s="910"/>
      <c r="C44" s="911"/>
      <c r="D44" s="912"/>
      <c r="E44" s="913"/>
      <c r="F44" s="913"/>
      <c r="G44" s="923" t="s">
        <v>600</v>
      </c>
      <c r="H44" s="913"/>
      <c r="I44" s="913"/>
      <c r="J44" s="913"/>
      <c r="K44" s="913"/>
      <c r="L44" s="913"/>
      <c r="M44" s="913"/>
      <c r="N44" s="913"/>
      <c r="O44" s="914"/>
      <c r="P44" s="789"/>
      <c r="Q44" s="789"/>
    </row>
    <row r="45" spans="1:17" s="786" customFormat="1" ht="12.75" x14ac:dyDescent="0.2">
      <c r="A45" s="909"/>
      <c r="B45" s="910"/>
      <c r="C45" s="911"/>
      <c r="D45" s="915"/>
      <c r="E45" s="916"/>
      <c r="F45" s="916"/>
      <c r="G45" s="916"/>
      <c r="H45" s="916"/>
      <c r="I45" s="916"/>
      <c r="J45" s="916"/>
      <c r="K45" s="916"/>
      <c r="L45" s="916"/>
      <c r="M45" s="916"/>
      <c r="N45" s="916"/>
      <c r="O45" s="917"/>
      <c r="P45" s="789"/>
      <c r="Q45" s="789"/>
    </row>
    <row r="46" spans="1:17" s="786" customFormat="1" ht="12.75" x14ac:dyDescent="0.2">
      <c r="A46" s="918"/>
      <c r="B46" s="919"/>
      <c r="C46" s="920"/>
      <c r="D46" s="921"/>
      <c r="E46" s="921"/>
      <c r="F46" s="921"/>
      <c r="G46" s="921"/>
      <c r="H46" s="921"/>
      <c r="I46" s="921"/>
      <c r="J46" s="921"/>
      <c r="K46" s="921"/>
      <c r="L46" s="921"/>
      <c r="M46" s="921"/>
      <c r="N46" s="921"/>
      <c r="O46" s="922"/>
      <c r="P46" s="789"/>
      <c r="Q46" s="789"/>
    </row>
    <row r="47" spans="1:17" s="786" customFormat="1" ht="12.75" x14ac:dyDescent="0.2">
      <c r="A47" s="778"/>
      <c r="C47" s="787"/>
      <c r="D47" s="789"/>
      <c r="E47" s="789"/>
      <c r="F47" s="789"/>
      <c r="G47" s="789"/>
      <c r="H47" s="789"/>
      <c r="I47" s="789"/>
      <c r="J47" s="802"/>
      <c r="K47" s="789"/>
      <c r="L47" s="789"/>
      <c r="M47" s="789"/>
      <c r="N47" s="789"/>
      <c r="O47" s="789"/>
      <c r="P47" s="789"/>
      <c r="Q47" s="789"/>
    </row>
    <row r="48" spans="1:17" x14ac:dyDescent="0.25">
      <c r="A48" s="783" t="s">
        <v>567</v>
      </c>
      <c r="B48" s="795"/>
      <c r="C48" s="795"/>
      <c r="D48" s="795"/>
      <c r="E48" s="795"/>
      <c r="F48" s="795"/>
      <c r="G48" s="795"/>
      <c r="H48" s="795"/>
      <c r="I48" s="795"/>
      <c r="J48" s="795"/>
      <c r="K48" s="795"/>
      <c r="L48" s="795"/>
      <c r="M48" s="795"/>
      <c r="N48" s="795"/>
      <c r="O48" s="795"/>
      <c r="P48" s="795"/>
    </row>
    <row r="49" spans="1:17" s="786" customFormat="1" ht="12.75" x14ac:dyDescent="0.2">
      <c r="A49" s="778" t="s">
        <v>260</v>
      </c>
      <c r="C49" s="787" t="s">
        <v>231</v>
      </c>
      <c r="D49" s="808">
        <f t="shared" ref="D49:O49" si="17">D9*D22</f>
        <v>0</v>
      </c>
      <c r="E49" s="808">
        <f t="shared" si="17"/>
        <v>0</v>
      </c>
      <c r="F49" s="808">
        <f t="shared" si="17"/>
        <v>0</v>
      </c>
      <c r="G49" s="808">
        <f t="shared" si="17"/>
        <v>-86.237040000000007</v>
      </c>
      <c r="H49" s="808">
        <f t="shared" si="17"/>
        <v>983.25242000000003</v>
      </c>
      <c r="I49" s="808">
        <f t="shared" si="17"/>
        <v>-1144.3569400000001</v>
      </c>
      <c r="J49" s="808">
        <f t="shared" si="17"/>
        <v>4793.4386500000001</v>
      </c>
      <c r="K49" s="808">
        <f>K9*K22</f>
        <v>-2026.9749499999998</v>
      </c>
      <c r="L49" s="808">
        <f t="shared" si="17"/>
        <v>80.730649999999997</v>
      </c>
      <c r="M49" s="808">
        <f t="shared" si="17"/>
        <v>1046.2451999999998</v>
      </c>
      <c r="N49" s="808">
        <f t="shared" si="17"/>
        <v>3119.6164999999996</v>
      </c>
      <c r="O49" s="808">
        <f t="shared" si="17"/>
        <v>927.77684999999997</v>
      </c>
      <c r="P49" s="808">
        <f>SUM(SUMIF(D49:O49,{"&lt;0","&gt;0"}))</f>
        <v>7693.4913400000005</v>
      </c>
      <c r="Q49" s="789"/>
    </row>
    <row r="50" spans="1:17" s="786" customFormat="1" ht="12.75" x14ac:dyDescent="0.2">
      <c r="A50" s="778" t="s">
        <v>263</v>
      </c>
      <c r="C50" s="787" t="s">
        <v>232</v>
      </c>
      <c r="D50" s="808">
        <f t="shared" ref="D50:O50" si="18">D10*D28</f>
        <v>0</v>
      </c>
      <c r="E50" s="808">
        <f t="shared" si="18"/>
        <v>0</v>
      </c>
      <c r="F50" s="808">
        <f t="shared" si="18"/>
        <v>0</v>
      </c>
      <c r="G50" s="808">
        <f t="shared" si="18"/>
        <v>-48.18</v>
      </c>
      <c r="H50" s="808">
        <f t="shared" si="18"/>
        <v>719.69970000000001</v>
      </c>
      <c r="I50" s="808">
        <f t="shared" si="18"/>
        <v>-827.73239999999998</v>
      </c>
      <c r="J50" s="808">
        <f t="shared" si="18"/>
        <v>3399.1042500000003</v>
      </c>
      <c r="K50" s="808">
        <f t="shared" si="18"/>
        <v>-1822.19625</v>
      </c>
      <c r="L50" s="808">
        <f t="shared" si="18"/>
        <v>55.667250000000003</v>
      </c>
      <c r="M50" s="808">
        <f t="shared" si="18"/>
        <v>752.30775000000006</v>
      </c>
      <c r="N50" s="808">
        <f t="shared" si="18"/>
        <v>2219.1165000000001</v>
      </c>
      <c r="O50" s="808">
        <f t="shared" si="18"/>
        <v>505.17675000000003</v>
      </c>
      <c r="P50" s="808">
        <f>SUM(SUMIF(D50:O50,{"&lt;0","&gt;0"}))</f>
        <v>4952.9635500000004</v>
      </c>
      <c r="Q50" s="789"/>
    </row>
    <row r="51" spans="1:17" s="786" customFormat="1" ht="12.75" x14ac:dyDescent="0.2">
      <c r="A51" s="786" t="s">
        <v>103</v>
      </c>
      <c r="C51" s="786">
        <v>85</v>
      </c>
      <c r="D51" s="808">
        <f t="shared" ref="D51:O51" si="19">D11*D34</f>
        <v>0</v>
      </c>
      <c r="E51" s="808">
        <f t="shared" si="19"/>
        <v>0</v>
      </c>
      <c r="F51" s="808">
        <f t="shared" si="19"/>
        <v>0</v>
      </c>
      <c r="G51" s="808">
        <f t="shared" si="19"/>
        <v>-72.154800000000009</v>
      </c>
      <c r="H51" s="808">
        <f t="shared" si="19"/>
        <v>194.00400000000002</v>
      </c>
      <c r="I51" s="808">
        <f t="shared" si="19"/>
        <v>0</v>
      </c>
      <c r="J51" s="808">
        <f t="shared" si="19"/>
        <v>4044.1736799999994</v>
      </c>
      <c r="K51" s="808">
        <f t="shared" si="19"/>
        <v>-2493.89464</v>
      </c>
      <c r="L51" s="808">
        <f t="shared" si="19"/>
        <v>99.624639999999985</v>
      </c>
      <c r="M51" s="808">
        <f t="shared" si="19"/>
        <v>408.85215999999997</v>
      </c>
      <c r="N51" s="808">
        <f t="shared" si="19"/>
        <v>0</v>
      </c>
      <c r="O51" s="808">
        <f t="shared" si="19"/>
        <v>0</v>
      </c>
      <c r="P51" s="808">
        <f>SUM(SUMIF(D51:O51,{"&lt;0","&gt;0"}))</f>
        <v>2180.6050400000004</v>
      </c>
      <c r="Q51" s="789"/>
    </row>
    <row r="52" spans="1:17" s="786" customFormat="1" ht="12.75" x14ac:dyDescent="0.2">
      <c r="A52" s="786" t="s">
        <v>265</v>
      </c>
      <c r="C52" s="786">
        <v>87</v>
      </c>
      <c r="D52" s="808">
        <f t="shared" ref="D52:O52" si="20">D12*D40</f>
        <v>0</v>
      </c>
      <c r="E52" s="808">
        <f t="shared" si="20"/>
        <v>0</v>
      </c>
      <c r="F52" s="808">
        <f t="shared" si="20"/>
        <v>0</v>
      </c>
      <c r="G52" s="808">
        <f t="shared" si="20"/>
        <v>-40.816319999999997</v>
      </c>
      <c r="H52" s="808">
        <f t="shared" si="20"/>
        <v>116.51052</v>
      </c>
      <c r="I52" s="808">
        <f t="shared" si="20"/>
        <v>0</v>
      </c>
      <c r="J52" s="808">
        <f t="shared" si="20"/>
        <v>2462.4361800000001</v>
      </c>
      <c r="K52" s="808">
        <f t="shared" si="20"/>
        <v>-1366.4894400000001</v>
      </c>
      <c r="L52" s="808">
        <f t="shared" si="20"/>
        <v>54.370440000000002</v>
      </c>
      <c r="M52" s="808">
        <f t="shared" si="20"/>
        <v>220.49361000000002</v>
      </c>
      <c r="N52" s="808">
        <f t="shared" si="20"/>
        <v>0</v>
      </c>
      <c r="O52" s="808">
        <f t="shared" si="20"/>
        <v>0</v>
      </c>
      <c r="P52" s="808">
        <f>SUM(SUMIF(D52:O52,{"&lt;0","&gt;0"}))</f>
        <v>1446.5049900000001</v>
      </c>
      <c r="Q52" s="789"/>
    </row>
    <row r="53" spans="1:17" s="786" customFormat="1" ht="12.75" x14ac:dyDescent="0.2">
      <c r="A53" s="791" t="s">
        <v>270</v>
      </c>
      <c r="C53" s="793" t="s">
        <v>346</v>
      </c>
      <c r="D53" s="809">
        <v>0</v>
      </c>
      <c r="E53" s="809">
        <v>0</v>
      </c>
      <c r="F53" s="809">
        <v>1103.1695299999999</v>
      </c>
      <c r="G53" s="809">
        <v>-67.002799999999993</v>
      </c>
      <c r="H53" s="809">
        <v>777.50434999999982</v>
      </c>
      <c r="I53" s="809">
        <v>-733.70696999999984</v>
      </c>
      <c r="J53" s="809">
        <v>3703.4703999999997</v>
      </c>
      <c r="K53" s="809">
        <v>-2229.1821199999999</v>
      </c>
      <c r="L53" s="809">
        <v>66.746079999999992</v>
      </c>
      <c r="M53" s="809">
        <v>989.34304999999983</v>
      </c>
      <c r="N53" s="809">
        <v>2614.5037799999996</v>
      </c>
      <c r="O53" s="809">
        <v>784.48267999999996</v>
      </c>
      <c r="P53" s="809">
        <f>SUM(SUMIF(D53:O53,{"&lt;0","&gt;0"}))</f>
        <v>7009.3279799999973</v>
      </c>
      <c r="Q53" s="789"/>
    </row>
    <row r="54" spans="1:17" x14ac:dyDescent="0.25">
      <c r="A54" s="795"/>
      <c r="B54" s="795" t="s">
        <v>113</v>
      </c>
      <c r="C54" s="795"/>
      <c r="D54" s="810">
        <f t="shared" ref="D54:O54" si="21">SUM(D49:D53)</f>
        <v>0</v>
      </c>
      <c r="E54" s="810">
        <f t="shared" si="21"/>
        <v>0</v>
      </c>
      <c r="F54" s="810">
        <f t="shared" si="21"/>
        <v>1103.1695299999999</v>
      </c>
      <c r="G54" s="810">
        <f t="shared" si="21"/>
        <v>-314.39096000000001</v>
      </c>
      <c r="H54" s="810">
        <f t="shared" si="21"/>
        <v>2790.9709899999998</v>
      </c>
      <c r="I54" s="810">
        <f t="shared" si="21"/>
        <v>-2705.7963099999997</v>
      </c>
      <c r="J54" s="810">
        <f t="shared" si="21"/>
        <v>18402.623159999999</v>
      </c>
      <c r="K54" s="810">
        <f t="shared" si="21"/>
        <v>-9938.7374</v>
      </c>
      <c r="L54" s="810">
        <f t="shared" si="21"/>
        <v>357.13905999999997</v>
      </c>
      <c r="M54" s="810">
        <f t="shared" si="21"/>
        <v>3417.2417699999996</v>
      </c>
      <c r="N54" s="810">
        <f t="shared" si="21"/>
        <v>7953.2367799999993</v>
      </c>
      <c r="O54" s="810">
        <f t="shared" si="21"/>
        <v>2217.4362799999999</v>
      </c>
      <c r="P54" s="816">
        <f>SUM(SUMIF(D54:O54,{"&lt;0","&gt;0"}))</f>
        <v>23282.892900000006</v>
      </c>
    </row>
    <row r="55" spans="1:17" x14ac:dyDescent="0.25">
      <c r="B55" s="811"/>
      <c r="C55" s="811"/>
      <c r="D55" s="812"/>
      <c r="E55" s="812"/>
      <c r="F55" s="812"/>
      <c r="G55" s="812"/>
      <c r="H55" s="812"/>
      <c r="I55" s="812"/>
      <c r="J55" s="812"/>
      <c r="K55" s="812"/>
      <c r="L55" s="812"/>
      <c r="M55" s="812"/>
      <c r="N55" s="812"/>
      <c r="O55" s="812"/>
      <c r="P55" s="812"/>
    </row>
    <row r="56" spans="1:17" ht="18.75" x14ac:dyDescent="0.3">
      <c r="B56" s="814" t="s">
        <v>591</v>
      </c>
      <c r="D56" s="813"/>
      <c r="E56" s="813"/>
      <c r="F56" s="813"/>
      <c r="G56" s="813"/>
      <c r="H56" s="813"/>
      <c r="I56" s="813"/>
    </row>
    <row r="57" spans="1:17" x14ac:dyDescent="0.25">
      <c r="C57" s="815"/>
    </row>
  </sheetData>
  <mergeCells count="4">
    <mergeCell ref="A1:P1"/>
    <mergeCell ref="A2:P2"/>
    <mergeCell ref="A4:P4"/>
    <mergeCell ref="A3:P3"/>
  </mergeCells>
  <pageMargins left="0.7" right="0.7" top="0.75" bottom="0.75" header="0.3" footer="0.3"/>
  <pageSetup scale="62" orientation="landscape" r:id="rId1"/>
  <headerFooter>
    <oddFooter>&amp;L&amp;F
&amp;A&amp;C&amp;P&amp;R&amp;D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J61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F16" sqref="F16"/>
    </sheetView>
  </sheetViews>
  <sheetFormatPr defaultColWidth="9.140625" defaultRowHeight="12.75" outlineLevelCol="1" x14ac:dyDescent="0.2"/>
  <cols>
    <col min="1" max="1" width="7.42578125" style="818" customWidth="1"/>
    <col min="2" max="2" width="6.28515625" style="818" bestFit="1" customWidth="1"/>
    <col min="3" max="3" width="2.7109375" style="818" customWidth="1"/>
    <col min="4" max="4" width="13.7109375" style="818" bestFit="1" customWidth="1"/>
    <col min="5" max="5" width="11" style="818" customWidth="1"/>
    <col min="6" max="6" width="13.5703125" style="818" bestFit="1" customWidth="1"/>
    <col min="7" max="7" width="2.7109375" style="818" customWidth="1"/>
    <col min="8" max="8" width="11.140625" style="818" bestFit="1" customWidth="1"/>
    <col min="9" max="10" width="10" style="818" customWidth="1"/>
    <col min="11" max="11" width="2.7109375" style="818" customWidth="1"/>
    <col min="12" max="12" width="10.28515625" style="818" bestFit="1" customWidth="1"/>
    <col min="13" max="13" width="11.42578125" style="818" bestFit="1" customWidth="1"/>
    <col min="14" max="14" width="10.28515625" style="818" bestFit="1" customWidth="1"/>
    <col min="15" max="15" width="2.7109375" style="818" customWidth="1"/>
    <col min="16" max="16" width="7.5703125" style="818" bestFit="1" customWidth="1"/>
    <col min="17" max="17" width="6.5703125" style="818" customWidth="1" outlineLevel="1"/>
    <col min="18" max="18" width="9" style="818" customWidth="1" outlineLevel="1"/>
    <col min="19" max="19" width="2.7109375" style="818" customWidth="1" outlineLevel="1"/>
    <col min="20" max="20" width="7.7109375" style="818" customWidth="1" outlineLevel="1"/>
    <col min="21" max="21" width="11.42578125" style="818" customWidth="1" outlineLevel="1"/>
    <col min="22" max="22" width="11" style="818" bestFit="1" customWidth="1" outlineLevel="1"/>
    <col min="23" max="23" width="2.7109375" style="818" customWidth="1" outlineLevel="1"/>
    <col min="24" max="24" width="5.7109375" style="818" customWidth="1" outlineLevel="1"/>
    <col min="25" max="25" width="11.42578125" style="818" customWidth="1" outlineLevel="1"/>
    <col min="26" max="26" width="8.85546875" style="818" customWidth="1" outlineLevel="1"/>
    <col min="27" max="27" width="2.7109375" style="818" customWidth="1"/>
    <col min="28" max="28" width="6.85546875" style="818" bestFit="1" customWidth="1"/>
    <col min="29" max="29" width="6.5703125" style="818" customWidth="1" outlineLevel="1"/>
    <col min="30" max="30" width="9" style="818" customWidth="1" outlineLevel="1"/>
    <col min="31" max="31" width="2.7109375" style="818" customWidth="1" outlineLevel="1"/>
    <col min="32" max="32" width="9.7109375" style="818" customWidth="1" outlineLevel="1"/>
    <col min="33" max="33" width="2.7109375" style="818" customWidth="1" outlineLevel="1"/>
    <col min="34" max="34" width="17.42578125" style="818" customWidth="1" outlineLevel="1"/>
    <col min="35" max="35" width="2.7109375" style="818" customWidth="1"/>
    <col min="36" max="36" width="4.7109375" style="818" bestFit="1" customWidth="1"/>
    <col min="37" max="37" width="11.42578125" style="818" bestFit="1" customWidth="1"/>
    <col min="38" max="38" width="8.85546875" style="818" bestFit="1" customWidth="1"/>
    <col min="39" max="39" width="2.7109375" style="818" customWidth="1"/>
    <col min="40" max="40" width="10.28515625" style="818" bestFit="1" customWidth="1"/>
    <col min="41" max="41" width="12.28515625" style="818" bestFit="1" customWidth="1"/>
    <col min="42" max="42" width="13.85546875" style="818" bestFit="1" customWidth="1"/>
    <col min="43" max="43" width="2.7109375" style="818" customWidth="1"/>
    <col min="44" max="44" width="12.28515625" style="818" bestFit="1" customWidth="1"/>
    <col min="45" max="45" width="11" style="818" customWidth="1"/>
    <col min="46" max="46" width="12.28515625" style="818" bestFit="1" customWidth="1"/>
    <col min="47" max="47" width="2.7109375" style="818" customWidth="1"/>
    <col min="48" max="48" width="11.7109375" style="818" bestFit="1" customWidth="1"/>
    <col min="49" max="49" width="11.42578125" style="818" bestFit="1" customWidth="1"/>
    <col min="50" max="50" width="10.7109375" style="818" bestFit="1" customWidth="1"/>
    <col min="51" max="51" width="2.7109375" style="818" customWidth="1"/>
    <col min="52" max="52" width="9.28515625" style="818" bestFit="1" customWidth="1"/>
    <col min="53" max="54" width="9.28515625" style="818" customWidth="1"/>
    <col min="55" max="55" width="2.7109375" style="818" customWidth="1"/>
    <col min="56" max="58" width="10.7109375" style="818" customWidth="1"/>
    <col min="59" max="59" width="2.7109375" style="818" customWidth="1"/>
    <col min="60" max="60" width="14.28515625" style="818" customWidth="1"/>
    <col min="61" max="61" width="2.7109375" style="818" customWidth="1"/>
    <col min="62" max="62" width="9.5703125" style="818" bestFit="1" customWidth="1"/>
    <col min="63" max="16384" width="9.140625" style="818"/>
  </cols>
  <sheetData>
    <row r="1" spans="1:62" ht="18.75" x14ac:dyDescent="0.3">
      <c r="A1" s="817" t="s">
        <v>570</v>
      </c>
    </row>
    <row r="3" spans="1:62" x14ac:dyDescent="0.2">
      <c r="D3" s="851" t="s">
        <v>571</v>
      </c>
      <c r="E3" s="851"/>
      <c r="F3" s="851"/>
      <c r="G3" s="851"/>
      <c r="H3" s="851"/>
      <c r="I3" s="851"/>
      <c r="J3" s="851"/>
      <c r="K3" s="851"/>
      <c r="L3" s="851"/>
      <c r="M3" s="851"/>
      <c r="N3" s="851"/>
      <c r="P3" s="851" t="s">
        <v>572</v>
      </c>
      <c r="Q3" s="851"/>
      <c r="R3" s="851"/>
      <c r="S3" s="851"/>
      <c r="T3" s="851"/>
      <c r="U3" s="851"/>
      <c r="V3" s="851"/>
      <c r="W3" s="851"/>
      <c r="X3" s="851"/>
      <c r="Y3" s="851"/>
      <c r="Z3" s="851"/>
      <c r="AB3" s="851" t="s">
        <v>573</v>
      </c>
      <c r="AC3" s="851"/>
      <c r="AD3" s="851"/>
      <c r="AE3" s="851"/>
      <c r="AF3" s="851"/>
      <c r="AG3" s="851"/>
      <c r="AH3" s="851"/>
      <c r="AJ3" s="852" t="s">
        <v>113</v>
      </c>
      <c r="AK3" s="852"/>
      <c r="AL3" s="852"/>
      <c r="AN3" s="851" t="s">
        <v>343</v>
      </c>
      <c r="AO3" s="851"/>
      <c r="AP3" s="851"/>
      <c r="AQ3" s="851"/>
      <c r="AR3" s="851"/>
      <c r="AS3" s="851"/>
      <c r="AT3" s="851"/>
      <c r="AV3" s="851" t="s">
        <v>574</v>
      </c>
      <c r="AW3" s="851"/>
      <c r="AX3" s="851"/>
      <c r="AY3" s="851"/>
      <c r="AZ3" s="851"/>
      <c r="BA3" s="851"/>
      <c r="BB3" s="851"/>
      <c r="BG3" s="819"/>
      <c r="BH3" s="819"/>
    </row>
    <row r="4" spans="1:62" x14ac:dyDescent="0.2">
      <c r="D4" s="851" t="s">
        <v>575</v>
      </c>
      <c r="E4" s="851"/>
      <c r="F4" s="851"/>
      <c r="G4" s="820"/>
      <c r="H4" s="851" t="s">
        <v>576</v>
      </c>
      <c r="I4" s="851"/>
      <c r="J4" s="851"/>
      <c r="K4" s="820"/>
      <c r="L4" s="853" t="s">
        <v>577</v>
      </c>
      <c r="M4" s="853"/>
      <c r="N4" s="853"/>
      <c r="P4" s="820"/>
      <c r="Q4" s="820"/>
      <c r="R4" s="820"/>
      <c r="S4" s="820"/>
      <c r="T4" s="851" t="s">
        <v>578</v>
      </c>
      <c r="U4" s="851"/>
      <c r="V4" s="851"/>
      <c r="W4" s="820"/>
      <c r="X4" s="851" t="s">
        <v>579</v>
      </c>
      <c r="Y4" s="851"/>
      <c r="Z4" s="851"/>
      <c r="AB4" s="820"/>
      <c r="AC4" s="820"/>
      <c r="AD4" s="820"/>
      <c r="AE4" s="820"/>
      <c r="AF4" s="821" t="s">
        <v>578</v>
      </c>
      <c r="AG4" s="821"/>
      <c r="AH4" s="821" t="s">
        <v>579</v>
      </c>
      <c r="AJ4" s="851" t="s">
        <v>579</v>
      </c>
      <c r="AK4" s="851"/>
      <c r="AL4" s="851"/>
      <c r="AN4" s="851" t="s">
        <v>577</v>
      </c>
      <c r="AO4" s="851"/>
      <c r="AP4" s="851"/>
      <c r="AQ4" s="820"/>
      <c r="AR4" s="851" t="s">
        <v>580</v>
      </c>
      <c r="AS4" s="851"/>
      <c r="AT4" s="851"/>
      <c r="AV4" s="851" t="s">
        <v>580</v>
      </c>
      <c r="AW4" s="851"/>
      <c r="AX4" s="851"/>
      <c r="AY4" s="820"/>
      <c r="AZ4" s="851" t="s">
        <v>577</v>
      </c>
      <c r="BA4" s="851"/>
      <c r="BB4" s="851"/>
      <c r="BD4" s="851" t="s">
        <v>581</v>
      </c>
      <c r="BE4" s="851"/>
      <c r="BF4" s="851"/>
      <c r="BG4" s="820"/>
      <c r="BH4" s="820" t="s">
        <v>582</v>
      </c>
    </row>
    <row r="5" spans="1:62" ht="13.5" thickBot="1" x14ac:dyDescent="0.25">
      <c r="A5" s="822" t="s">
        <v>583</v>
      </c>
      <c r="B5" s="822" t="s">
        <v>584</v>
      </c>
      <c r="C5" s="823"/>
      <c r="D5" s="823" t="s">
        <v>124</v>
      </c>
      <c r="E5" s="823" t="s">
        <v>125</v>
      </c>
      <c r="F5" s="823" t="s">
        <v>585</v>
      </c>
      <c r="G5" s="823"/>
      <c r="H5" s="823" t="s">
        <v>124</v>
      </c>
      <c r="I5" s="823" t="s">
        <v>125</v>
      </c>
      <c r="J5" s="823" t="s">
        <v>585</v>
      </c>
      <c r="K5" s="823"/>
      <c r="L5" s="823" t="s">
        <v>124</v>
      </c>
      <c r="M5" s="823" t="s">
        <v>125</v>
      </c>
      <c r="N5" s="823" t="s">
        <v>585</v>
      </c>
      <c r="O5" s="823"/>
      <c r="P5" s="823" t="s">
        <v>586</v>
      </c>
      <c r="Q5" s="823" t="s">
        <v>549</v>
      </c>
      <c r="R5" s="823" t="s">
        <v>587</v>
      </c>
      <c r="S5" s="823"/>
      <c r="T5" s="823" t="s">
        <v>124</v>
      </c>
      <c r="U5" s="823" t="s">
        <v>125</v>
      </c>
      <c r="V5" s="823" t="s">
        <v>585</v>
      </c>
      <c r="W5" s="823"/>
      <c r="X5" s="823" t="s">
        <v>124</v>
      </c>
      <c r="Y5" s="823" t="s">
        <v>125</v>
      </c>
      <c r="Z5" s="823" t="s">
        <v>585</v>
      </c>
      <c r="AA5" s="823"/>
      <c r="AB5" s="823" t="s">
        <v>586</v>
      </c>
      <c r="AC5" s="823" t="s">
        <v>549</v>
      </c>
      <c r="AD5" s="823" t="s">
        <v>587</v>
      </c>
      <c r="AE5" s="823"/>
      <c r="AF5" s="823" t="s">
        <v>124</v>
      </c>
      <c r="AG5" s="823"/>
      <c r="AH5" s="823" t="s">
        <v>124</v>
      </c>
      <c r="AI5" s="823"/>
      <c r="AJ5" s="823" t="s">
        <v>124</v>
      </c>
      <c r="AK5" s="823" t="s">
        <v>125</v>
      </c>
      <c r="AL5" s="823" t="s">
        <v>585</v>
      </c>
      <c r="AM5" s="823"/>
      <c r="AN5" s="823" t="s">
        <v>124</v>
      </c>
      <c r="AO5" s="823" t="s">
        <v>125</v>
      </c>
      <c r="AP5" s="823" t="s">
        <v>585</v>
      </c>
      <c r="AQ5" s="823"/>
      <c r="AR5" s="823" t="s">
        <v>124</v>
      </c>
      <c r="AS5" s="823" t="s">
        <v>125</v>
      </c>
      <c r="AT5" s="823" t="s">
        <v>585</v>
      </c>
      <c r="AU5" s="824"/>
      <c r="AV5" s="823" t="s">
        <v>124</v>
      </c>
      <c r="AW5" s="823" t="s">
        <v>125</v>
      </c>
      <c r="AX5" s="823" t="s">
        <v>585</v>
      </c>
      <c r="AY5" s="823"/>
      <c r="AZ5" s="823" t="s">
        <v>124</v>
      </c>
      <c r="BA5" s="823" t="s">
        <v>125</v>
      </c>
      <c r="BB5" s="823" t="s">
        <v>585</v>
      </c>
      <c r="BC5" s="824"/>
      <c r="BD5" s="823" t="s">
        <v>124</v>
      </c>
      <c r="BE5" s="823" t="s">
        <v>125</v>
      </c>
      <c r="BF5" s="823" t="s">
        <v>585</v>
      </c>
      <c r="BG5" s="823"/>
      <c r="BH5" s="822" t="s">
        <v>588</v>
      </c>
      <c r="BI5" s="824"/>
    </row>
    <row r="6" spans="1:62" ht="3" customHeight="1" x14ac:dyDescent="0.2"/>
    <row r="7" spans="1:62" x14ac:dyDescent="0.2">
      <c r="A7" s="825">
        <v>2017</v>
      </c>
      <c r="B7" s="825"/>
      <c r="D7" s="826">
        <f>SUMIF($A$9:$A$33,$A7,D$9:D$33)</f>
        <v>932933810</v>
      </c>
      <c r="E7" s="826">
        <f>SUMIF($A$9:$A$33,$A7,E$9:E$33)</f>
        <v>43570670</v>
      </c>
      <c r="F7" s="826">
        <f>SUMIF($A$9:$A$33,$A7,F$9:F$33)</f>
        <v>231590170</v>
      </c>
      <c r="G7" s="826"/>
      <c r="H7" s="826">
        <f>AVERAGEIF($A$9:$A$33,$A7,H$9:H$33)</f>
        <v>818711.5</v>
      </c>
      <c r="I7" s="826">
        <f>AVERAGEIF($A$9:$A$33,$A7,I$9:I$33)</f>
        <v>264.91666666666669</v>
      </c>
      <c r="J7" s="826">
        <f>AVERAGEIF($A$9:$A$33,$A7,J$9:J$33)</f>
        <v>226.08333333333334</v>
      </c>
      <c r="K7" s="826"/>
      <c r="L7" s="826">
        <f t="shared" ref="L7:N7" si="0">D7/(H7)</f>
        <v>1139.5147252725776</v>
      </c>
      <c r="M7" s="826">
        <f t="shared" si="0"/>
        <v>164469.34256055363</v>
      </c>
      <c r="N7" s="826">
        <f t="shared" si="0"/>
        <v>1024357.5525248802</v>
      </c>
      <c r="P7" s="826">
        <f>SUMIF($A$9:$A$33,$A7,P$9:P$33)</f>
        <v>4800.1645833333332</v>
      </c>
      <c r="Q7" s="826">
        <f>SUMIF($A$9:$A$33,$A7,Q$9:Q$33)</f>
        <v>4813.0834999999997</v>
      </c>
      <c r="R7" s="827">
        <f t="shared" ref="R7" si="1">IF(Q7="","",P7-Q7)</f>
        <v>-12.918916666666519</v>
      </c>
      <c r="S7" s="827"/>
      <c r="T7" s="828">
        <f t="shared" ref="T7:V7" si="2">X7/$R7</f>
        <v>2.1218563625583733</v>
      </c>
      <c r="U7" s="828">
        <f t="shared" si="2"/>
        <v>135.77206154600046</v>
      </c>
      <c r="V7" s="828">
        <f t="shared" si="2"/>
        <v>339.93946564805714</v>
      </c>
      <c r="W7" s="828"/>
      <c r="X7" s="826">
        <f>SUMIF($A$9:$A$33,$A7,X$9:X$33)</f>
        <v>-27.412085526527761</v>
      </c>
      <c r="Y7" s="826">
        <f>SUMIF($A$9:$A$33,$A7,Y$9:Y$33)</f>
        <v>-1754.0279487742978</v>
      </c>
      <c r="Z7" s="826">
        <f>SUMIF($A$9:$A$33,$A7,Z$9:Z$33)</f>
        <v>-4391.6496284183959</v>
      </c>
      <c r="AB7" s="826">
        <f>SUMIF($A$9:$A$33,$A7,AB$9:AB$33)</f>
        <v>479.96319444444407</v>
      </c>
      <c r="AC7" s="826">
        <f>SUMIF($A$9:$A$33,$A7,AC$9:AC$33)</f>
        <v>599.12490000000003</v>
      </c>
      <c r="AD7" s="827">
        <f t="shared" ref="AD7" si="3">IF(AC7="","",AB7-AC7)</f>
        <v>-119.16170555555595</v>
      </c>
      <c r="AE7" s="827"/>
      <c r="AF7" s="828">
        <f t="shared" ref="AF7" si="4">IF(AD7=0,0,AH7/AD7)</f>
        <v>4.5631425710310453E-2</v>
      </c>
      <c r="AG7" s="828"/>
      <c r="AH7" s="826">
        <f>SUMIF($A$9:$A$33,$A7,AH$9:AH$33)</f>
        <v>-5.4375185145722398</v>
      </c>
      <c r="AJ7" s="826">
        <f t="shared" ref="AJ7" si="5">AH7+X7</f>
        <v>-32.849604041100001</v>
      </c>
      <c r="AK7" s="826">
        <f t="shared" ref="AK7:AL7" si="6">Y7</f>
        <v>-1754.0279487742978</v>
      </c>
      <c r="AL7" s="826">
        <f t="shared" si="6"/>
        <v>-4391.6496284183959</v>
      </c>
      <c r="AN7" s="826">
        <f t="shared" ref="AN7:AP7" si="7">AJ7+L7</f>
        <v>1106.6651212314775</v>
      </c>
      <c r="AO7" s="826">
        <f t="shared" si="7"/>
        <v>162715.31461177932</v>
      </c>
      <c r="AP7" s="826">
        <f t="shared" si="7"/>
        <v>1019965.9028964618</v>
      </c>
      <c r="AQ7" s="826"/>
      <c r="AR7" s="826">
        <f>SUMIF($A$9:$A$33,$A7,AR$9:AR$33)</f>
        <v>906144991.34048462</v>
      </c>
      <c r="AS7" s="826">
        <f>SUMIF($A$9:$A$33,$A7,AS$9:AS$33)</f>
        <v>43099340.400628589</v>
      </c>
      <c r="AT7" s="826">
        <f>SUMIF($A$9:$A$33,$A7,AT$9:AT$33)</f>
        <v>230587163.04393741</v>
      </c>
      <c r="AV7" s="826">
        <f t="shared" ref="AV7:AX7" si="8">AR7-D7</f>
        <v>-26788818.659515381</v>
      </c>
      <c r="AW7" s="826">
        <f t="shared" si="8"/>
        <v>-471329.59937141091</v>
      </c>
      <c r="AX7" s="826">
        <f t="shared" si="8"/>
        <v>-1003006.9560625851</v>
      </c>
      <c r="AY7" s="826"/>
      <c r="AZ7" s="826">
        <f t="shared" ref="AZ7:BB7" si="9">AN7-L7</f>
        <v>-32.849604041100065</v>
      </c>
      <c r="BA7" s="826">
        <f t="shared" si="9"/>
        <v>-1754.0279487743101</v>
      </c>
      <c r="BB7" s="826">
        <f t="shared" si="9"/>
        <v>-4391.6496284183813</v>
      </c>
      <c r="BD7" s="829">
        <f t="shared" ref="BD7:BF7" si="10">AR7/D7-1</f>
        <v>-2.8714597297653244E-2</v>
      </c>
      <c r="BE7" s="829">
        <f t="shared" si="10"/>
        <v>-1.0817588973761727E-2</v>
      </c>
      <c r="BF7" s="829">
        <f t="shared" si="10"/>
        <v>-4.3309565171206765E-3</v>
      </c>
      <c r="BG7" s="829"/>
      <c r="BH7" s="829">
        <f t="shared" ref="BH7" si="11">Q7/P7-1</f>
        <v>2.6913486907349515E-3</v>
      </c>
    </row>
    <row r="8" spans="1:62" ht="3" customHeight="1" x14ac:dyDescent="0.2">
      <c r="AJ8" s="826"/>
      <c r="AK8" s="826"/>
      <c r="AL8" s="826"/>
      <c r="BH8" s="829"/>
    </row>
    <row r="9" spans="1:62" x14ac:dyDescent="0.2">
      <c r="A9" s="825">
        <v>2017</v>
      </c>
      <c r="B9" s="825">
        <v>1</v>
      </c>
      <c r="D9" s="830">
        <v>158756520</v>
      </c>
      <c r="E9" s="830">
        <v>5619850</v>
      </c>
      <c r="F9" s="830">
        <v>21649550</v>
      </c>
      <c r="H9" s="831">
        <v>815018</v>
      </c>
      <c r="I9" s="831">
        <v>269</v>
      </c>
      <c r="J9" s="831">
        <v>228</v>
      </c>
      <c r="L9" s="826">
        <f t="shared" ref="L9:N24" si="12">IF(H9=0,"",D9/(H9))</f>
        <v>194.78897398585062</v>
      </c>
      <c r="M9" s="826">
        <f t="shared" si="12"/>
        <v>20891.635687732341</v>
      </c>
      <c r="N9" s="826">
        <f t="shared" si="12"/>
        <v>94954.166666666672</v>
      </c>
      <c r="P9" s="827">
        <v>723.21388888888896</v>
      </c>
      <c r="Q9" s="832">
        <v>845.54160000000002</v>
      </c>
      <c r="R9" s="827">
        <f t="shared" ref="R9:R26" si="13">IF(Q9="","",P9-Q9)</f>
        <v>-122.32771111111106</v>
      </c>
      <c r="T9" s="833">
        <v>0.17000499999999999</v>
      </c>
      <c r="U9" s="833">
        <v>9.5439469999999993</v>
      </c>
      <c r="V9" s="833">
        <v>33.673139999999997</v>
      </c>
      <c r="X9" s="826">
        <f t="shared" ref="X9:Z24" si="14">IF($R9="",0,T9*$R9)</f>
        <v>-20.796322527444435</v>
      </c>
      <c r="Y9" s="826">
        <f t="shared" si="14"/>
        <v>-1167.489191475755</v>
      </c>
      <c r="Z9" s="826">
        <f t="shared" si="14"/>
        <v>-4119.158142123998</v>
      </c>
      <c r="AB9" s="827">
        <v>131.923611111111</v>
      </c>
      <c r="AC9" s="832">
        <v>229.58330000000004</v>
      </c>
      <c r="AD9" s="827">
        <f t="shared" ref="AD9:AD32" si="15">IF(AC9="","",AB9-AC9)</f>
        <v>-97.659688888889036</v>
      </c>
      <c r="AF9" s="833">
        <v>4.3666999999999997E-2</v>
      </c>
      <c r="AH9" s="826">
        <f t="shared" ref="AH9:AH26" si="16">IF(AD9="",0,AF9*AD9)</f>
        <v>-4.2645056347111172</v>
      </c>
      <c r="AJ9" s="826">
        <f t="shared" ref="AJ9:AJ26" si="17">AH9+X9</f>
        <v>-25.060828162155552</v>
      </c>
      <c r="AK9" s="826">
        <f t="shared" ref="AK9:AL24" si="18">Y9</f>
        <v>-1167.489191475755</v>
      </c>
      <c r="AL9" s="826">
        <f t="shared" si="18"/>
        <v>-4119.158142123998</v>
      </c>
      <c r="AN9" s="834">
        <f t="shared" ref="AN9:AP24" si="19">IF(L9="","",AJ9+L9)</f>
        <v>169.72814582369506</v>
      </c>
      <c r="AO9" s="826">
        <f t="shared" si="19"/>
        <v>19724.146496256588</v>
      </c>
      <c r="AP9" s="826">
        <f t="shared" si="19"/>
        <v>90835.008524542674</v>
      </c>
      <c r="AR9" s="834">
        <f t="shared" ref="AR9:AT24" si="20">IF(AN9="",0,AN9*H9)</f>
        <v>138331493.95293629</v>
      </c>
      <c r="AS9" s="826">
        <f t="shared" si="20"/>
        <v>5305795.4074930223</v>
      </c>
      <c r="AT9" s="826">
        <f t="shared" si="20"/>
        <v>20710381.94359573</v>
      </c>
      <c r="AV9" s="843">
        <f t="shared" ref="AV9:AX24" si="21">AR9-D9</f>
        <v>-20425026.047063708</v>
      </c>
      <c r="AW9" s="844">
        <f t="shared" si="21"/>
        <v>-314054.59250697773</v>
      </c>
      <c r="AX9" s="845">
        <f t="shared" si="21"/>
        <v>-939168.05640427023</v>
      </c>
      <c r="AZ9" s="826">
        <f t="shared" ref="AZ9:BB24" si="22">IF(AN9="",0,AN9-L9)</f>
        <v>-25.060828162155559</v>
      </c>
      <c r="BA9" s="826">
        <f t="shared" si="22"/>
        <v>-1167.4891914757536</v>
      </c>
      <c r="BB9" s="826">
        <f t="shared" si="22"/>
        <v>-4119.1581421239971</v>
      </c>
      <c r="BD9" s="829">
        <f t="shared" ref="BD9:BF24" si="23">IF(AR9=0,0,AR9/D9-1)</f>
        <v>-0.12865629737325879</v>
      </c>
      <c r="BE9" s="829">
        <f t="shared" si="23"/>
        <v>-5.5883091631801163E-2</v>
      </c>
      <c r="BF9" s="829">
        <f t="shared" si="23"/>
        <v>-4.3380488573862785E-2</v>
      </c>
      <c r="BH9" s="829">
        <f t="shared" ref="BH9:BH26" si="24">IF(Q9=0,0,Q9/P9-1)</f>
        <v>0.16914458224668416</v>
      </c>
      <c r="BJ9" s="835"/>
    </row>
    <row r="10" spans="1:62" x14ac:dyDescent="0.2">
      <c r="A10" s="825">
        <f t="shared" ref="A10:A32" si="25">IF(B10=1,A9+1,A9)</f>
        <v>2017</v>
      </c>
      <c r="B10" s="825">
        <f t="shared" ref="B10:B32" si="26">IF(B9=12,1,B9+1)</f>
        <v>2</v>
      </c>
      <c r="D10" s="830">
        <v>121384930</v>
      </c>
      <c r="E10" s="830">
        <v>4983560</v>
      </c>
      <c r="F10" s="830">
        <v>19870850</v>
      </c>
      <c r="H10" s="831">
        <v>815983</v>
      </c>
      <c r="I10" s="831">
        <v>268</v>
      </c>
      <c r="J10" s="831">
        <v>227</v>
      </c>
      <c r="L10" s="826">
        <f t="shared" si="12"/>
        <v>148.75914081543365</v>
      </c>
      <c r="M10" s="826">
        <f t="shared" si="12"/>
        <v>18595.373134328358</v>
      </c>
      <c r="N10" s="826">
        <f t="shared" si="12"/>
        <v>87536.784140969161</v>
      </c>
      <c r="P10" s="842">
        <v>616.98611111111097</v>
      </c>
      <c r="Q10" s="832">
        <v>671.95839999999998</v>
      </c>
      <c r="R10" s="827">
        <f t="shared" si="13"/>
        <v>-54.972288888889011</v>
      </c>
      <c r="T10" s="833">
        <v>0.18637999999999999</v>
      </c>
      <c r="U10" s="833">
        <v>9.7854740000000007</v>
      </c>
      <c r="V10" s="833">
        <v>31.906300000000002</v>
      </c>
      <c r="X10" s="826">
        <f t="shared" si="14"/>
        <v>-10.245735203111133</v>
      </c>
      <c r="Y10" s="826">
        <f t="shared" si="14"/>
        <v>-537.92990364271236</v>
      </c>
      <c r="Z10" s="826">
        <f t="shared" si="14"/>
        <v>-1753.9623409755595</v>
      </c>
      <c r="AB10" s="827">
        <v>89.9930555555556</v>
      </c>
      <c r="AC10" s="832">
        <v>128.08340000000001</v>
      </c>
      <c r="AD10" s="827">
        <f>IF(AC10="","",AB10-AC10)</f>
        <v>-38.090344444444412</v>
      </c>
      <c r="AF10" s="833">
        <v>3.6380000000000003E-2</v>
      </c>
      <c r="AH10" s="826">
        <f t="shared" si="16"/>
        <v>-1.3857267308888879</v>
      </c>
      <c r="AJ10" s="826">
        <f t="shared" si="17"/>
        <v>-11.63146193400002</v>
      </c>
      <c r="AK10" s="826">
        <f t="shared" si="18"/>
        <v>-537.92990364271236</v>
      </c>
      <c r="AL10" s="826">
        <f t="shared" si="18"/>
        <v>-1753.9623409755595</v>
      </c>
      <c r="AN10" s="834">
        <f t="shared" si="19"/>
        <v>137.12767888143364</v>
      </c>
      <c r="AO10" s="826">
        <f t="shared" si="19"/>
        <v>18057.443230685647</v>
      </c>
      <c r="AP10" s="826">
        <f t="shared" si="19"/>
        <v>85782.821799993602</v>
      </c>
      <c r="AR10" s="834">
        <f t="shared" si="20"/>
        <v>111893854.79670887</v>
      </c>
      <c r="AS10" s="826">
        <f t="shared" si="20"/>
        <v>4839394.7858237531</v>
      </c>
      <c r="AT10" s="826">
        <f t="shared" si="20"/>
        <v>19472700.548598547</v>
      </c>
      <c r="AV10" s="843">
        <f t="shared" si="21"/>
        <v>-9491075.203291133</v>
      </c>
      <c r="AW10" s="844">
        <f t="shared" si="21"/>
        <v>-144165.2141762469</v>
      </c>
      <c r="AX10" s="845">
        <f t="shared" si="21"/>
        <v>-398149.45140145347</v>
      </c>
      <c r="AZ10" s="826">
        <f t="shared" si="22"/>
        <v>-11.631461934000015</v>
      </c>
      <c r="BA10" s="826">
        <f t="shared" si="22"/>
        <v>-537.929903642711</v>
      </c>
      <c r="BB10" s="826">
        <f t="shared" si="22"/>
        <v>-1753.9623409755586</v>
      </c>
      <c r="BD10" s="829">
        <f t="shared" si="23"/>
        <v>-7.8189897240877659E-2</v>
      </c>
      <c r="BE10" s="829">
        <f t="shared" si="23"/>
        <v>-2.8928158620794564E-2</v>
      </c>
      <c r="BF10" s="829">
        <f t="shared" si="23"/>
        <v>-2.0036860597380302E-2</v>
      </c>
      <c r="BH10" s="829">
        <f t="shared" si="24"/>
        <v>8.9098097832204237E-2</v>
      </c>
      <c r="BJ10" s="835"/>
    </row>
    <row r="11" spans="1:62" x14ac:dyDescent="0.2">
      <c r="A11" s="825">
        <f t="shared" si="25"/>
        <v>2017</v>
      </c>
      <c r="B11" s="825">
        <f t="shared" si="26"/>
        <v>3</v>
      </c>
      <c r="D11" s="830">
        <v>106632600</v>
      </c>
      <c r="E11" s="830">
        <v>4807890</v>
      </c>
      <c r="F11" s="830">
        <v>20403460</v>
      </c>
      <c r="H11" s="831">
        <v>816528</v>
      </c>
      <c r="I11" s="831">
        <v>267</v>
      </c>
      <c r="J11" s="831">
        <v>226</v>
      </c>
      <c r="L11" s="826">
        <f t="shared" si="12"/>
        <v>130.59270472047498</v>
      </c>
      <c r="M11" s="826">
        <f t="shared" si="12"/>
        <v>18007.078651685395</v>
      </c>
      <c r="N11" s="826">
        <f t="shared" si="12"/>
        <v>90280.796460176993</v>
      </c>
      <c r="P11" s="827">
        <v>592.16805555555595</v>
      </c>
      <c r="Q11" s="832">
        <v>602.62480000000005</v>
      </c>
      <c r="R11" s="827">
        <f t="shared" si="13"/>
        <v>-10.456744444444098</v>
      </c>
      <c r="T11" s="833">
        <v>0.15654499999999999</v>
      </c>
      <c r="U11" s="833">
        <v>6.8281080000000003</v>
      </c>
      <c r="V11" s="833">
        <v>17.693680000000001</v>
      </c>
      <c r="X11" s="826">
        <f t="shared" si="14"/>
        <v>-1.6369510590555012</v>
      </c>
      <c r="Y11" s="826">
        <f t="shared" si="14"/>
        <v>-71.399780395064298</v>
      </c>
      <c r="Z11" s="826">
        <f t="shared" si="14"/>
        <v>-185.01829004177165</v>
      </c>
      <c r="AB11" s="827">
        <v>42.775694444444397</v>
      </c>
      <c r="AC11" s="832">
        <v>40.666600000000003</v>
      </c>
      <c r="AD11" s="827">
        <f t="shared" si="15"/>
        <v>2.1090944444443949</v>
      </c>
      <c r="AF11" s="833">
        <v>2.5321E-2</v>
      </c>
      <c r="AH11" s="826">
        <f t="shared" si="16"/>
        <v>5.3404380427776524E-2</v>
      </c>
      <c r="AJ11" s="826">
        <f t="shared" si="17"/>
        <v>-1.5835466786277246</v>
      </c>
      <c r="AK11" s="826">
        <f t="shared" si="18"/>
        <v>-71.399780395064298</v>
      </c>
      <c r="AL11" s="826">
        <f t="shared" si="18"/>
        <v>-185.01829004177165</v>
      </c>
      <c r="AN11" s="834">
        <f t="shared" si="19"/>
        <v>129.00915804184726</v>
      </c>
      <c r="AO11" s="826">
        <f t="shared" si="19"/>
        <v>17935.678871290329</v>
      </c>
      <c r="AP11" s="826">
        <f t="shared" si="19"/>
        <v>90095.778170135221</v>
      </c>
      <c r="AR11" s="834">
        <f t="shared" si="20"/>
        <v>105339589.79759346</v>
      </c>
      <c r="AS11" s="826">
        <f t="shared" si="20"/>
        <v>4788826.2586345179</v>
      </c>
      <c r="AT11" s="826">
        <f t="shared" si="20"/>
        <v>20361645.866450559</v>
      </c>
      <c r="AV11" s="843">
        <f t="shared" si="21"/>
        <v>-1293010.2024065405</v>
      </c>
      <c r="AW11" s="844">
        <f t="shared" si="21"/>
        <v>-19063.741365482099</v>
      </c>
      <c r="AX11" s="845">
        <f t="shared" si="21"/>
        <v>-41814.133549440652</v>
      </c>
      <c r="AZ11" s="826">
        <f t="shared" si="22"/>
        <v>-1.5835466786277266</v>
      </c>
      <c r="BA11" s="826">
        <f t="shared" si="22"/>
        <v>-71.399780395066045</v>
      </c>
      <c r="BB11" s="826">
        <f t="shared" si="22"/>
        <v>-185.01829004177125</v>
      </c>
      <c r="BD11" s="829">
        <f t="shared" si="23"/>
        <v>-1.2125843338777642E-2</v>
      </c>
      <c r="BE11" s="829">
        <f t="shared" si="23"/>
        <v>-3.9650951593073192E-3</v>
      </c>
      <c r="BF11" s="829">
        <f t="shared" si="23"/>
        <v>-2.0493648405437437E-3</v>
      </c>
      <c r="BH11" s="829">
        <f t="shared" si="24"/>
        <v>1.7658406843026775E-2</v>
      </c>
      <c r="BJ11" s="835"/>
    </row>
    <row r="12" spans="1:62" x14ac:dyDescent="0.2">
      <c r="A12" s="825">
        <f t="shared" si="25"/>
        <v>2017</v>
      </c>
      <c r="B12" s="825">
        <f t="shared" si="26"/>
        <v>4</v>
      </c>
      <c r="D12" s="830">
        <v>74134070</v>
      </c>
      <c r="E12" s="830">
        <v>3813940</v>
      </c>
      <c r="F12" s="830">
        <v>19119190</v>
      </c>
      <c r="H12" s="831">
        <v>816988</v>
      </c>
      <c r="I12" s="831">
        <v>267</v>
      </c>
      <c r="J12" s="831">
        <v>226</v>
      </c>
      <c r="L12" s="826">
        <f t="shared" si="12"/>
        <v>90.740708553858809</v>
      </c>
      <c r="M12" s="826">
        <f t="shared" si="12"/>
        <v>14284.419475655432</v>
      </c>
      <c r="N12" s="826">
        <f t="shared" si="12"/>
        <v>84598.185840707971</v>
      </c>
      <c r="P12" s="827">
        <v>450.14722222222201</v>
      </c>
      <c r="Q12" s="832">
        <v>451.37509999999997</v>
      </c>
      <c r="R12" s="827">
        <f t="shared" si="13"/>
        <v>-1.2278777777779624</v>
      </c>
      <c r="T12" s="833">
        <v>0.12182999999999999</v>
      </c>
      <c r="U12" s="833">
        <v>2.8136559999999999</v>
      </c>
      <c r="V12" s="833">
        <v>25.107050000000001</v>
      </c>
      <c r="X12" s="826">
        <f t="shared" si="14"/>
        <v>-0.14959234966668913</v>
      </c>
      <c r="Y12" s="826">
        <f t="shared" si="14"/>
        <v>-3.4548256767116303</v>
      </c>
      <c r="Z12" s="826">
        <f t="shared" si="14"/>
        <v>-30.828388760560191</v>
      </c>
      <c r="AB12" s="827">
        <v>8.6638888888888896</v>
      </c>
      <c r="AC12" s="832">
        <v>0</v>
      </c>
      <c r="AD12" s="827">
        <f t="shared" si="15"/>
        <v>8.6638888888888896</v>
      </c>
      <c r="AF12" s="833">
        <v>0</v>
      </c>
      <c r="AH12" s="826">
        <f t="shared" si="16"/>
        <v>0</v>
      </c>
      <c r="AJ12" s="826">
        <f t="shared" si="17"/>
        <v>-0.14959234966668913</v>
      </c>
      <c r="AK12" s="826">
        <f t="shared" si="18"/>
        <v>-3.4548256767116303</v>
      </c>
      <c r="AL12" s="826">
        <f t="shared" si="18"/>
        <v>-30.828388760560191</v>
      </c>
      <c r="AN12" s="834">
        <f t="shared" si="19"/>
        <v>90.591116204192119</v>
      </c>
      <c r="AO12" s="826">
        <f t="shared" si="19"/>
        <v>14280.96464997872</v>
      </c>
      <c r="AP12" s="826">
        <f t="shared" si="19"/>
        <v>84567.357451947406</v>
      </c>
      <c r="AR12" s="834">
        <f t="shared" si="20"/>
        <v>74011854.845430508</v>
      </c>
      <c r="AS12" s="826">
        <f t="shared" si="20"/>
        <v>3813017.5615443182</v>
      </c>
      <c r="AT12" s="826">
        <f t="shared" si="20"/>
        <v>19112222.784140114</v>
      </c>
      <c r="AV12" s="843">
        <f t="shared" si="21"/>
        <v>-122215.15456949174</v>
      </c>
      <c r="AW12" s="844">
        <f t="shared" si="21"/>
        <v>-922.43845568178222</v>
      </c>
      <c r="AX12" s="845">
        <f t="shared" si="21"/>
        <v>-6967.2158598862588</v>
      </c>
      <c r="AZ12" s="826">
        <f t="shared" si="22"/>
        <v>-0.14959234966669044</v>
      </c>
      <c r="BA12" s="826">
        <f t="shared" si="22"/>
        <v>-3.454825676712062</v>
      </c>
      <c r="BB12" s="826">
        <f t="shared" si="22"/>
        <v>-30.828388760564849</v>
      </c>
      <c r="BD12" s="829">
        <f t="shared" si="23"/>
        <v>-1.6485693361971698E-3</v>
      </c>
      <c r="BE12" s="829">
        <f t="shared" si="23"/>
        <v>-2.4185971873746936E-4</v>
      </c>
      <c r="BF12" s="829">
        <f t="shared" si="23"/>
        <v>-3.6440957278449648E-4</v>
      </c>
      <c r="BH12" s="829">
        <f t="shared" si="24"/>
        <v>2.7277248801322873E-3</v>
      </c>
      <c r="BJ12" s="835"/>
    </row>
    <row r="13" spans="1:62" x14ac:dyDescent="0.2">
      <c r="A13" s="825">
        <f t="shared" si="25"/>
        <v>2017</v>
      </c>
      <c r="B13" s="825">
        <f t="shared" si="26"/>
        <v>5</v>
      </c>
      <c r="D13" s="830">
        <v>46753800</v>
      </c>
      <c r="E13" s="830">
        <v>3075490</v>
      </c>
      <c r="F13" s="830">
        <v>18654460</v>
      </c>
      <c r="H13" s="831">
        <v>817561</v>
      </c>
      <c r="I13" s="831">
        <v>266</v>
      </c>
      <c r="J13" s="831">
        <v>226</v>
      </c>
      <c r="L13" s="826">
        <f t="shared" si="12"/>
        <v>57.186925501583367</v>
      </c>
      <c r="M13" s="826">
        <f t="shared" si="12"/>
        <v>11561.992481203008</v>
      </c>
      <c r="N13" s="826">
        <f t="shared" si="12"/>
        <v>82541.85840707965</v>
      </c>
      <c r="P13" s="827">
        <v>296.66111111111098</v>
      </c>
      <c r="Q13" s="832">
        <v>257.58359999999999</v>
      </c>
      <c r="R13" s="827">
        <f t="shared" si="13"/>
        <v>39.077511111110994</v>
      </c>
      <c r="T13" s="833">
        <v>8.4381999999999999E-2</v>
      </c>
      <c r="U13" s="833">
        <v>0</v>
      </c>
      <c r="V13" s="833">
        <v>16.939910000000001</v>
      </c>
      <c r="X13" s="826">
        <f t="shared" si="14"/>
        <v>3.2974385425777677</v>
      </c>
      <c r="Y13" s="826">
        <f t="shared" si="14"/>
        <v>0</v>
      </c>
      <c r="Z13" s="826">
        <f t="shared" si="14"/>
        <v>661.96952124622032</v>
      </c>
      <c r="AB13" s="827">
        <v>0.41666666666666702</v>
      </c>
      <c r="AC13" s="832">
        <v>0</v>
      </c>
      <c r="AD13" s="827">
        <f t="shared" si="15"/>
        <v>0.41666666666666702</v>
      </c>
      <c r="AF13" s="833">
        <v>0</v>
      </c>
      <c r="AH13" s="826">
        <f t="shared" si="16"/>
        <v>0</v>
      </c>
      <c r="AJ13" s="826">
        <f t="shared" si="17"/>
        <v>3.2974385425777677</v>
      </c>
      <c r="AK13" s="826">
        <f t="shared" si="18"/>
        <v>0</v>
      </c>
      <c r="AL13" s="826">
        <f t="shared" si="18"/>
        <v>661.96952124622032</v>
      </c>
      <c r="AN13" s="834">
        <f t="shared" si="19"/>
        <v>60.484364044161133</v>
      </c>
      <c r="AO13" s="826">
        <f t="shared" si="19"/>
        <v>11561.992481203008</v>
      </c>
      <c r="AP13" s="826">
        <f t="shared" si="19"/>
        <v>83203.827928325874</v>
      </c>
      <c r="AR13" s="834">
        <f t="shared" si="20"/>
        <v>49449657.152308419</v>
      </c>
      <c r="AS13" s="826">
        <f t="shared" si="20"/>
        <v>3075490</v>
      </c>
      <c r="AT13" s="826">
        <f t="shared" si="20"/>
        <v>18804065.111801647</v>
      </c>
      <c r="AV13" s="843">
        <f t="shared" si="21"/>
        <v>2695857.1523084193</v>
      </c>
      <c r="AW13" s="844">
        <f t="shared" si="21"/>
        <v>0</v>
      </c>
      <c r="AX13" s="845">
        <f t="shared" si="21"/>
        <v>149605.11180164665</v>
      </c>
      <c r="AZ13" s="826">
        <f t="shared" si="22"/>
        <v>3.2974385425777655</v>
      </c>
      <c r="BA13" s="826">
        <f t="shared" si="22"/>
        <v>0</v>
      </c>
      <c r="BB13" s="826">
        <f t="shared" si="22"/>
        <v>661.96952124622476</v>
      </c>
      <c r="BD13" s="829">
        <f t="shared" si="23"/>
        <v>5.7660706772677761E-2</v>
      </c>
      <c r="BE13" s="829">
        <f t="shared" si="23"/>
        <v>0</v>
      </c>
      <c r="BF13" s="829">
        <f t="shared" si="23"/>
        <v>8.0198039397358922E-3</v>
      </c>
      <c r="BH13" s="829">
        <f t="shared" si="24"/>
        <v>-0.13172441431487447</v>
      </c>
      <c r="BJ13" s="835"/>
    </row>
    <row r="14" spans="1:62" x14ac:dyDescent="0.2">
      <c r="A14" s="825">
        <f t="shared" si="25"/>
        <v>2017</v>
      </c>
      <c r="B14" s="825">
        <f t="shared" si="26"/>
        <v>6</v>
      </c>
      <c r="D14" s="830">
        <v>30404050</v>
      </c>
      <c r="E14" s="830">
        <v>2390310</v>
      </c>
      <c r="F14" s="830">
        <v>16788560</v>
      </c>
      <c r="H14" s="831">
        <v>817712</v>
      </c>
      <c r="I14" s="831">
        <v>268</v>
      </c>
      <c r="J14" s="831">
        <v>224</v>
      </c>
      <c r="L14" s="826">
        <f t="shared" si="12"/>
        <v>37.181856203651165</v>
      </c>
      <c r="M14" s="826">
        <f t="shared" si="12"/>
        <v>8919.067164179105</v>
      </c>
      <c r="N14" s="826">
        <f t="shared" si="12"/>
        <v>74948.928571428565</v>
      </c>
      <c r="P14" s="827">
        <v>162.50833333333301</v>
      </c>
      <c r="Q14" s="832">
        <v>124.58319999999998</v>
      </c>
      <c r="R14" s="827">
        <f t="shared" si="13"/>
        <v>37.925133333333036</v>
      </c>
      <c r="T14" s="833">
        <v>5.4715E-2</v>
      </c>
      <c r="U14" s="833">
        <v>0</v>
      </c>
      <c r="V14" s="833">
        <v>14.62228</v>
      </c>
      <c r="X14" s="826">
        <f t="shared" si="14"/>
        <v>2.075073670333317</v>
      </c>
      <c r="Y14" s="826">
        <f t="shared" si="14"/>
        <v>0</v>
      </c>
      <c r="Z14" s="826">
        <f t="shared" si="14"/>
        <v>554.55191863732898</v>
      </c>
      <c r="AB14" s="827">
        <v>0</v>
      </c>
      <c r="AC14" s="832">
        <v>0</v>
      </c>
      <c r="AD14" s="827">
        <f t="shared" si="15"/>
        <v>0</v>
      </c>
      <c r="AF14" s="833">
        <v>0</v>
      </c>
      <c r="AH14" s="826">
        <f t="shared" si="16"/>
        <v>0</v>
      </c>
      <c r="AJ14" s="826">
        <f t="shared" si="17"/>
        <v>2.075073670333317</v>
      </c>
      <c r="AK14" s="826">
        <f t="shared" si="18"/>
        <v>0</v>
      </c>
      <c r="AL14" s="826">
        <f t="shared" si="18"/>
        <v>554.55191863732898</v>
      </c>
      <c r="AN14" s="834">
        <f t="shared" si="19"/>
        <v>39.256929873984483</v>
      </c>
      <c r="AO14" s="826">
        <f t="shared" si="19"/>
        <v>8919.067164179105</v>
      </c>
      <c r="AP14" s="826">
        <f t="shared" si="19"/>
        <v>75503.480490065893</v>
      </c>
      <c r="AR14" s="834">
        <f t="shared" si="20"/>
        <v>32100862.641115598</v>
      </c>
      <c r="AS14" s="826">
        <f t="shared" si="20"/>
        <v>2390310</v>
      </c>
      <c r="AT14" s="826">
        <f t="shared" si="20"/>
        <v>16912779.62977476</v>
      </c>
      <c r="AV14" s="843">
        <f t="shared" si="21"/>
        <v>1696812.6411155984</v>
      </c>
      <c r="AW14" s="844">
        <f t="shared" si="21"/>
        <v>0</v>
      </c>
      <c r="AX14" s="845">
        <f t="shared" si="21"/>
        <v>124219.62977476045</v>
      </c>
      <c r="AZ14" s="826">
        <f t="shared" si="22"/>
        <v>2.0750736703333175</v>
      </c>
      <c r="BA14" s="826">
        <f t="shared" si="22"/>
        <v>0</v>
      </c>
      <c r="BB14" s="826">
        <f t="shared" si="22"/>
        <v>554.55191863732762</v>
      </c>
      <c r="BD14" s="829">
        <f t="shared" si="23"/>
        <v>5.5808770249871298E-2</v>
      </c>
      <c r="BE14" s="829">
        <f t="shared" si="23"/>
        <v>0</v>
      </c>
      <c r="BF14" s="829">
        <f t="shared" si="23"/>
        <v>7.3990639920731294E-3</v>
      </c>
      <c r="BH14" s="829">
        <f t="shared" si="24"/>
        <v>-0.23337346802727932</v>
      </c>
      <c r="BJ14" s="835"/>
    </row>
    <row r="15" spans="1:62" x14ac:dyDescent="0.2">
      <c r="A15" s="825">
        <f t="shared" si="25"/>
        <v>2017</v>
      </c>
      <c r="B15" s="825">
        <f t="shared" si="26"/>
        <v>7</v>
      </c>
      <c r="D15" s="830">
        <v>24573840</v>
      </c>
      <c r="E15" s="830">
        <v>1892030</v>
      </c>
      <c r="F15" s="830">
        <v>17659830</v>
      </c>
      <c r="H15" s="831">
        <v>817654</v>
      </c>
      <c r="I15" s="831">
        <v>263</v>
      </c>
      <c r="J15" s="831">
        <v>225</v>
      </c>
      <c r="L15" s="826">
        <f t="shared" si="12"/>
        <v>30.054081555278884</v>
      </c>
      <c r="M15" s="826">
        <f t="shared" si="12"/>
        <v>7194.0304182509508</v>
      </c>
      <c r="N15" s="826">
        <f t="shared" si="12"/>
        <v>78488.133333333331</v>
      </c>
      <c r="P15" s="827">
        <v>57.0138888888889</v>
      </c>
      <c r="Q15" s="832">
        <v>18.916799999999999</v>
      </c>
      <c r="R15" s="827">
        <f t="shared" si="13"/>
        <v>38.097088888888905</v>
      </c>
      <c r="T15" s="833">
        <v>0</v>
      </c>
      <c r="U15" s="833">
        <v>0</v>
      </c>
      <c r="V15" s="833">
        <v>0</v>
      </c>
      <c r="X15" s="826">
        <f t="shared" si="14"/>
        <v>0</v>
      </c>
      <c r="Y15" s="826">
        <f t="shared" si="14"/>
        <v>0</v>
      </c>
      <c r="Z15" s="826">
        <f t="shared" si="14"/>
        <v>0</v>
      </c>
      <c r="AB15" s="827">
        <v>0</v>
      </c>
      <c r="AC15" s="836">
        <v>0</v>
      </c>
      <c r="AD15" s="827">
        <f t="shared" si="15"/>
        <v>0</v>
      </c>
      <c r="AF15" s="833">
        <v>0</v>
      </c>
      <c r="AH15" s="826">
        <f t="shared" si="16"/>
        <v>0</v>
      </c>
      <c r="AJ15" s="826">
        <f t="shared" si="17"/>
        <v>0</v>
      </c>
      <c r="AK15" s="826">
        <f t="shared" si="18"/>
        <v>0</v>
      </c>
      <c r="AL15" s="826">
        <f t="shared" si="18"/>
        <v>0</v>
      </c>
      <c r="AN15" s="834">
        <f t="shared" si="19"/>
        <v>30.054081555278884</v>
      </c>
      <c r="AO15" s="826">
        <f t="shared" si="19"/>
        <v>7194.0304182509508</v>
      </c>
      <c r="AP15" s="826">
        <f t="shared" si="19"/>
        <v>78488.133333333331</v>
      </c>
      <c r="AR15" s="834">
        <f t="shared" si="20"/>
        <v>24573840</v>
      </c>
      <c r="AS15" s="826">
        <f t="shared" si="20"/>
        <v>1892030</v>
      </c>
      <c r="AT15" s="826">
        <f t="shared" si="20"/>
        <v>17659830</v>
      </c>
      <c r="AV15" s="843">
        <f t="shared" si="21"/>
        <v>0</v>
      </c>
      <c r="AW15" s="844">
        <f t="shared" si="21"/>
        <v>0</v>
      </c>
      <c r="AX15" s="845">
        <f t="shared" si="21"/>
        <v>0</v>
      </c>
      <c r="AZ15" s="826">
        <f t="shared" si="22"/>
        <v>0</v>
      </c>
      <c r="BA15" s="826">
        <f t="shared" si="22"/>
        <v>0</v>
      </c>
      <c r="BB15" s="826">
        <f t="shared" si="22"/>
        <v>0</v>
      </c>
      <c r="BD15" s="829">
        <f t="shared" si="23"/>
        <v>0</v>
      </c>
      <c r="BE15" s="829">
        <f t="shared" si="23"/>
        <v>0</v>
      </c>
      <c r="BF15" s="829">
        <f t="shared" si="23"/>
        <v>0</v>
      </c>
      <c r="BH15" s="829">
        <f t="shared" si="24"/>
        <v>-0.66820716199756403</v>
      </c>
      <c r="BJ15" s="835"/>
    </row>
    <row r="16" spans="1:62" x14ac:dyDescent="0.2">
      <c r="A16" s="825">
        <f t="shared" si="25"/>
        <v>2017</v>
      </c>
      <c r="B16" s="825">
        <f t="shared" si="26"/>
        <v>8</v>
      </c>
      <c r="D16" s="830">
        <v>23434280</v>
      </c>
      <c r="E16" s="830">
        <v>1785080</v>
      </c>
      <c r="F16" s="830">
        <v>18250460</v>
      </c>
      <c r="H16" s="831">
        <v>818196</v>
      </c>
      <c r="I16" s="831">
        <v>263</v>
      </c>
      <c r="J16" s="831">
        <v>225</v>
      </c>
      <c r="L16" s="826">
        <f t="shared" si="12"/>
        <v>28.641401326821445</v>
      </c>
      <c r="M16" s="826">
        <f t="shared" si="12"/>
        <v>6787.3764258555129</v>
      </c>
      <c r="N16" s="826">
        <f t="shared" si="12"/>
        <v>81113.155555555553</v>
      </c>
      <c r="P16" s="827">
        <v>47.509722222222202</v>
      </c>
      <c r="Q16" s="832">
        <v>4.7084000000000001</v>
      </c>
      <c r="R16" s="827">
        <f t="shared" si="13"/>
        <v>42.801322222222204</v>
      </c>
      <c r="T16" s="833">
        <v>0</v>
      </c>
      <c r="U16" s="833">
        <v>0</v>
      </c>
      <c r="V16" s="833">
        <v>0</v>
      </c>
      <c r="X16" s="826">
        <f t="shared" si="14"/>
        <v>0</v>
      </c>
      <c r="Y16" s="826">
        <f t="shared" si="14"/>
        <v>0</v>
      </c>
      <c r="Z16" s="826">
        <f t="shared" si="14"/>
        <v>0</v>
      </c>
      <c r="AB16" s="827">
        <v>0</v>
      </c>
      <c r="AC16" s="836">
        <v>0</v>
      </c>
      <c r="AD16" s="827">
        <f t="shared" si="15"/>
        <v>0</v>
      </c>
      <c r="AF16" s="833">
        <v>0</v>
      </c>
      <c r="AH16" s="826">
        <f t="shared" si="16"/>
        <v>0</v>
      </c>
      <c r="AJ16" s="826">
        <f t="shared" si="17"/>
        <v>0</v>
      </c>
      <c r="AK16" s="826">
        <f t="shared" si="18"/>
        <v>0</v>
      </c>
      <c r="AL16" s="826">
        <f t="shared" si="18"/>
        <v>0</v>
      </c>
      <c r="AN16" s="834">
        <f t="shared" si="19"/>
        <v>28.641401326821445</v>
      </c>
      <c r="AO16" s="826">
        <f t="shared" si="19"/>
        <v>6787.3764258555129</v>
      </c>
      <c r="AP16" s="826">
        <f t="shared" si="19"/>
        <v>81113.155555555553</v>
      </c>
      <c r="AR16" s="834">
        <f t="shared" si="20"/>
        <v>23434280</v>
      </c>
      <c r="AS16" s="826">
        <f t="shared" si="20"/>
        <v>1785080</v>
      </c>
      <c r="AT16" s="826">
        <f t="shared" si="20"/>
        <v>18250460</v>
      </c>
      <c r="AV16" s="843">
        <f t="shared" si="21"/>
        <v>0</v>
      </c>
      <c r="AW16" s="844">
        <f t="shared" si="21"/>
        <v>0</v>
      </c>
      <c r="AX16" s="845">
        <f t="shared" si="21"/>
        <v>0</v>
      </c>
      <c r="AZ16" s="826">
        <f t="shared" si="22"/>
        <v>0</v>
      </c>
      <c r="BA16" s="826">
        <f t="shared" si="22"/>
        <v>0</v>
      </c>
      <c r="BB16" s="826">
        <f t="shared" si="22"/>
        <v>0</v>
      </c>
      <c r="BD16" s="829">
        <f t="shared" si="23"/>
        <v>0</v>
      </c>
      <c r="BE16" s="829">
        <f t="shared" si="23"/>
        <v>0</v>
      </c>
      <c r="BF16" s="829">
        <f t="shared" si="23"/>
        <v>0</v>
      </c>
      <c r="BH16" s="829">
        <f t="shared" si="24"/>
        <v>-0.9008960739030023</v>
      </c>
      <c r="BJ16" s="835"/>
    </row>
    <row r="17" spans="1:62" x14ac:dyDescent="0.2">
      <c r="A17" s="825">
        <f t="shared" si="25"/>
        <v>2017</v>
      </c>
      <c r="B17" s="825">
        <f t="shared" si="26"/>
        <v>9</v>
      </c>
      <c r="D17" s="830">
        <v>29798890</v>
      </c>
      <c r="E17" s="830">
        <v>2156320</v>
      </c>
      <c r="F17" s="830">
        <v>17563280</v>
      </c>
      <c r="H17" s="831">
        <v>819374</v>
      </c>
      <c r="I17" s="831">
        <v>262</v>
      </c>
      <c r="J17" s="831">
        <v>226</v>
      </c>
      <c r="L17" s="826">
        <f t="shared" si="12"/>
        <v>36.367873522957773</v>
      </c>
      <c r="M17" s="826">
        <f t="shared" si="12"/>
        <v>8230.2290076335885</v>
      </c>
      <c r="N17" s="826">
        <f t="shared" si="12"/>
        <v>77713.628318584073</v>
      </c>
      <c r="P17" s="827">
        <v>136.759722222222</v>
      </c>
      <c r="Q17" s="836">
        <v>102.2084</v>
      </c>
      <c r="R17" s="827">
        <f t="shared" si="13"/>
        <v>34.551322222221998</v>
      </c>
      <c r="T17" s="833">
        <v>6.3997999999999999E-2</v>
      </c>
      <c r="U17" s="833">
        <v>0</v>
      </c>
      <c r="V17" s="833">
        <v>16.112120000000001</v>
      </c>
      <c r="X17" s="826">
        <f t="shared" si="14"/>
        <v>2.2112155195777632</v>
      </c>
      <c r="Y17" s="826">
        <f t="shared" si="14"/>
        <v>0</v>
      </c>
      <c r="Z17" s="826">
        <f t="shared" si="14"/>
        <v>556.69504980310751</v>
      </c>
      <c r="AB17" s="827">
        <v>0</v>
      </c>
      <c r="AC17" s="836">
        <v>0</v>
      </c>
      <c r="AD17" s="827">
        <f t="shared" si="15"/>
        <v>0</v>
      </c>
      <c r="AF17" s="833">
        <v>0</v>
      </c>
      <c r="AH17" s="826">
        <f t="shared" si="16"/>
        <v>0</v>
      </c>
      <c r="AJ17" s="826">
        <f t="shared" si="17"/>
        <v>2.2112155195777632</v>
      </c>
      <c r="AK17" s="826">
        <f t="shared" si="18"/>
        <v>0</v>
      </c>
      <c r="AL17" s="826">
        <f t="shared" si="18"/>
        <v>556.69504980310751</v>
      </c>
      <c r="AN17" s="834">
        <f t="shared" si="19"/>
        <v>38.579089042535536</v>
      </c>
      <c r="AO17" s="826">
        <f t="shared" si="19"/>
        <v>8230.2290076335885</v>
      </c>
      <c r="AP17" s="826">
        <f t="shared" si="19"/>
        <v>78270.32336838718</v>
      </c>
      <c r="AR17" s="834">
        <f t="shared" si="20"/>
        <v>31610702.505138513</v>
      </c>
      <c r="AS17" s="826">
        <f t="shared" si="20"/>
        <v>2156320</v>
      </c>
      <c r="AT17" s="826">
        <f t="shared" si="20"/>
        <v>17689093.081255503</v>
      </c>
      <c r="AV17" s="843">
        <f t="shared" si="21"/>
        <v>1811812.5051385127</v>
      </c>
      <c r="AW17" s="844">
        <f t="shared" si="21"/>
        <v>0</v>
      </c>
      <c r="AX17" s="845">
        <f t="shared" si="21"/>
        <v>125813.081255503</v>
      </c>
      <c r="AZ17" s="826">
        <f t="shared" si="22"/>
        <v>2.2112155195777632</v>
      </c>
      <c r="BA17" s="826">
        <f t="shared" si="22"/>
        <v>0</v>
      </c>
      <c r="BB17" s="826">
        <f t="shared" si="22"/>
        <v>556.69504980310739</v>
      </c>
      <c r="BD17" s="829">
        <f t="shared" si="23"/>
        <v>6.0801342101618916E-2</v>
      </c>
      <c r="BE17" s="829">
        <f t="shared" si="23"/>
        <v>0</v>
      </c>
      <c r="BF17" s="829">
        <f t="shared" si="23"/>
        <v>7.1634160165698901E-3</v>
      </c>
      <c r="BH17" s="829">
        <f t="shared" si="24"/>
        <v>-0.25264252998466374</v>
      </c>
      <c r="BJ17" s="835"/>
    </row>
    <row r="18" spans="1:62" x14ac:dyDescent="0.2">
      <c r="A18" s="825">
        <f t="shared" si="25"/>
        <v>2017</v>
      </c>
      <c r="B18" s="825">
        <f t="shared" si="26"/>
        <v>10</v>
      </c>
      <c r="D18" s="830">
        <v>68460270</v>
      </c>
      <c r="E18" s="830">
        <v>3693380</v>
      </c>
      <c r="F18" s="830">
        <v>20008050</v>
      </c>
      <c r="H18" s="831">
        <v>821175</v>
      </c>
      <c r="I18" s="831">
        <v>262</v>
      </c>
      <c r="J18" s="831">
        <v>227</v>
      </c>
      <c r="L18" s="826">
        <f t="shared" si="12"/>
        <v>83.368672938167876</v>
      </c>
      <c r="M18" s="826">
        <f t="shared" si="12"/>
        <v>14096.870229007634</v>
      </c>
      <c r="N18" s="826">
        <f t="shared" si="12"/>
        <v>88141.189427312769</v>
      </c>
      <c r="P18" s="827">
        <v>386.027777777778</v>
      </c>
      <c r="Q18" s="836">
        <v>389.20829999999995</v>
      </c>
      <c r="R18" s="827">
        <f t="shared" si="13"/>
        <v>-3.1805222222219527</v>
      </c>
      <c r="T18" s="833">
        <v>0.132906</v>
      </c>
      <c r="U18" s="833">
        <v>4.8242659999999997</v>
      </c>
      <c r="V18" s="833">
        <v>17.120840000000001</v>
      </c>
      <c r="X18" s="826">
        <f t="shared" si="14"/>
        <v>-0.42271048646663084</v>
      </c>
      <c r="Y18" s="826">
        <f t="shared" si="14"/>
        <v>-15.34368521890981</v>
      </c>
      <c r="Z18" s="826">
        <f t="shared" si="14"/>
        <v>-54.4532120831065</v>
      </c>
      <c r="AB18" s="827">
        <v>2.8333333333333299</v>
      </c>
      <c r="AC18" s="836">
        <v>0</v>
      </c>
      <c r="AD18" s="827">
        <f t="shared" si="15"/>
        <v>2.8333333333333299</v>
      </c>
      <c r="AF18" s="833">
        <v>0</v>
      </c>
      <c r="AH18" s="826">
        <f t="shared" si="16"/>
        <v>0</v>
      </c>
      <c r="AJ18" s="826">
        <f t="shared" si="17"/>
        <v>-0.42271048646663084</v>
      </c>
      <c r="AK18" s="826">
        <f t="shared" si="18"/>
        <v>-15.34368521890981</v>
      </c>
      <c r="AL18" s="826">
        <f t="shared" si="18"/>
        <v>-54.4532120831065</v>
      </c>
      <c r="AN18" s="834">
        <f t="shared" si="19"/>
        <v>82.945962451701249</v>
      </c>
      <c r="AO18" s="826">
        <f t="shared" si="19"/>
        <v>14081.526543788725</v>
      </c>
      <c r="AP18" s="826">
        <f t="shared" si="19"/>
        <v>88086.736215229655</v>
      </c>
      <c r="AR18" s="834">
        <f t="shared" si="20"/>
        <v>68113150.716275766</v>
      </c>
      <c r="AS18" s="826">
        <f t="shared" si="20"/>
        <v>3689359.9544726457</v>
      </c>
      <c r="AT18" s="826">
        <f t="shared" si="20"/>
        <v>19995689.120857131</v>
      </c>
      <c r="AV18" s="843">
        <f t="shared" si="21"/>
        <v>-347119.28372423351</v>
      </c>
      <c r="AW18" s="844">
        <f t="shared" si="21"/>
        <v>-4020.0455273543485</v>
      </c>
      <c r="AX18" s="845">
        <f t="shared" si="21"/>
        <v>-12360.879142869264</v>
      </c>
      <c r="AZ18" s="826">
        <f t="shared" si="22"/>
        <v>-0.42271048646662734</v>
      </c>
      <c r="BA18" s="826">
        <f t="shared" si="22"/>
        <v>-15.343685218909741</v>
      </c>
      <c r="BB18" s="826">
        <f t="shared" si="22"/>
        <v>-54.453212083113613</v>
      </c>
      <c r="BD18" s="829">
        <f t="shared" si="23"/>
        <v>-5.0703756167516101E-3</v>
      </c>
      <c r="BE18" s="829">
        <f t="shared" si="23"/>
        <v>-1.0884462273998974E-3</v>
      </c>
      <c r="BF18" s="829">
        <f t="shared" si="23"/>
        <v>-6.1779529453742654E-4</v>
      </c>
      <c r="BH18" s="829">
        <f t="shared" si="24"/>
        <v>8.2391019644521002E-3</v>
      </c>
      <c r="BJ18" s="835"/>
    </row>
    <row r="19" spans="1:62" x14ac:dyDescent="0.2">
      <c r="A19" s="825">
        <f t="shared" si="25"/>
        <v>2017</v>
      </c>
      <c r="B19" s="825">
        <f t="shared" si="26"/>
        <v>11</v>
      </c>
      <c r="D19" s="830">
        <v>103857490</v>
      </c>
      <c r="E19" s="830">
        <v>4100720</v>
      </c>
      <c r="F19" s="830">
        <v>19483390</v>
      </c>
      <c r="H19" s="831">
        <v>823372</v>
      </c>
      <c r="I19" s="831">
        <v>262</v>
      </c>
      <c r="J19" s="831">
        <v>227</v>
      </c>
      <c r="L19" s="826">
        <f t="shared" si="12"/>
        <v>126.13677657243628</v>
      </c>
      <c r="M19" s="826">
        <f t="shared" si="12"/>
        <v>15651.603053435114</v>
      </c>
      <c r="N19" s="826">
        <f t="shared" si="12"/>
        <v>85829.911894273129</v>
      </c>
      <c r="P19" s="827">
        <v>583.59097222222204</v>
      </c>
      <c r="Q19" s="836">
        <v>563.87490000000003</v>
      </c>
      <c r="R19" s="827">
        <f t="shared" si="13"/>
        <v>19.71607222222201</v>
      </c>
      <c r="T19" s="833">
        <v>0.17032700000000001</v>
      </c>
      <c r="U19" s="833">
        <v>2.1094179999999998</v>
      </c>
      <c r="V19" s="833">
        <v>33.561230000000002</v>
      </c>
      <c r="X19" s="826">
        <f t="shared" si="14"/>
        <v>3.3581794333944086</v>
      </c>
      <c r="Y19" s="826">
        <f t="shared" si="14"/>
        <v>41.589437634855102</v>
      </c>
      <c r="Z19" s="826">
        <f t="shared" si="14"/>
        <v>661.69563454660408</v>
      </c>
      <c r="AB19" s="827">
        <v>54.622222222222199</v>
      </c>
      <c r="AC19" s="836">
        <v>34.999899999999997</v>
      </c>
      <c r="AD19" s="827">
        <f t="shared" si="15"/>
        <v>19.622322222222202</v>
      </c>
      <c r="AF19" s="833">
        <v>5.4553999999999998E-2</v>
      </c>
      <c r="AH19" s="826">
        <f t="shared" si="16"/>
        <v>1.07047616651111</v>
      </c>
      <c r="AJ19" s="826">
        <f t="shared" si="17"/>
        <v>4.4286555999055182</v>
      </c>
      <c r="AK19" s="826">
        <f t="shared" si="18"/>
        <v>41.589437634855102</v>
      </c>
      <c r="AL19" s="826">
        <f t="shared" si="18"/>
        <v>661.69563454660408</v>
      </c>
      <c r="AN19" s="834">
        <f t="shared" si="19"/>
        <v>130.56543217234179</v>
      </c>
      <c r="AO19" s="826">
        <f t="shared" si="19"/>
        <v>15693.192491069969</v>
      </c>
      <c r="AP19" s="826">
        <f t="shared" si="19"/>
        <v>86491.607528819732</v>
      </c>
      <c r="AR19" s="834">
        <f t="shared" si="20"/>
        <v>107503921.0186054</v>
      </c>
      <c r="AS19" s="826">
        <f t="shared" si="20"/>
        <v>4111616.4326603319</v>
      </c>
      <c r="AT19" s="826">
        <f t="shared" si="20"/>
        <v>19633594.909042079</v>
      </c>
      <c r="AV19" s="843">
        <f t="shared" si="21"/>
        <v>3646431.0186053962</v>
      </c>
      <c r="AW19" s="844">
        <f t="shared" si="21"/>
        <v>10896.43266033195</v>
      </c>
      <c r="AX19" s="845">
        <f t="shared" si="21"/>
        <v>150204.909042079</v>
      </c>
      <c r="AZ19" s="826">
        <f t="shared" si="22"/>
        <v>4.4286555999055111</v>
      </c>
      <c r="BA19" s="826">
        <f t="shared" si="22"/>
        <v>41.58943763485513</v>
      </c>
      <c r="BB19" s="826">
        <f t="shared" si="22"/>
        <v>661.69563454660238</v>
      </c>
      <c r="BD19" s="829">
        <f t="shared" si="23"/>
        <v>3.5109947473267455E-2</v>
      </c>
      <c r="BE19" s="829">
        <f t="shared" si="23"/>
        <v>2.6571998722986212E-3</v>
      </c>
      <c r="BF19" s="829">
        <f t="shared" si="23"/>
        <v>7.7093826609271332E-3</v>
      </c>
      <c r="BH19" s="829">
        <f t="shared" si="24"/>
        <v>-3.3784059659364374E-2</v>
      </c>
      <c r="BJ19" s="835"/>
    </row>
    <row r="20" spans="1:62" x14ac:dyDescent="0.2">
      <c r="A20" s="825">
        <f t="shared" si="25"/>
        <v>2017</v>
      </c>
      <c r="B20" s="825">
        <f t="shared" si="26"/>
        <v>12</v>
      </c>
      <c r="D20" s="830">
        <v>144743070</v>
      </c>
      <c r="E20" s="830">
        <v>5252100</v>
      </c>
      <c r="F20" s="830">
        <v>22139090</v>
      </c>
      <c r="H20" s="831">
        <v>824977</v>
      </c>
      <c r="I20" s="831">
        <v>262</v>
      </c>
      <c r="J20" s="831">
        <v>226</v>
      </c>
      <c r="L20" s="826">
        <f t="shared" si="12"/>
        <v>175.45103681678398</v>
      </c>
      <c r="M20" s="826">
        <f t="shared" si="12"/>
        <v>20046.183206106871</v>
      </c>
      <c r="N20" s="826">
        <f t="shared" si="12"/>
        <v>97960.575221238934</v>
      </c>
      <c r="P20" s="827">
        <v>747.57777777777801</v>
      </c>
      <c r="Q20" s="836">
        <v>780.5</v>
      </c>
      <c r="R20" s="827">
        <f t="shared" si="13"/>
        <v>-32.92222222222199</v>
      </c>
      <c r="T20" s="833">
        <v>0.15499199999999999</v>
      </c>
      <c r="U20" s="833">
        <v>0</v>
      </c>
      <c r="V20" s="833">
        <v>20.750160000000001</v>
      </c>
      <c r="X20" s="826">
        <f t="shared" si="14"/>
        <v>-5.10268106666663</v>
      </c>
      <c r="Y20" s="826">
        <f t="shared" si="14"/>
        <v>0</v>
      </c>
      <c r="Z20" s="826">
        <f t="shared" si="14"/>
        <v>-683.14137866666192</v>
      </c>
      <c r="AB20" s="827">
        <v>148.73472222222199</v>
      </c>
      <c r="AC20" s="836">
        <v>165.79169999999996</v>
      </c>
      <c r="AD20" s="827">
        <f t="shared" si="15"/>
        <v>-17.056977777777973</v>
      </c>
      <c r="AF20" s="833">
        <v>5.3419000000000001E-2</v>
      </c>
      <c r="AH20" s="826">
        <f t="shared" si="16"/>
        <v>-0.91116669591112154</v>
      </c>
      <c r="AJ20" s="826">
        <f t="shared" si="17"/>
        <v>-6.0138477625777513</v>
      </c>
      <c r="AK20" s="826">
        <f t="shared" si="18"/>
        <v>0</v>
      </c>
      <c r="AL20" s="826">
        <f t="shared" si="18"/>
        <v>-683.14137866666192</v>
      </c>
      <c r="AN20" s="834">
        <f t="shared" si="19"/>
        <v>169.43718905420624</v>
      </c>
      <c r="AO20" s="826">
        <f t="shared" si="19"/>
        <v>20046.183206106871</v>
      </c>
      <c r="AP20" s="826">
        <f t="shared" si="19"/>
        <v>97277.433842572267</v>
      </c>
      <c r="AR20" s="834">
        <f t="shared" si="20"/>
        <v>139781783.91437191</v>
      </c>
      <c r="AS20" s="826">
        <f t="shared" si="20"/>
        <v>5252100</v>
      </c>
      <c r="AT20" s="826">
        <f t="shared" si="20"/>
        <v>21984700.048421331</v>
      </c>
      <c r="AV20" s="843">
        <f t="shared" si="21"/>
        <v>-4961286.0856280923</v>
      </c>
      <c r="AW20" s="844">
        <f t="shared" si="21"/>
        <v>0</v>
      </c>
      <c r="AX20" s="845">
        <f t="shared" si="21"/>
        <v>-154389.95157866925</v>
      </c>
      <c r="AZ20" s="826">
        <f t="shared" si="22"/>
        <v>-6.0138477625777398</v>
      </c>
      <c r="BA20" s="826">
        <f t="shared" si="22"/>
        <v>0</v>
      </c>
      <c r="BB20" s="826">
        <f t="shared" si="22"/>
        <v>-683.14137866666715</v>
      </c>
      <c r="BD20" s="829">
        <f t="shared" si="23"/>
        <v>-3.4276501704904372E-2</v>
      </c>
      <c r="BE20" s="829">
        <f t="shared" si="23"/>
        <v>0</v>
      </c>
      <c r="BF20" s="829">
        <f t="shared" si="23"/>
        <v>-6.9736358440509738E-3</v>
      </c>
      <c r="BH20" s="829">
        <f t="shared" si="24"/>
        <v>4.4038524419606651E-2</v>
      </c>
      <c r="BJ20" s="835"/>
    </row>
    <row r="21" spans="1:62" x14ac:dyDescent="0.2">
      <c r="A21" s="825">
        <f t="shared" si="25"/>
        <v>2018</v>
      </c>
      <c r="B21" s="825">
        <f t="shared" si="26"/>
        <v>1</v>
      </c>
      <c r="D21" s="830">
        <v>120059570</v>
      </c>
      <c r="E21" s="830">
        <v>5872120</v>
      </c>
      <c r="F21" s="830">
        <v>19926430</v>
      </c>
      <c r="H21" s="831">
        <v>826065</v>
      </c>
      <c r="I21" s="831">
        <v>262</v>
      </c>
      <c r="J21" s="831">
        <v>229</v>
      </c>
      <c r="L21" s="826">
        <f t="shared" si="12"/>
        <v>145.33913190850598</v>
      </c>
      <c r="M21" s="826">
        <f t="shared" si="12"/>
        <v>22412.67175572519</v>
      </c>
      <c r="N21" s="826">
        <f t="shared" si="12"/>
        <v>87014.978165938868</v>
      </c>
      <c r="P21" s="827">
        <f>P9</f>
        <v>723.21388888888896</v>
      </c>
      <c r="Q21" s="836">
        <v>628.70833333333326</v>
      </c>
      <c r="R21" s="827">
        <f t="shared" si="13"/>
        <v>94.505555555555702</v>
      </c>
      <c r="T21" s="828">
        <f t="shared" ref="T21:V26" si="27">T9</f>
        <v>0.17000499999999999</v>
      </c>
      <c r="U21" s="828">
        <f t="shared" si="27"/>
        <v>9.5439469999999993</v>
      </c>
      <c r="V21" s="828">
        <f t="shared" si="27"/>
        <v>33.673139999999997</v>
      </c>
      <c r="X21" s="826">
        <f t="shared" si="14"/>
        <v>16.066416972222246</v>
      </c>
      <c r="Y21" s="826">
        <f t="shared" si="14"/>
        <v>901.95601342777911</v>
      </c>
      <c r="Z21" s="826">
        <f t="shared" si="14"/>
        <v>3182.2988030000047</v>
      </c>
      <c r="AB21" s="827">
        <f>AB9</f>
        <v>131.923611111111</v>
      </c>
      <c r="AC21" s="836">
        <v>49.499999999999993</v>
      </c>
      <c r="AD21" s="827">
        <f t="shared" si="15"/>
        <v>82.423611111111001</v>
      </c>
      <c r="AF21" s="828">
        <f t="shared" ref="AF21:AF26" si="28">AF9</f>
        <v>4.3666999999999997E-2</v>
      </c>
      <c r="AH21" s="826">
        <f t="shared" si="16"/>
        <v>3.5991918263888838</v>
      </c>
      <c r="AJ21" s="826">
        <f t="shared" si="17"/>
        <v>19.665608798611132</v>
      </c>
      <c r="AK21" s="826">
        <f t="shared" si="18"/>
        <v>901.95601342777911</v>
      </c>
      <c r="AL21" s="826">
        <f t="shared" si="18"/>
        <v>3182.2988030000047</v>
      </c>
      <c r="AN21" s="834">
        <f t="shared" si="19"/>
        <v>165.00474070711709</v>
      </c>
      <c r="AO21" s="826">
        <f t="shared" si="19"/>
        <v>23314.627769152969</v>
      </c>
      <c r="AP21" s="826">
        <f t="shared" si="19"/>
        <v>90197.276968938866</v>
      </c>
      <c r="AR21" s="834">
        <f t="shared" si="20"/>
        <v>136304641.13222468</v>
      </c>
      <c r="AS21" s="826">
        <f t="shared" si="20"/>
        <v>6108432.4755180776</v>
      </c>
      <c r="AT21" s="826">
        <f t="shared" si="20"/>
        <v>20655176.425887</v>
      </c>
      <c r="AV21" s="843">
        <f t="shared" si="21"/>
        <v>16245071.132224679</v>
      </c>
      <c r="AW21" s="844">
        <f t="shared" si="21"/>
        <v>236312.47551807761</v>
      </c>
      <c r="AX21" s="845">
        <f t="shared" si="21"/>
        <v>728746.42588699982</v>
      </c>
      <c r="AZ21" s="826">
        <f t="shared" si="22"/>
        <v>19.665608798611117</v>
      </c>
      <c r="BA21" s="826">
        <f t="shared" si="22"/>
        <v>901.95601342777809</v>
      </c>
      <c r="BB21" s="826">
        <f t="shared" si="22"/>
        <v>3182.2988029999979</v>
      </c>
      <c r="BD21" s="829">
        <f t="shared" si="23"/>
        <v>0.13530842341201699</v>
      </c>
      <c r="BE21" s="829">
        <f t="shared" si="23"/>
        <v>4.0243127783164745E-2</v>
      </c>
      <c r="BF21" s="829">
        <f t="shared" si="23"/>
        <v>3.6571850847693321E-2</v>
      </c>
      <c r="BH21" s="829">
        <f t="shared" si="24"/>
        <v>-0.13067442012313879</v>
      </c>
      <c r="BJ21" s="835"/>
    </row>
    <row r="22" spans="1:62" x14ac:dyDescent="0.2">
      <c r="A22" s="825">
        <f t="shared" si="25"/>
        <v>2018</v>
      </c>
      <c r="B22" s="825">
        <f t="shared" si="26"/>
        <v>2</v>
      </c>
      <c r="D22" s="830">
        <v>123710710</v>
      </c>
      <c r="E22" s="830">
        <v>5356100</v>
      </c>
      <c r="F22" s="830">
        <v>20288910</v>
      </c>
      <c r="H22" s="831">
        <v>827206</v>
      </c>
      <c r="I22" s="831">
        <v>262</v>
      </c>
      <c r="J22" s="831">
        <v>231</v>
      </c>
      <c r="L22" s="826">
        <f t="shared" si="12"/>
        <v>149.55248148586929</v>
      </c>
      <c r="M22" s="826">
        <f t="shared" si="12"/>
        <v>20443.129770992367</v>
      </c>
      <c r="N22" s="826">
        <f t="shared" si="12"/>
        <v>87830.779220779223</v>
      </c>
      <c r="P22" s="827">
        <f t="shared" ref="P22:P32" si="29">P10</f>
        <v>616.98611111111097</v>
      </c>
      <c r="Q22" s="836">
        <v>672.58333333333303</v>
      </c>
      <c r="R22" s="827">
        <f t="shared" si="13"/>
        <v>-55.597222222222058</v>
      </c>
      <c r="T22" s="828">
        <f t="shared" si="27"/>
        <v>0.18637999999999999</v>
      </c>
      <c r="U22" s="828">
        <f t="shared" si="27"/>
        <v>9.7854740000000007</v>
      </c>
      <c r="V22" s="828">
        <f t="shared" si="27"/>
        <v>31.906300000000002</v>
      </c>
      <c r="X22" s="826">
        <f t="shared" si="14"/>
        <v>-10.362210277777747</v>
      </c>
      <c r="Y22" s="826">
        <f t="shared" si="14"/>
        <v>-544.04517252777623</v>
      </c>
      <c r="Z22" s="826">
        <f t="shared" si="14"/>
        <v>-1773.9016513888837</v>
      </c>
      <c r="AB22" s="827">
        <f>AB10</f>
        <v>89.9930555555556</v>
      </c>
      <c r="AC22" s="836">
        <v>140.583333333333</v>
      </c>
      <c r="AD22" s="827">
        <f t="shared" si="15"/>
        <v>-50.590277777777402</v>
      </c>
      <c r="AF22" s="828">
        <f t="shared" si="28"/>
        <v>3.6380000000000003E-2</v>
      </c>
      <c r="AH22" s="826">
        <f t="shared" si="16"/>
        <v>-1.8404743055555419</v>
      </c>
      <c r="AJ22" s="826">
        <f t="shared" si="17"/>
        <v>-12.202684583333289</v>
      </c>
      <c r="AK22" s="826">
        <f t="shared" si="18"/>
        <v>-544.04517252777623</v>
      </c>
      <c r="AL22" s="826">
        <f t="shared" si="18"/>
        <v>-1773.9016513888837</v>
      </c>
      <c r="AN22" s="834">
        <f t="shared" si="19"/>
        <v>137.34979690253601</v>
      </c>
      <c r="AO22" s="826">
        <f t="shared" si="19"/>
        <v>19899.084598464593</v>
      </c>
      <c r="AP22" s="826">
        <f t="shared" si="19"/>
        <v>86056.877569390344</v>
      </c>
      <c r="AR22" s="834">
        <f t="shared" si="20"/>
        <v>113616576.09655921</v>
      </c>
      <c r="AS22" s="826">
        <f t="shared" si="20"/>
        <v>5213560.1647977233</v>
      </c>
      <c r="AT22" s="826">
        <f t="shared" si="20"/>
        <v>19879138.718529169</v>
      </c>
      <c r="AV22" s="843">
        <f t="shared" si="21"/>
        <v>-10094133.903440788</v>
      </c>
      <c r="AW22" s="844">
        <f t="shared" si="21"/>
        <v>-142539.83520227671</v>
      </c>
      <c r="AX22" s="845">
        <f t="shared" si="21"/>
        <v>-409771.28147083148</v>
      </c>
      <c r="AZ22" s="826">
        <f t="shared" si="22"/>
        <v>-12.20268458333328</v>
      </c>
      <c r="BA22" s="826">
        <f t="shared" si="22"/>
        <v>-544.04517252777441</v>
      </c>
      <c r="BB22" s="826">
        <f t="shared" si="22"/>
        <v>-1773.9016513888782</v>
      </c>
      <c r="BD22" s="829">
        <f t="shared" si="23"/>
        <v>-8.1594664709634168E-2</v>
      </c>
      <c r="BE22" s="829">
        <f t="shared" si="23"/>
        <v>-2.6612616493769115E-2</v>
      </c>
      <c r="BF22" s="829">
        <f t="shared" si="23"/>
        <v>-2.0196811039668083E-2</v>
      </c>
      <c r="BH22" s="829">
        <f t="shared" si="24"/>
        <v>9.0110978547148779E-2</v>
      </c>
      <c r="BJ22" s="835"/>
    </row>
    <row r="23" spans="1:62" x14ac:dyDescent="0.2">
      <c r="A23" s="825">
        <f t="shared" si="25"/>
        <v>2018</v>
      </c>
      <c r="B23" s="825">
        <f t="shared" si="26"/>
        <v>3</v>
      </c>
      <c r="D23" s="830">
        <v>104958540</v>
      </c>
      <c r="E23" s="830">
        <v>5043210</v>
      </c>
      <c r="F23" s="830">
        <v>21711660</v>
      </c>
      <c r="H23" s="831">
        <v>828008</v>
      </c>
      <c r="I23" s="831">
        <v>262</v>
      </c>
      <c r="J23" s="831">
        <v>231</v>
      </c>
      <c r="L23" s="826">
        <f t="shared" si="12"/>
        <v>126.76029700196133</v>
      </c>
      <c r="M23" s="826">
        <f t="shared" si="12"/>
        <v>19248.893129770993</v>
      </c>
      <c r="N23" s="826">
        <f t="shared" si="12"/>
        <v>93989.870129870134</v>
      </c>
      <c r="P23" s="827">
        <f t="shared" si="29"/>
        <v>592.16805555555595</v>
      </c>
      <c r="Q23" s="836">
        <v>589.02083333333303</v>
      </c>
      <c r="R23" s="827">
        <f t="shared" si="13"/>
        <v>3.147222222222922</v>
      </c>
      <c r="T23" s="828">
        <f t="shared" si="27"/>
        <v>0.15654499999999999</v>
      </c>
      <c r="U23" s="828">
        <f t="shared" si="27"/>
        <v>6.8281080000000003</v>
      </c>
      <c r="V23" s="828">
        <f t="shared" si="27"/>
        <v>17.693680000000001</v>
      </c>
      <c r="X23" s="826">
        <f t="shared" si="14"/>
        <v>0.49268190277788732</v>
      </c>
      <c r="Y23" s="826">
        <f t="shared" si="14"/>
        <v>21.489573233338113</v>
      </c>
      <c r="Z23" s="826">
        <f t="shared" si="14"/>
        <v>55.685942888901273</v>
      </c>
      <c r="AB23" s="827">
        <f t="shared" ref="AB23:AB32" si="30">AB11</f>
        <v>42.775694444444397</v>
      </c>
      <c r="AC23" s="836">
        <v>32.1666666666667</v>
      </c>
      <c r="AD23" s="827">
        <f t="shared" si="15"/>
        <v>10.609027777777698</v>
      </c>
      <c r="AF23" s="828">
        <f t="shared" si="28"/>
        <v>2.5321E-2</v>
      </c>
      <c r="AH23" s="826">
        <f t="shared" si="16"/>
        <v>0.26863119236110905</v>
      </c>
      <c r="AJ23" s="826">
        <f t="shared" si="17"/>
        <v>0.76131309513899637</v>
      </c>
      <c r="AK23" s="826">
        <f t="shared" si="18"/>
        <v>21.489573233338113</v>
      </c>
      <c r="AL23" s="826">
        <f t="shared" si="18"/>
        <v>55.685942888901273</v>
      </c>
      <c r="AN23" s="834">
        <f t="shared" si="19"/>
        <v>127.52161009710034</v>
      </c>
      <c r="AO23" s="826">
        <f t="shared" si="19"/>
        <v>19270.382703004332</v>
      </c>
      <c r="AP23" s="826">
        <f t="shared" si="19"/>
        <v>94045.556072759035</v>
      </c>
      <c r="AR23" s="834">
        <f t="shared" si="20"/>
        <v>105588913.33327985</v>
      </c>
      <c r="AS23" s="826">
        <f t="shared" si="20"/>
        <v>5048840.2681871355</v>
      </c>
      <c r="AT23" s="826">
        <f t="shared" si="20"/>
        <v>21724523.452807337</v>
      </c>
      <c r="AV23" s="843">
        <f t="shared" si="21"/>
        <v>630373.3332798481</v>
      </c>
      <c r="AW23" s="844">
        <f t="shared" si="21"/>
        <v>5630.268187135458</v>
      </c>
      <c r="AX23" s="845">
        <f t="shared" si="21"/>
        <v>12863.452807337046</v>
      </c>
      <c r="AZ23" s="826">
        <f t="shared" si="22"/>
        <v>0.76131309513900192</v>
      </c>
      <c r="BA23" s="826">
        <f t="shared" si="22"/>
        <v>21.489573233338888</v>
      </c>
      <c r="BB23" s="826">
        <f t="shared" si="22"/>
        <v>55.685942888900172</v>
      </c>
      <c r="BD23" s="829">
        <f t="shared" si="23"/>
        <v>6.0059270382366581E-3</v>
      </c>
      <c r="BE23" s="829">
        <f t="shared" si="23"/>
        <v>1.1164056597159355E-3</v>
      </c>
      <c r="BF23" s="829">
        <f t="shared" si="23"/>
        <v>5.9246749476260518E-4</v>
      </c>
      <c r="BH23" s="829">
        <f t="shared" si="24"/>
        <v>-5.3147450165481613E-3</v>
      </c>
      <c r="BJ23" s="835"/>
    </row>
    <row r="24" spans="1:62" x14ac:dyDescent="0.2">
      <c r="A24" s="825">
        <f t="shared" si="25"/>
        <v>2018</v>
      </c>
      <c r="B24" s="825">
        <f t="shared" si="26"/>
        <v>4</v>
      </c>
      <c r="D24" s="830">
        <v>74655970</v>
      </c>
      <c r="E24" s="830">
        <v>4059980</v>
      </c>
      <c r="F24" s="830">
        <v>18924870</v>
      </c>
      <c r="H24" s="831">
        <v>828363</v>
      </c>
      <c r="I24" s="831">
        <v>262</v>
      </c>
      <c r="J24" s="831">
        <v>231</v>
      </c>
      <c r="L24" s="826">
        <f t="shared" si="12"/>
        <v>90.124703783244783</v>
      </c>
      <c r="M24" s="826">
        <f t="shared" si="12"/>
        <v>15496.106870229007</v>
      </c>
      <c r="N24" s="826">
        <f t="shared" si="12"/>
        <v>81925.844155844155</v>
      </c>
      <c r="P24" s="827">
        <f t="shared" si="29"/>
        <v>450.14722222222201</v>
      </c>
      <c r="Q24" s="836">
        <v>419.04166666666703</v>
      </c>
      <c r="R24" s="827">
        <f t="shared" si="13"/>
        <v>31.105555555554986</v>
      </c>
      <c r="T24" s="828">
        <f t="shared" si="27"/>
        <v>0.12182999999999999</v>
      </c>
      <c r="U24" s="828">
        <f t="shared" si="27"/>
        <v>2.8136559999999999</v>
      </c>
      <c r="V24" s="828">
        <f t="shared" si="27"/>
        <v>25.107050000000001</v>
      </c>
      <c r="X24" s="826">
        <f t="shared" si="14"/>
        <v>3.7895898333332636</v>
      </c>
      <c r="Y24" s="826">
        <f t="shared" si="14"/>
        <v>87.520333022220612</v>
      </c>
      <c r="Z24" s="826">
        <f t="shared" si="14"/>
        <v>780.9687386110968</v>
      </c>
      <c r="AB24" s="827">
        <f t="shared" si="30"/>
        <v>8.6638888888888896</v>
      </c>
      <c r="AC24" s="836">
        <v>2.9166666666666701</v>
      </c>
      <c r="AD24" s="827">
        <f t="shared" si="15"/>
        <v>5.74722222222222</v>
      </c>
      <c r="AF24" s="828">
        <f t="shared" si="28"/>
        <v>0</v>
      </c>
      <c r="AH24" s="826">
        <f t="shared" si="16"/>
        <v>0</v>
      </c>
      <c r="AJ24" s="826">
        <f t="shared" si="17"/>
        <v>3.7895898333332636</v>
      </c>
      <c r="AK24" s="826">
        <f t="shared" si="18"/>
        <v>87.520333022220612</v>
      </c>
      <c r="AL24" s="826">
        <f t="shared" si="18"/>
        <v>780.9687386110968</v>
      </c>
      <c r="AN24" s="834">
        <f t="shared" si="19"/>
        <v>93.91429361657805</v>
      </c>
      <c r="AO24" s="826">
        <f t="shared" si="19"/>
        <v>15583.627203251228</v>
      </c>
      <c r="AP24" s="826">
        <f t="shared" si="19"/>
        <v>82706.812894455259</v>
      </c>
      <c r="AR24" s="834">
        <f t="shared" si="20"/>
        <v>77795126.00310944</v>
      </c>
      <c r="AS24" s="826">
        <f t="shared" si="20"/>
        <v>4082910.3272518218</v>
      </c>
      <c r="AT24" s="826">
        <f t="shared" si="20"/>
        <v>19105273.778619166</v>
      </c>
      <c r="AV24" s="843">
        <f>AR24-D24</f>
        <v>3139156.0031094402</v>
      </c>
      <c r="AW24" s="844">
        <f t="shared" si="21"/>
        <v>22930.327251821756</v>
      </c>
      <c r="AX24" s="845">
        <f t="shared" si="21"/>
        <v>180403.77861916646</v>
      </c>
      <c r="AZ24" s="826">
        <f t="shared" si="22"/>
        <v>3.7895898333332667</v>
      </c>
      <c r="BA24" s="826">
        <f t="shared" si="22"/>
        <v>87.520333022221166</v>
      </c>
      <c r="BB24" s="826">
        <f t="shared" si="22"/>
        <v>780.96873861110362</v>
      </c>
      <c r="BD24" s="829">
        <f t="shared" si="23"/>
        <v>4.2048291692003303E-2</v>
      </c>
      <c r="BE24" s="829">
        <f t="shared" si="23"/>
        <v>5.6478916772551013E-3</v>
      </c>
      <c r="BF24" s="829">
        <f t="shared" si="23"/>
        <v>9.5326297416662431E-3</v>
      </c>
      <c r="BH24" s="829">
        <f t="shared" si="24"/>
        <v>-6.9100849722003255E-2</v>
      </c>
      <c r="BJ24" s="835"/>
    </row>
    <row r="25" spans="1:62" x14ac:dyDescent="0.2">
      <c r="A25" s="825">
        <f t="shared" si="25"/>
        <v>2018</v>
      </c>
      <c r="B25" s="825">
        <f t="shared" si="26"/>
        <v>5</v>
      </c>
      <c r="D25" s="830">
        <v>35758340</v>
      </c>
      <c r="E25" s="830">
        <v>3145740</v>
      </c>
      <c r="F25" s="830">
        <v>17825720</v>
      </c>
      <c r="H25" s="831">
        <v>828991</v>
      </c>
      <c r="I25" s="831">
        <v>261</v>
      </c>
      <c r="J25" s="831">
        <v>232</v>
      </c>
      <c r="L25" s="826">
        <f t="shared" ref="L25:N26" si="31">IF(H25=0,"",D25/(H25))</f>
        <v>43.134774683922984</v>
      </c>
      <c r="M25" s="826">
        <f t="shared" si="31"/>
        <v>12052.643678160919</v>
      </c>
      <c r="N25" s="826">
        <f t="shared" si="31"/>
        <v>76835</v>
      </c>
      <c r="P25" s="827">
        <f t="shared" si="29"/>
        <v>296.66111111111098</v>
      </c>
      <c r="Q25" s="836">
        <v>172.458333333333</v>
      </c>
      <c r="R25" s="827">
        <f t="shared" si="13"/>
        <v>124.20277777777798</v>
      </c>
      <c r="T25" s="828">
        <f t="shared" si="27"/>
        <v>8.4381999999999999E-2</v>
      </c>
      <c r="U25" s="828">
        <f t="shared" si="27"/>
        <v>0</v>
      </c>
      <c r="V25" s="828">
        <f t="shared" si="27"/>
        <v>16.939910000000001</v>
      </c>
      <c r="X25" s="826">
        <f t="shared" ref="X25:Z26" si="32">IF($R25="",0,T25*$R25)</f>
        <v>10.480478794444462</v>
      </c>
      <c r="Y25" s="826">
        <f t="shared" si="32"/>
        <v>0</v>
      </c>
      <c r="Z25" s="826">
        <f t="shared" si="32"/>
        <v>2103.983877305559</v>
      </c>
      <c r="AB25" s="827">
        <f t="shared" si="30"/>
        <v>0.41666666666666702</v>
      </c>
      <c r="AC25" s="836">
        <v>0</v>
      </c>
      <c r="AD25" s="827">
        <f t="shared" si="15"/>
        <v>0.41666666666666702</v>
      </c>
      <c r="AF25" s="828">
        <f t="shared" si="28"/>
        <v>0</v>
      </c>
      <c r="AH25" s="826">
        <f t="shared" si="16"/>
        <v>0</v>
      </c>
      <c r="AJ25" s="826">
        <f t="shared" si="17"/>
        <v>10.480478794444462</v>
      </c>
      <c r="AK25" s="826">
        <f t="shared" ref="AK25:AL26" si="33">Y25</f>
        <v>0</v>
      </c>
      <c r="AL25" s="826">
        <f t="shared" si="33"/>
        <v>2103.983877305559</v>
      </c>
      <c r="AN25" s="834">
        <f t="shared" ref="AN25:AP26" si="34">IF(L25="","",AJ25+L25)</f>
        <v>53.61525347836745</v>
      </c>
      <c r="AO25" s="826">
        <f t="shared" si="34"/>
        <v>12052.643678160919</v>
      </c>
      <c r="AP25" s="826">
        <f t="shared" si="34"/>
        <v>78938.983877305553</v>
      </c>
      <c r="AR25" s="834">
        <f t="shared" ref="AR25:AT26" si="35">IF(AN25="",0,AN25*H25)</f>
        <v>44446562.596285313</v>
      </c>
      <c r="AS25" s="826">
        <f t="shared" si="35"/>
        <v>3145740</v>
      </c>
      <c r="AT25" s="826">
        <f t="shared" si="35"/>
        <v>18313844.259534888</v>
      </c>
      <c r="AV25" s="843">
        <f t="shared" ref="AV25:AX26" si="36">AR25-D25</f>
        <v>8688222.5962853134</v>
      </c>
      <c r="AW25" s="844">
        <f t="shared" si="36"/>
        <v>0</v>
      </c>
      <c r="AX25" s="845">
        <f t="shared" si="36"/>
        <v>488124.25953488797</v>
      </c>
      <c r="AZ25" s="826">
        <f t="shared" ref="AZ25:BB26" si="37">IF(AN25="",0,AN25-L25)</f>
        <v>10.480478794444466</v>
      </c>
      <c r="BA25" s="826">
        <f t="shared" si="37"/>
        <v>0</v>
      </c>
      <c r="BB25" s="826">
        <f t="shared" si="37"/>
        <v>2103.9838773055526</v>
      </c>
      <c r="BD25" s="829">
        <f t="shared" ref="BD25:BF26" si="38">IF(AR25=0,0,AR25/D25-1)</f>
        <v>0.24297052369559968</v>
      </c>
      <c r="BE25" s="829">
        <f t="shared" si="38"/>
        <v>0</v>
      </c>
      <c r="BF25" s="829">
        <f t="shared" si="38"/>
        <v>2.7383144104972335E-2</v>
      </c>
      <c r="BH25" s="829">
        <f t="shared" si="24"/>
        <v>-0.41866888893050513</v>
      </c>
      <c r="BJ25" s="835"/>
    </row>
    <row r="26" spans="1:62" x14ac:dyDescent="0.2">
      <c r="A26" s="825">
        <f t="shared" si="25"/>
        <v>2018</v>
      </c>
      <c r="B26" s="825">
        <f t="shared" si="26"/>
        <v>6</v>
      </c>
      <c r="D26" s="830">
        <v>31916550</v>
      </c>
      <c r="E26" s="830">
        <v>2394950</v>
      </c>
      <c r="F26" s="830">
        <v>16729740</v>
      </c>
      <c r="H26" s="831">
        <v>829224</v>
      </c>
      <c r="I26" s="831">
        <v>260</v>
      </c>
      <c r="J26" s="831">
        <v>237</v>
      </c>
      <c r="L26" s="826">
        <f t="shared" si="31"/>
        <v>38.489660212439581</v>
      </c>
      <c r="M26" s="826">
        <f t="shared" si="31"/>
        <v>9211.3461538461543</v>
      </c>
      <c r="N26" s="826">
        <f t="shared" si="31"/>
        <v>70589.620253164554</v>
      </c>
      <c r="P26" s="827">
        <f t="shared" si="29"/>
        <v>162.50833333333301</v>
      </c>
      <c r="Q26" s="836">
        <v>124.833333333333</v>
      </c>
      <c r="R26" s="827">
        <f t="shared" si="13"/>
        <v>37.675000000000011</v>
      </c>
      <c r="T26" s="828">
        <f t="shared" si="27"/>
        <v>5.4715E-2</v>
      </c>
      <c r="U26" s="828">
        <f t="shared" si="27"/>
        <v>0</v>
      </c>
      <c r="V26" s="828">
        <f t="shared" si="27"/>
        <v>14.62228</v>
      </c>
      <c r="X26" s="826">
        <f t="shared" si="32"/>
        <v>2.0613876250000005</v>
      </c>
      <c r="Y26" s="826">
        <f t="shared" si="32"/>
        <v>0</v>
      </c>
      <c r="Z26" s="826">
        <f t="shared" si="32"/>
        <v>550.89439900000013</v>
      </c>
      <c r="AB26" s="827">
        <f t="shared" si="30"/>
        <v>0</v>
      </c>
      <c r="AC26" s="836">
        <v>0</v>
      </c>
      <c r="AD26" s="827">
        <f t="shared" si="15"/>
        <v>0</v>
      </c>
      <c r="AF26" s="828">
        <f t="shared" si="28"/>
        <v>0</v>
      </c>
      <c r="AH26" s="826">
        <f t="shared" si="16"/>
        <v>0</v>
      </c>
      <c r="AJ26" s="826">
        <f t="shared" si="17"/>
        <v>2.0613876250000005</v>
      </c>
      <c r="AK26" s="826">
        <f t="shared" si="33"/>
        <v>0</v>
      </c>
      <c r="AL26" s="826">
        <f t="shared" si="33"/>
        <v>550.89439900000013</v>
      </c>
      <c r="AN26" s="834">
        <f t="shared" si="34"/>
        <v>40.551047837439583</v>
      </c>
      <c r="AO26" s="826">
        <f t="shared" si="34"/>
        <v>9211.3461538461543</v>
      </c>
      <c r="AP26" s="826">
        <f t="shared" si="34"/>
        <v>71140.514652164551</v>
      </c>
      <c r="AR26" s="834">
        <f t="shared" si="35"/>
        <v>33625902.091953002</v>
      </c>
      <c r="AS26" s="826">
        <f t="shared" si="35"/>
        <v>2394950</v>
      </c>
      <c r="AT26" s="826">
        <f t="shared" si="35"/>
        <v>16860301.972562999</v>
      </c>
      <c r="AV26" s="843">
        <f t="shared" si="36"/>
        <v>1709352.0919530019</v>
      </c>
      <c r="AW26" s="844">
        <f t="shared" si="36"/>
        <v>0</v>
      </c>
      <c r="AX26" s="845">
        <f t="shared" si="36"/>
        <v>130561.97256299853</v>
      </c>
      <c r="AZ26" s="826">
        <f t="shared" si="37"/>
        <v>2.0613876250000018</v>
      </c>
      <c r="BA26" s="826">
        <f t="shared" si="37"/>
        <v>0</v>
      </c>
      <c r="BB26" s="826">
        <f t="shared" si="37"/>
        <v>550.89439899999707</v>
      </c>
      <c r="BD26" s="829">
        <f t="shared" si="38"/>
        <v>5.3556919277083503E-2</v>
      </c>
      <c r="BE26" s="829">
        <f t="shared" si="38"/>
        <v>0</v>
      </c>
      <c r="BF26" s="829">
        <f t="shared" si="38"/>
        <v>7.8041841990967864E-3</v>
      </c>
      <c r="BH26" s="829">
        <f t="shared" si="24"/>
        <v>-0.23183426490949233</v>
      </c>
      <c r="BJ26" s="835"/>
    </row>
    <row r="27" spans="1:62" x14ac:dyDescent="0.2">
      <c r="A27" s="825">
        <f t="shared" si="25"/>
        <v>2018</v>
      </c>
      <c r="B27" s="825">
        <f t="shared" si="26"/>
        <v>7</v>
      </c>
      <c r="D27" s="830"/>
      <c r="E27" s="830"/>
      <c r="F27" s="830"/>
      <c r="H27" s="831"/>
      <c r="I27" s="831"/>
      <c r="J27" s="831"/>
      <c r="P27" s="827">
        <f t="shared" si="29"/>
        <v>57.0138888888889</v>
      </c>
      <c r="Q27" s="836"/>
      <c r="T27" s="828"/>
      <c r="U27" s="828"/>
      <c r="V27" s="828"/>
      <c r="X27" s="826"/>
      <c r="Y27" s="826"/>
      <c r="Z27" s="826"/>
      <c r="AB27" s="827">
        <f t="shared" si="30"/>
        <v>0</v>
      </c>
      <c r="AC27" s="836"/>
      <c r="AD27" s="827" t="str">
        <f t="shared" si="15"/>
        <v/>
      </c>
      <c r="AF27" s="828"/>
      <c r="AJ27" s="826"/>
      <c r="AK27" s="826"/>
      <c r="AL27" s="826"/>
      <c r="AN27" s="834"/>
      <c r="AO27" s="826"/>
      <c r="AP27" s="826"/>
      <c r="AR27" s="834"/>
      <c r="AS27" s="826"/>
      <c r="AT27" s="826"/>
      <c r="AV27" s="844"/>
      <c r="AW27" s="844"/>
      <c r="AX27" s="844"/>
      <c r="AZ27" s="826"/>
      <c r="BA27" s="826"/>
      <c r="BB27" s="826"/>
      <c r="BD27" s="829"/>
      <c r="BE27" s="829"/>
      <c r="BF27" s="829"/>
      <c r="BH27" s="829"/>
      <c r="BJ27" s="835"/>
    </row>
    <row r="28" spans="1:62" x14ac:dyDescent="0.2">
      <c r="A28" s="825">
        <f t="shared" si="25"/>
        <v>2018</v>
      </c>
      <c r="B28" s="825">
        <f t="shared" si="26"/>
        <v>8</v>
      </c>
      <c r="D28" s="830"/>
      <c r="E28" s="830"/>
      <c r="F28" s="830"/>
      <c r="H28" s="831"/>
      <c r="I28" s="831"/>
      <c r="J28" s="831"/>
      <c r="P28" s="827">
        <f t="shared" si="29"/>
        <v>47.509722222222202</v>
      </c>
      <c r="Q28" s="836"/>
      <c r="T28" s="828"/>
      <c r="U28" s="828"/>
      <c r="V28" s="828"/>
      <c r="X28" s="826"/>
      <c r="Y28" s="826"/>
      <c r="Z28" s="826"/>
      <c r="AB28" s="827">
        <f t="shared" si="30"/>
        <v>0</v>
      </c>
      <c r="AC28" s="836"/>
      <c r="AD28" s="827" t="str">
        <f t="shared" si="15"/>
        <v/>
      </c>
      <c r="AF28" s="828"/>
      <c r="AJ28" s="826"/>
      <c r="AK28" s="826"/>
      <c r="AL28" s="826"/>
      <c r="AN28" s="834"/>
      <c r="AO28" s="826"/>
      <c r="AP28" s="826"/>
      <c r="AR28" s="834"/>
      <c r="AS28" s="826"/>
      <c r="AT28" s="826"/>
      <c r="AV28" s="844"/>
      <c r="AW28" s="844"/>
      <c r="AX28" s="844"/>
      <c r="AZ28" s="826"/>
      <c r="BA28" s="826"/>
      <c r="BB28" s="826"/>
      <c r="BD28" s="829"/>
      <c r="BE28" s="829"/>
      <c r="BF28" s="829"/>
      <c r="BH28" s="829"/>
      <c r="BJ28" s="835"/>
    </row>
    <row r="29" spans="1:62" x14ac:dyDescent="0.2">
      <c r="A29" s="825">
        <f t="shared" si="25"/>
        <v>2018</v>
      </c>
      <c r="B29" s="825">
        <f t="shared" si="26"/>
        <v>9</v>
      </c>
      <c r="D29" s="830"/>
      <c r="E29" s="830"/>
      <c r="F29" s="830"/>
      <c r="H29" s="831"/>
      <c r="I29" s="831"/>
      <c r="J29" s="831"/>
      <c r="P29" s="827">
        <f t="shared" si="29"/>
        <v>136.759722222222</v>
      </c>
      <c r="Q29" s="836"/>
      <c r="T29" s="828"/>
      <c r="U29" s="828"/>
      <c r="V29" s="828"/>
      <c r="X29" s="826"/>
      <c r="Y29" s="826"/>
      <c r="Z29" s="826"/>
      <c r="AB29" s="827">
        <f t="shared" si="30"/>
        <v>0</v>
      </c>
      <c r="AC29" s="836"/>
      <c r="AD29" s="827" t="str">
        <f t="shared" si="15"/>
        <v/>
      </c>
      <c r="AF29" s="828"/>
      <c r="AJ29" s="826"/>
      <c r="AK29" s="826"/>
      <c r="AL29" s="826"/>
      <c r="AN29" s="834"/>
      <c r="AO29" s="826"/>
      <c r="AP29" s="826"/>
      <c r="AR29" s="834"/>
      <c r="AS29" s="826"/>
      <c r="AT29" s="826"/>
      <c r="AV29" s="844"/>
      <c r="AW29" s="844"/>
      <c r="AX29" s="844"/>
      <c r="AZ29" s="826"/>
      <c r="BA29" s="826"/>
      <c r="BB29" s="826"/>
      <c r="BD29" s="829"/>
      <c r="BE29" s="829"/>
      <c r="BF29" s="829"/>
      <c r="BH29" s="829"/>
      <c r="BJ29" s="835"/>
    </row>
    <row r="30" spans="1:62" x14ac:dyDescent="0.2">
      <c r="A30" s="825">
        <f t="shared" si="25"/>
        <v>2018</v>
      </c>
      <c r="B30" s="825">
        <f t="shared" si="26"/>
        <v>10</v>
      </c>
      <c r="D30" s="830"/>
      <c r="E30" s="830"/>
      <c r="F30" s="830"/>
      <c r="H30" s="831"/>
      <c r="I30" s="831"/>
      <c r="J30" s="831"/>
      <c r="P30" s="827">
        <f t="shared" si="29"/>
        <v>386.027777777778</v>
      </c>
      <c r="Q30" s="836"/>
      <c r="T30" s="828"/>
      <c r="U30" s="828"/>
      <c r="V30" s="828"/>
      <c r="X30" s="826"/>
      <c r="Y30" s="826"/>
      <c r="Z30" s="826"/>
      <c r="AB30" s="827">
        <f t="shared" si="30"/>
        <v>2.8333333333333299</v>
      </c>
      <c r="AC30" s="836"/>
      <c r="AD30" s="827" t="str">
        <f t="shared" si="15"/>
        <v/>
      </c>
      <c r="AF30" s="828"/>
      <c r="AJ30" s="826"/>
      <c r="AK30" s="826"/>
      <c r="AL30" s="826"/>
      <c r="AN30" s="834"/>
      <c r="AO30" s="826"/>
      <c r="AP30" s="826"/>
      <c r="AR30" s="834"/>
      <c r="AS30" s="826"/>
      <c r="AT30" s="826"/>
      <c r="AV30" s="844"/>
      <c r="AW30" s="844"/>
      <c r="AX30" s="844"/>
      <c r="AZ30" s="826"/>
      <c r="BA30" s="826"/>
      <c r="BB30" s="826"/>
      <c r="BD30" s="829"/>
      <c r="BE30" s="829"/>
      <c r="BF30" s="829"/>
      <c r="BH30" s="829"/>
      <c r="BJ30" s="835"/>
    </row>
    <row r="31" spans="1:62" x14ac:dyDescent="0.2">
      <c r="A31" s="825">
        <f t="shared" si="25"/>
        <v>2018</v>
      </c>
      <c r="B31" s="825">
        <f t="shared" si="26"/>
        <v>11</v>
      </c>
      <c r="D31" s="830"/>
      <c r="E31" s="830"/>
      <c r="F31" s="830"/>
      <c r="H31" s="831"/>
      <c r="I31" s="831"/>
      <c r="J31" s="831"/>
      <c r="P31" s="827">
        <f t="shared" si="29"/>
        <v>583.59097222222204</v>
      </c>
      <c r="Q31" s="836"/>
      <c r="T31" s="828"/>
      <c r="U31" s="828"/>
      <c r="V31" s="828"/>
      <c r="X31" s="826"/>
      <c r="Y31" s="826"/>
      <c r="Z31" s="826"/>
      <c r="AB31" s="827">
        <f t="shared" si="30"/>
        <v>54.622222222222199</v>
      </c>
      <c r="AC31" s="836"/>
      <c r="AD31" s="827" t="str">
        <f t="shared" si="15"/>
        <v/>
      </c>
      <c r="AF31" s="828"/>
      <c r="AJ31" s="826"/>
      <c r="AK31" s="826"/>
      <c r="AL31" s="826"/>
      <c r="AN31" s="834"/>
      <c r="AO31" s="826"/>
      <c r="AP31" s="826"/>
      <c r="AR31" s="834"/>
      <c r="AS31" s="826"/>
      <c r="AT31" s="826"/>
      <c r="AV31" s="844"/>
      <c r="AW31" s="844"/>
      <c r="AX31" s="844"/>
      <c r="AZ31" s="826"/>
      <c r="BA31" s="826"/>
      <c r="BB31" s="826"/>
      <c r="BD31" s="829"/>
      <c r="BE31" s="829"/>
      <c r="BF31" s="829"/>
      <c r="BH31" s="829"/>
      <c r="BJ31" s="835"/>
    </row>
    <row r="32" spans="1:62" x14ac:dyDescent="0.2">
      <c r="A32" s="825">
        <f t="shared" si="25"/>
        <v>2018</v>
      </c>
      <c r="B32" s="825">
        <f t="shared" si="26"/>
        <v>12</v>
      </c>
      <c r="H32" s="831"/>
      <c r="I32" s="831"/>
      <c r="J32" s="831"/>
      <c r="P32" s="827">
        <f t="shared" si="29"/>
        <v>747.57777777777801</v>
      </c>
      <c r="Q32" s="836"/>
      <c r="AB32" s="827">
        <f t="shared" si="30"/>
        <v>148.73472222222199</v>
      </c>
      <c r="AD32" s="827" t="str">
        <f t="shared" si="15"/>
        <v/>
      </c>
      <c r="BJ32" s="835"/>
    </row>
    <row r="33" spans="1:62" x14ac:dyDescent="0.2">
      <c r="BJ33" s="835"/>
    </row>
    <row r="34" spans="1:62" x14ac:dyDescent="0.2">
      <c r="A34" s="837" t="s">
        <v>589</v>
      </c>
      <c r="B34" s="825"/>
      <c r="D34" s="838"/>
      <c r="BJ34" s="835"/>
    </row>
    <row r="35" spans="1:62" x14ac:dyDescent="0.2">
      <c r="A35" s="839" t="s">
        <v>590</v>
      </c>
      <c r="B35" s="825"/>
      <c r="D35" s="838"/>
      <c r="BJ35" s="835"/>
    </row>
    <row r="36" spans="1:62" x14ac:dyDescent="0.2">
      <c r="BJ36" s="835"/>
    </row>
    <row r="37" spans="1:62" x14ac:dyDescent="0.2">
      <c r="BJ37" s="835"/>
    </row>
    <row r="38" spans="1:62" x14ac:dyDescent="0.2">
      <c r="BJ38" s="835"/>
    </row>
    <row r="39" spans="1:62" x14ac:dyDescent="0.2">
      <c r="BJ39" s="835"/>
    </row>
    <row r="40" spans="1:62" x14ac:dyDescent="0.2">
      <c r="BJ40" s="835"/>
    </row>
    <row r="41" spans="1:62" x14ac:dyDescent="0.2">
      <c r="BJ41" s="835"/>
    </row>
    <row r="42" spans="1:62" x14ac:dyDescent="0.2">
      <c r="BJ42" s="835"/>
    </row>
    <row r="43" spans="1:62" x14ac:dyDescent="0.2">
      <c r="BJ43" s="835"/>
    </row>
    <row r="44" spans="1:62" x14ac:dyDescent="0.2">
      <c r="BJ44" s="835"/>
    </row>
    <row r="45" spans="1:62" x14ac:dyDescent="0.2">
      <c r="BJ45" s="835"/>
    </row>
    <row r="46" spans="1:62" x14ac:dyDescent="0.2">
      <c r="BJ46" s="835"/>
    </row>
    <row r="47" spans="1:62" x14ac:dyDescent="0.2">
      <c r="BJ47" s="835"/>
    </row>
    <row r="48" spans="1:62" x14ac:dyDescent="0.2">
      <c r="BJ48" s="835"/>
    </row>
    <row r="49" spans="48:62" x14ac:dyDescent="0.2">
      <c r="BJ49" s="835"/>
    </row>
    <row r="50" spans="48:62" x14ac:dyDescent="0.2">
      <c r="AV50" s="826"/>
      <c r="AW50" s="826"/>
      <c r="AX50" s="826"/>
      <c r="BJ50" s="835"/>
    </row>
    <row r="51" spans="48:62" x14ac:dyDescent="0.2">
      <c r="AV51" s="826"/>
      <c r="AW51" s="826"/>
      <c r="AX51" s="826"/>
      <c r="BJ51" s="835"/>
    </row>
    <row r="52" spans="48:62" x14ac:dyDescent="0.2">
      <c r="AV52" s="826"/>
      <c r="AW52" s="826"/>
      <c r="AX52" s="826"/>
      <c r="BJ52" s="835"/>
    </row>
    <row r="53" spans="48:62" x14ac:dyDescent="0.2">
      <c r="AV53" s="826"/>
      <c r="AW53" s="826"/>
      <c r="AX53" s="826"/>
      <c r="BJ53" s="835"/>
    </row>
    <row r="54" spans="48:62" x14ac:dyDescent="0.2">
      <c r="AV54" s="826"/>
      <c r="AW54" s="826"/>
      <c r="AX54" s="826"/>
      <c r="BJ54" s="835"/>
    </row>
    <row r="55" spans="48:62" x14ac:dyDescent="0.2">
      <c r="AV55" s="826"/>
      <c r="AW55" s="826"/>
      <c r="AX55" s="826"/>
      <c r="BJ55" s="835"/>
    </row>
    <row r="56" spans="48:62" x14ac:dyDescent="0.2">
      <c r="AV56" s="826"/>
      <c r="AW56" s="826"/>
      <c r="AX56" s="826"/>
    </row>
    <row r="57" spans="48:62" x14ac:dyDescent="0.2">
      <c r="AV57" s="826"/>
      <c r="AW57" s="826"/>
      <c r="AX57" s="826"/>
    </row>
    <row r="58" spans="48:62" x14ac:dyDescent="0.2">
      <c r="AV58" s="826"/>
      <c r="AW58" s="826"/>
      <c r="AX58" s="826"/>
    </row>
    <row r="59" spans="48:62" x14ac:dyDescent="0.2">
      <c r="AV59" s="826"/>
      <c r="AW59" s="826"/>
      <c r="AX59" s="826"/>
    </row>
    <row r="60" spans="48:62" x14ac:dyDescent="0.2">
      <c r="AV60" s="826"/>
      <c r="AW60" s="826"/>
      <c r="AX60" s="826"/>
    </row>
    <row r="61" spans="48:62" x14ac:dyDescent="0.2">
      <c r="AV61" s="826"/>
      <c r="AW61" s="826"/>
      <c r="AX61" s="826"/>
    </row>
  </sheetData>
  <mergeCells count="17">
    <mergeCell ref="D3:N3"/>
    <mergeCell ref="P3:Z3"/>
    <mergeCell ref="AB3:AH3"/>
    <mergeCell ref="AJ3:AL3"/>
    <mergeCell ref="D4:F4"/>
    <mergeCell ref="H4:J4"/>
    <mergeCell ref="L4:N4"/>
    <mergeCell ref="T4:V4"/>
    <mergeCell ref="X4:Z4"/>
    <mergeCell ref="AZ4:BB4"/>
    <mergeCell ref="BD4:BF4"/>
    <mergeCell ref="AN3:AT3"/>
    <mergeCell ref="AV3:BB3"/>
    <mergeCell ref="AJ4:AL4"/>
    <mergeCell ref="AN4:AP4"/>
    <mergeCell ref="AR4:AT4"/>
    <mergeCell ref="AV4:AX4"/>
  </mergeCells>
  <pageMargins left="0.7" right="0.7" top="0.75" bottom="0.75" header="0.3" footer="0.3"/>
  <pageSetup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1"/>
  <sheetViews>
    <sheetView zoomScaleNormal="100" workbookViewId="0">
      <selection activeCell="D38" sqref="D38"/>
    </sheetView>
  </sheetViews>
  <sheetFormatPr defaultRowHeight="12.75" x14ac:dyDescent="0.2"/>
  <cols>
    <col min="1" max="1" width="2.42578125" customWidth="1"/>
    <col min="2" max="2" width="4.85546875" customWidth="1"/>
    <col min="3" max="3" width="40.7109375" customWidth="1"/>
    <col min="4" max="4" width="16.28515625" style="30" customWidth="1"/>
    <col min="5" max="7" width="16.28515625" customWidth="1"/>
    <col min="8" max="9" width="9.140625" customWidth="1"/>
    <col min="10" max="10" width="11.28515625" bestFit="1" customWidth="1"/>
    <col min="11" max="11" width="9.140625" customWidth="1"/>
    <col min="12" max="14" width="9.140625" style="30" customWidth="1"/>
    <col min="15" max="18" width="9.140625" customWidth="1"/>
    <col min="19" max="24" width="9.140625" style="50" customWidth="1"/>
    <col min="25" max="25" width="9.140625" customWidth="1"/>
    <col min="26" max="26" width="9.140625" style="502" customWidth="1"/>
    <col min="27" max="27" width="9.140625" customWidth="1"/>
  </cols>
  <sheetData>
    <row r="1" spans="1:26" x14ac:dyDescent="0.2">
      <c r="A1" s="61"/>
      <c r="B1" s="846" t="s">
        <v>1</v>
      </c>
      <c r="C1" s="846"/>
      <c r="D1" s="846"/>
      <c r="E1" s="846"/>
      <c r="F1" s="846"/>
      <c r="G1" s="846"/>
      <c r="H1" s="90"/>
      <c r="I1" s="71"/>
      <c r="J1" s="90"/>
      <c r="K1" s="90"/>
      <c r="L1"/>
      <c r="M1" s="502"/>
      <c r="N1"/>
      <c r="S1"/>
      <c r="T1"/>
      <c r="U1"/>
      <c r="V1"/>
      <c r="W1"/>
      <c r="X1"/>
      <c r="Z1"/>
    </row>
    <row r="2" spans="1:26" x14ac:dyDescent="0.2">
      <c r="A2" s="61"/>
      <c r="B2" s="846" t="s">
        <v>397</v>
      </c>
      <c r="C2" s="846"/>
      <c r="D2" s="846"/>
      <c r="E2" s="846"/>
      <c r="F2" s="846"/>
      <c r="G2" s="846"/>
      <c r="H2" s="90"/>
      <c r="I2" s="71"/>
      <c r="J2" s="90"/>
      <c r="K2" s="90"/>
      <c r="L2"/>
      <c r="M2" s="502"/>
      <c r="N2"/>
      <c r="S2"/>
      <c r="T2"/>
      <c r="U2"/>
      <c r="V2"/>
      <c r="W2"/>
      <c r="X2"/>
      <c r="Z2"/>
    </row>
    <row r="3" spans="1:26" x14ac:dyDescent="0.2">
      <c r="B3" s="846" t="s">
        <v>548</v>
      </c>
      <c r="C3" s="846"/>
      <c r="D3" s="846"/>
      <c r="E3" s="846"/>
      <c r="F3" s="846"/>
      <c r="G3" s="846"/>
      <c r="H3" s="90"/>
      <c r="I3" s="71"/>
      <c r="J3" s="90"/>
      <c r="K3" s="90"/>
      <c r="L3"/>
      <c r="M3" s="502"/>
      <c r="N3"/>
      <c r="S3"/>
      <c r="T3"/>
      <c r="U3"/>
      <c r="V3"/>
      <c r="W3"/>
      <c r="X3"/>
      <c r="Z3"/>
    </row>
    <row r="4" spans="1:26" x14ac:dyDescent="0.2">
      <c r="B4" s="846" t="s">
        <v>542</v>
      </c>
      <c r="C4" s="846"/>
      <c r="D4" s="846"/>
      <c r="E4" s="846"/>
      <c r="F4" s="846"/>
      <c r="G4" s="846"/>
      <c r="H4" s="90"/>
      <c r="I4" s="71"/>
      <c r="J4" s="90"/>
      <c r="K4" s="90"/>
      <c r="L4"/>
      <c r="M4" s="502"/>
      <c r="N4"/>
      <c r="S4"/>
      <c r="T4"/>
      <c r="U4"/>
      <c r="V4"/>
      <c r="W4"/>
      <c r="X4"/>
      <c r="Z4"/>
    </row>
    <row r="5" spans="1:26" x14ac:dyDescent="0.2">
      <c r="B5" s="61"/>
      <c r="C5" s="61"/>
      <c r="D5" s="61"/>
      <c r="E5" s="71"/>
      <c r="F5" s="71"/>
      <c r="G5" s="71"/>
      <c r="H5" s="71"/>
      <c r="I5" s="71"/>
      <c r="J5" s="71"/>
      <c r="K5" s="71"/>
      <c r="L5"/>
      <c r="M5" s="502"/>
      <c r="N5"/>
      <c r="S5"/>
      <c r="T5"/>
      <c r="U5"/>
      <c r="V5"/>
      <c r="W5"/>
      <c r="X5"/>
      <c r="Z5"/>
    </row>
    <row r="6" spans="1:26" x14ac:dyDescent="0.2">
      <c r="B6" s="69"/>
      <c r="D6" s="60"/>
      <c r="E6" s="71"/>
      <c r="F6" s="71"/>
      <c r="G6" s="174"/>
      <c r="H6" s="174"/>
      <c r="I6" s="174"/>
      <c r="J6" s="50"/>
      <c r="K6" s="71"/>
      <c r="L6"/>
      <c r="M6" s="502"/>
      <c r="N6"/>
      <c r="S6"/>
      <c r="T6"/>
      <c r="U6"/>
      <c r="V6"/>
      <c r="W6"/>
      <c r="X6"/>
      <c r="Z6"/>
    </row>
    <row r="7" spans="1:26" x14ac:dyDescent="0.2">
      <c r="C7" s="30"/>
      <c r="D7" s="27" t="s">
        <v>342</v>
      </c>
      <c r="E7" s="27" t="s">
        <v>342</v>
      </c>
      <c r="F7" s="27" t="s">
        <v>342</v>
      </c>
      <c r="G7" s="27" t="s">
        <v>564</v>
      </c>
      <c r="H7" s="50"/>
      <c r="I7" s="50"/>
      <c r="J7" s="50"/>
      <c r="K7" s="50"/>
      <c r="L7"/>
      <c r="M7" s="502"/>
      <c r="N7"/>
      <c r="S7"/>
      <c r="T7"/>
      <c r="U7"/>
      <c r="V7"/>
      <c r="W7"/>
      <c r="X7"/>
      <c r="Z7"/>
    </row>
    <row r="8" spans="1:26" x14ac:dyDescent="0.2">
      <c r="C8" s="41"/>
      <c r="D8" s="27" t="s">
        <v>343</v>
      </c>
      <c r="E8" s="38" t="s">
        <v>343</v>
      </c>
      <c r="F8" s="38" t="s">
        <v>343</v>
      </c>
      <c r="G8" s="38" t="s">
        <v>342</v>
      </c>
      <c r="H8" s="50"/>
      <c r="I8" s="50"/>
      <c r="J8" s="50"/>
      <c r="K8" s="27"/>
      <c r="L8" s="50"/>
      <c r="M8" s="399"/>
      <c r="N8" s="90"/>
      <c r="O8" s="50"/>
      <c r="S8"/>
      <c r="T8"/>
      <c r="U8"/>
      <c r="V8"/>
      <c r="W8"/>
      <c r="X8"/>
      <c r="Z8"/>
    </row>
    <row r="9" spans="1:26" ht="13.5" thickBot="1" x14ac:dyDescent="0.25">
      <c r="B9" s="27"/>
      <c r="C9" s="41"/>
      <c r="D9" s="27" t="s">
        <v>560</v>
      </c>
      <c r="E9" s="579" t="s">
        <v>169</v>
      </c>
      <c r="F9" s="652" t="s">
        <v>556</v>
      </c>
      <c r="G9" s="652" t="s">
        <v>343</v>
      </c>
      <c r="H9" s="50"/>
      <c r="I9" s="50"/>
      <c r="J9" s="50"/>
      <c r="K9" s="27"/>
      <c r="L9" s="50"/>
      <c r="M9" s="579"/>
      <c r="N9" s="673"/>
      <c r="O9" s="50"/>
      <c r="Q9" s="30"/>
      <c r="S9"/>
      <c r="T9"/>
      <c r="U9"/>
      <c r="V9"/>
      <c r="W9"/>
      <c r="X9"/>
      <c r="Z9"/>
    </row>
    <row r="10" spans="1:26" x14ac:dyDescent="0.2">
      <c r="B10" s="16" t="s">
        <v>112</v>
      </c>
      <c r="C10" s="16" t="s">
        <v>117</v>
      </c>
      <c r="D10" s="16" t="s">
        <v>559</v>
      </c>
      <c r="E10" s="764" t="s">
        <v>562</v>
      </c>
      <c r="F10" s="764" t="s">
        <v>563</v>
      </c>
      <c r="G10" s="764" t="s">
        <v>111</v>
      </c>
      <c r="H10" s="50"/>
      <c r="I10" s="50"/>
      <c r="J10" s="674" t="s">
        <v>114</v>
      </c>
      <c r="K10" s="27"/>
      <c r="L10" s="41"/>
      <c r="M10" s="41"/>
      <c r="N10" s="41"/>
      <c r="O10" s="50"/>
      <c r="Q10" s="30"/>
      <c r="S10"/>
      <c r="T10"/>
      <c r="U10"/>
      <c r="V10"/>
      <c r="W10"/>
      <c r="X10"/>
      <c r="Z10"/>
    </row>
    <row r="11" spans="1:26" x14ac:dyDescent="0.2">
      <c r="B11" s="27"/>
      <c r="C11" s="27" t="s">
        <v>173</v>
      </c>
      <c r="D11" s="41" t="s">
        <v>174</v>
      </c>
      <c r="E11" s="652" t="s">
        <v>175</v>
      </c>
      <c r="F11" s="652" t="s">
        <v>176</v>
      </c>
      <c r="G11" s="193" t="s">
        <v>557</v>
      </c>
      <c r="H11" s="50"/>
      <c r="I11" s="50"/>
      <c r="J11" s="675"/>
      <c r="K11" s="27"/>
      <c r="L11" s="41"/>
      <c r="M11" s="579"/>
      <c r="N11" s="673"/>
      <c r="O11" s="50"/>
      <c r="S11"/>
      <c r="T11"/>
      <c r="U11"/>
      <c r="V11"/>
      <c r="W11"/>
      <c r="X11"/>
      <c r="Z11"/>
    </row>
    <row r="12" spans="1:26" x14ac:dyDescent="0.2">
      <c r="B12" s="27">
        <v>1</v>
      </c>
      <c r="C12" s="188" t="s">
        <v>183</v>
      </c>
      <c r="D12" s="653">
        <f>SUM('(R) Restated Norm Revenue'!R995:R997)</f>
        <v>311324127.60569382</v>
      </c>
      <c r="E12" s="653">
        <f>SUM('(R) Restated Norm Revenue'!R1013:R1015)</f>
        <v>197008983.53210199</v>
      </c>
      <c r="F12" s="653">
        <f>SUM('(R) Restated Norm Revenue'!R1031:R1033)</f>
        <v>6760922.5757735744</v>
      </c>
      <c r="G12" s="659">
        <f>SUM(D12:F12)</f>
        <v>515094033.7135694</v>
      </c>
      <c r="H12" s="50"/>
      <c r="I12" s="50"/>
      <c r="J12" s="676">
        <f>G12-SUM('(R) Restated Norm Revenue'!R1049:R1051)</f>
        <v>0</v>
      </c>
      <c r="K12" s="84"/>
      <c r="L12" s="66"/>
      <c r="M12" s="66"/>
      <c r="N12" s="66"/>
      <c r="O12" s="50"/>
      <c r="S12"/>
      <c r="T12"/>
      <c r="U12"/>
      <c r="V12"/>
      <c r="W12"/>
      <c r="X12"/>
      <c r="Z12"/>
    </row>
    <row r="13" spans="1:26" x14ac:dyDescent="0.2">
      <c r="B13" s="38">
        <f t="shared" ref="B13:B29" si="0">B12+1</f>
        <v>2</v>
      </c>
      <c r="C13" s="173" t="s">
        <v>154</v>
      </c>
      <c r="D13" s="653">
        <f>'(R) Restated Norm Revenue'!R998</f>
        <v>91578256.92346701</v>
      </c>
      <c r="E13" s="653">
        <f>'(R) Restated Norm Revenue'!R1016</f>
        <v>72863186.380163103</v>
      </c>
      <c r="F13" s="653">
        <f>'(R) Restated Norm Revenue'!R1034</f>
        <v>2487219.4892736003</v>
      </c>
      <c r="G13" s="659">
        <f t="shared" ref="G13:G23" si="1">SUM(D13:F13)</f>
        <v>166928662.79290372</v>
      </c>
      <c r="H13" s="50"/>
      <c r="I13" s="50"/>
      <c r="J13" s="676">
        <f>G13-'(R) Restated Norm Revenue'!R1052</f>
        <v>0</v>
      </c>
      <c r="K13" s="85"/>
      <c r="L13" s="66"/>
      <c r="M13" s="66"/>
      <c r="N13" s="66"/>
      <c r="O13" s="50"/>
      <c r="S13"/>
      <c r="T13"/>
      <c r="U13"/>
      <c r="V13"/>
      <c r="W13"/>
      <c r="X13"/>
      <c r="Z13"/>
    </row>
    <row r="14" spans="1:26" x14ac:dyDescent="0.2">
      <c r="B14" s="38">
        <f t="shared" si="0"/>
        <v>3</v>
      </c>
      <c r="C14" s="80" t="s">
        <v>392</v>
      </c>
      <c r="D14" s="653">
        <f>'(R) Restated Norm Revenue'!R1003</f>
        <v>25885.709759820398</v>
      </c>
      <c r="E14" s="653">
        <f>'(R) Restated Norm Revenue'!R1021</f>
        <v>30.389638999999999</v>
      </c>
      <c r="F14" s="653">
        <f>'(R) Restated Norm Revenue'!R1039</f>
        <v>472.34181760000001</v>
      </c>
      <c r="G14" s="659">
        <f t="shared" si="1"/>
        <v>26388.4412164204</v>
      </c>
      <c r="H14" s="50"/>
      <c r="I14" s="50"/>
      <c r="J14" s="676">
        <f>G14-'(R) Restated Norm Revenue'!R1057</f>
        <v>0</v>
      </c>
      <c r="K14" s="85"/>
      <c r="L14" s="66"/>
      <c r="M14" s="66"/>
      <c r="N14" s="66"/>
      <c r="O14" s="50"/>
      <c r="S14"/>
      <c r="T14"/>
      <c r="U14"/>
      <c r="V14"/>
      <c r="W14"/>
      <c r="X14"/>
      <c r="Z14"/>
    </row>
    <row r="15" spans="1:26" x14ac:dyDescent="0.2">
      <c r="B15" s="38">
        <f t="shared" si="0"/>
        <v>4</v>
      </c>
      <c r="C15" s="188" t="s">
        <v>153</v>
      </c>
      <c r="D15" s="653">
        <f>'(R) Restated Norm Revenue'!R999</f>
        <v>14456233.31830545</v>
      </c>
      <c r="E15" s="653">
        <f>'(R) Restated Norm Revenue'!R1017</f>
        <v>18624424.888310701</v>
      </c>
      <c r="F15" s="653">
        <f>'(R) Restated Norm Revenue'!R1035</f>
        <v>397873.91906574002</v>
      </c>
      <c r="G15" s="659">
        <f t="shared" si="1"/>
        <v>33478532.125681888</v>
      </c>
      <c r="H15" s="50"/>
      <c r="I15" s="50"/>
      <c r="J15" s="676">
        <f>G15-'(R) Restated Norm Revenue'!R1053</f>
        <v>0</v>
      </c>
      <c r="K15" s="85"/>
      <c r="L15" s="66"/>
      <c r="M15" s="66"/>
      <c r="N15" s="66"/>
      <c r="O15" s="50"/>
      <c r="S15"/>
      <c r="T15"/>
      <c r="U15"/>
      <c r="V15"/>
      <c r="W15"/>
      <c r="X15"/>
      <c r="Z15"/>
    </row>
    <row r="16" spans="1:26" x14ac:dyDescent="0.2">
      <c r="B16" s="38">
        <f t="shared" si="0"/>
        <v>5</v>
      </c>
      <c r="C16" s="189" t="s">
        <v>272</v>
      </c>
      <c r="D16" s="653">
        <f>'(R) Restated Norm Revenue'!R1004</f>
        <v>3995567.7266982314</v>
      </c>
      <c r="E16" s="653">
        <f>'(R) Restated Norm Revenue'!R1022</f>
        <v>13477.9746633</v>
      </c>
      <c r="F16" s="653">
        <f>'(R) Restated Norm Revenue'!R1040</f>
        <v>119761.43200818</v>
      </c>
      <c r="G16" s="659">
        <f t="shared" si="1"/>
        <v>4128807.1333697112</v>
      </c>
      <c r="H16" s="50"/>
      <c r="I16" s="50"/>
      <c r="J16" s="676">
        <f>G16-'(R) Restated Norm Revenue'!R1058</f>
        <v>0</v>
      </c>
      <c r="K16" s="85"/>
      <c r="L16" s="66"/>
      <c r="M16" s="66"/>
      <c r="N16" s="66"/>
      <c r="O16" s="50"/>
      <c r="S16"/>
      <c r="T16"/>
      <c r="U16"/>
      <c r="V16"/>
      <c r="W16"/>
      <c r="X16"/>
      <c r="Z16"/>
    </row>
    <row r="17" spans="2:26" x14ac:dyDescent="0.2">
      <c r="B17" s="38">
        <f t="shared" si="0"/>
        <v>6</v>
      </c>
      <c r="C17" s="188" t="s">
        <v>156</v>
      </c>
      <c r="D17" s="653">
        <f>'(R) Restated Norm Revenue'!R1000</f>
        <v>1589956.2565282346</v>
      </c>
      <c r="E17" s="653">
        <f>'(R) Restated Norm Revenue'!R1018</f>
        <v>4494980.4766552001</v>
      </c>
      <c r="F17" s="653">
        <f>'(R) Restated Norm Revenue'!R1036</f>
        <v>53978.783000060008</v>
      </c>
      <c r="G17" s="659">
        <f t="shared" si="1"/>
        <v>6138915.5161834946</v>
      </c>
      <c r="H17" s="50"/>
      <c r="I17" s="50"/>
      <c r="J17" s="676">
        <f>G17-'(R) Restated Norm Revenue'!R1054</f>
        <v>0</v>
      </c>
      <c r="K17" s="85"/>
      <c r="L17" s="66"/>
      <c r="M17" s="66"/>
      <c r="N17" s="66"/>
      <c r="O17" s="50"/>
      <c r="S17"/>
      <c r="T17"/>
      <c r="U17"/>
      <c r="V17"/>
      <c r="W17"/>
      <c r="X17"/>
      <c r="Z17"/>
    </row>
    <row r="18" spans="2:26" x14ac:dyDescent="0.2">
      <c r="B18" s="38">
        <f t="shared" si="0"/>
        <v>7</v>
      </c>
      <c r="C18" s="189" t="s">
        <v>279</v>
      </c>
      <c r="D18" s="653">
        <f>'(R) Restated Norm Revenue'!R1005</f>
        <v>7037315.1964751901</v>
      </c>
      <c r="E18" s="653">
        <f>'(R) Restated Norm Revenue'!R1023</f>
        <v>53607.810984000011</v>
      </c>
      <c r="F18" s="653">
        <f>'(R) Restated Norm Revenue'!R1041</f>
        <v>253488.36336719999</v>
      </c>
      <c r="G18" s="659">
        <f t="shared" si="1"/>
        <v>7344411.3708263896</v>
      </c>
      <c r="H18" s="50"/>
      <c r="I18" s="50"/>
      <c r="J18" s="676">
        <f>G18-'(R) Restated Norm Revenue'!R1059</f>
        <v>0</v>
      </c>
      <c r="K18" s="85"/>
      <c r="L18" s="66"/>
      <c r="M18" s="66"/>
      <c r="N18" s="66"/>
      <c r="O18" s="50"/>
      <c r="S18"/>
      <c r="T18"/>
      <c r="U18"/>
      <c r="V18"/>
      <c r="W18"/>
      <c r="X18"/>
      <c r="Z18"/>
    </row>
    <row r="19" spans="2:26" x14ac:dyDescent="0.2">
      <c r="B19" s="38">
        <f t="shared" si="0"/>
        <v>8</v>
      </c>
      <c r="C19" s="188" t="s">
        <v>157</v>
      </c>
      <c r="D19" s="653">
        <f>'(R) Restated Norm Revenue'!R1001</f>
        <v>1944724.1433509393</v>
      </c>
      <c r="E19" s="653">
        <f>'(R) Restated Norm Revenue'!R1019</f>
        <v>2526653.7291643196</v>
      </c>
      <c r="F19" s="653">
        <f>'(R) Restated Norm Revenue'!R1037</f>
        <v>37795.164449299999</v>
      </c>
      <c r="G19" s="659">
        <f t="shared" si="1"/>
        <v>4509173.036964559</v>
      </c>
      <c r="H19" s="50"/>
      <c r="I19" s="50"/>
      <c r="J19" s="676">
        <f>G19-'(R) Restated Norm Revenue'!R1055</f>
        <v>0</v>
      </c>
      <c r="K19" s="85"/>
      <c r="L19" s="66"/>
      <c r="M19" s="66"/>
      <c r="N19" s="66"/>
      <c r="O19" s="50"/>
      <c r="S19"/>
      <c r="T19"/>
      <c r="U19"/>
      <c r="V19"/>
      <c r="W19"/>
      <c r="X19"/>
      <c r="Z19"/>
    </row>
    <row r="20" spans="2:26" x14ac:dyDescent="0.2">
      <c r="B20" s="38">
        <f t="shared" si="0"/>
        <v>9</v>
      </c>
      <c r="C20" s="80" t="s">
        <v>323</v>
      </c>
      <c r="D20" s="653">
        <f>'(R) Restated Norm Revenue'!R1006</f>
        <v>84408.74029168782</v>
      </c>
      <c r="E20" s="653">
        <f>'(R) Restated Norm Revenue'!R1024</f>
        <v>248.24569000000002</v>
      </c>
      <c r="F20" s="653">
        <f>'(R) Restated Norm Revenue'!R1042</f>
        <v>1471.7423049999998</v>
      </c>
      <c r="G20" s="659">
        <f t="shared" si="1"/>
        <v>86128.728286687809</v>
      </c>
      <c r="H20" s="50"/>
      <c r="I20" s="50"/>
      <c r="J20" s="676">
        <f>G20-'(R) Restated Norm Revenue'!R1060</f>
        <v>0</v>
      </c>
      <c r="K20" s="85"/>
      <c r="L20" s="66"/>
      <c r="M20" s="66"/>
      <c r="N20" s="66"/>
      <c r="O20" s="50"/>
      <c r="S20"/>
      <c r="T20"/>
      <c r="U20"/>
      <c r="V20"/>
      <c r="W20"/>
      <c r="X20"/>
      <c r="Z20"/>
    </row>
    <row r="21" spans="2:26" x14ac:dyDescent="0.2">
      <c r="B21" s="38">
        <f t="shared" si="0"/>
        <v>10</v>
      </c>
      <c r="C21" s="188" t="s">
        <v>158</v>
      </c>
      <c r="D21" s="653">
        <f>'(R) Restated Norm Revenue'!R1002</f>
        <v>1093496.3989577971</v>
      </c>
      <c r="E21" s="653">
        <f>'(R) Restated Norm Revenue'!R1020</f>
        <v>6293993.0193563206</v>
      </c>
      <c r="F21" s="653">
        <f>'(R) Restated Norm Revenue'!R1038</f>
        <v>47011.780428560007</v>
      </c>
      <c r="G21" s="659">
        <f t="shared" si="1"/>
        <v>7434501.1987426784</v>
      </c>
      <c r="H21" s="50"/>
      <c r="I21" s="50"/>
      <c r="J21" s="676">
        <f>G21-'(R) Restated Norm Revenue'!R1056</f>
        <v>0</v>
      </c>
      <c r="K21" s="85"/>
      <c r="L21" s="66"/>
      <c r="M21" s="66"/>
      <c r="N21" s="66"/>
      <c r="O21" s="50"/>
      <c r="S21"/>
      <c r="T21"/>
      <c r="U21"/>
      <c r="V21"/>
      <c r="W21"/>
      <c r="X21"/>
      <c r="Z21"/>
    </row>
    <row r="22" spans="2:26" x14ac:dyDescent="0.2">
      <c r="B22" s="38">
        <f t="shared" si="0"/>
        <v>11</v>
      </c>
      <c r="C22" s="189" t="s">
        <v>280</v>
      </c>
      <c r="D22" s="653">
        <f>'(R) Restated Norm Revenue'!R1007</f>
        <v>3564358.6664720275</v>
      </c>
      <c r="E22" s="653">
        <f>'(R) Restated Norm Revenue'!R1025</f>
        <v>72719.024875000003</v>
      </c>
      <c r="F22" s="653">
        <f>'(R) Restated Norm Revenue'!R1043</f>
        <v>209846.32892499998</v>
      </c>
      <c r="G22" s="659">
        <f t="shared" si="1"/>
        <v>3846924.0202720277</v>
      </c>
      <c r="H22" s="50"/>
      <c r="I22" s="50"/>
      <c r="J22" s="676">
        <f>G22-'(R) Restated Norm Revenue'!R1061</f>
        <v>0</v>
      </c>
      <c r="K22" s="85"/>
      <c r="L22" s="66"/>
      <c r="M22" s="66"/>
      <c r="N22" s="66"/>
      <c r="O22" s="50"/>
      <c r="S22"/>
      <c r="T22"/>
      <c r="U22"/>
      <c r="V22"/>
      <c r="W22"/>
      <c r="X22"/>
      <c r="Z22"/>
    </row>
    <row r="23" spans="2:26" x14ac:dyDescent="0.2">
      <c r="B23" s="38">
        <f t="shared" si="0"/>
        <v>12</v>
      </c>
      <c r="C23" s="188" t="s">
        <v>238</v>
      </c>
      <c r="D23" s="653">
        <v>1726553.2512827553</v>
      </c>
      <c r="E23" s="653">
        <v>0</v>
      </c>
      <c r="F23" s="653">
        <v>92070.958449600002</v>
      </c>
      <c r="G23" s="659">
        <f t="shared" si="1"/>
        <v>1818624.2097323553</v>
      </c>
      <c r="H23" s="50"/>
      <c r="I23" s="50"/>
      <c r="J23" s="676"/>
      <c r="K23" s="85"/>
      <c r="L23" s="66"/>
      <c r="M23" s="66"/>
      <c r="N23" s="66"/>
      <c r="O23" s="50"/>
      <c r="S23"/>
      <c r="T23"/>
      <c r="U23"/>
      <c r="V23"/>
      <c r="W23"/>
      <c r="X23"/>
      <c r="Z23"/>
    </row>
    <row r="24" spans="2:26" x14ac:dyDescent="0.2">
      <c r="B24" s="38">
        <f t="shared" si="0"/>
        <v>13</v>
      </c>
      <c r="C24" s="80" t="s">
        <v>167</v>
      </c>
      <c r="D24" s="654">
        <f>SUM(D12:D23)</f>
        <v>438420883.93728304</v>
      </c>
      <c r="E24" s="654">
        <f>SUM(E12:E23)</f>
        <v>301952305.47160286</v>
      </c>
      <c r="F24" s="654">
        <f t="shared" ref="F24:G24" si="2">SUM(F12:F23)</f>
        <v>10461912.878863417</v>
      </c>
      <c r="G24" s="654">
        <f t="shared" si="2"/>
        <v>750835102.28774929</v>
      </c>
      <c r="H24" s="50"/>
      <c r="I24" s="50"/>
      <c r="J24" s="676"/>
      <c r="K24" s="40"/>
      <c r="L24" s="66"/>
      <c r="M24" s="66"/>
      <c r="N24" s="66"/>
      <c r="O24" s="50"/>
      <c r="S24"/>
      <c r="T24"/>
      <c r="U24"/>
      <c r="V24"/>
      <c r="W24"/>
      <c r="X24"/>
      <c r="Z24"/>
    </row>
    <row r="25" spans="2:26" x14ac:dyDescent="0.2">
      <c r="B25" s="38">
        <f t="shared" si="0"/>
        <v>14</v>
      </c>
      <c r="C25" s="80"/>
      <c r="D25" s="23"/>
      <c r="E25" s="23"/>
      <c r="F25" s="23"/>
      <c r="G25" s="23"/>
      <c r="H25" s="50"/>
      <c r="I25" s="50"/>
      <c r="J25" s="676"/>
      <c r="K25" s="40"/>
      <c r="L25" s="50"/>
      <c r="M25" s="66"/>
      <c r="N25" s="50"/>
      <c r="O25" s="50"/>
      <c r="S25"/>
      <c r="T25"/>
      <c r="U25"/>
      <c r="V25"/>
      <c r="W25"/>
      <c r="X25"/>
      <c r="Z25"/>
    </row>
    <row r="26" spans="2:26" ht="13.5" thickBot="1" x14ac:dyDescent="0.25">
      <c r="B26" s="38">
        <f t="shared" si="0"/>
        <v>15</v>
      </c>
      <c r="C26" s="188" t="s">
        <v>184</v>
      </c>
      <c r="D26" s="655">
        <f>'Restated Rental Revenue'!R96</f>
        <v>5364365.7215311108</v>
      </c>
      <c r="E26" s="656"/>
      <c r="F26" s="656"/>
      <c r="G26" s="659">
        <f>SUM(D26:F26)</f>
        <v>5364365.7215311108</v>
      </c>
      <c r="H26" s="50"/>
      <c r="I26" s="50"/>
      <c r="J26" s="677">
        <f>G26-'Restated Rental Revenue'!R96</f>
        <v>0</v>
      </c>
      <c r="K26" s="36"/>
      <c r="L26" s="66"/>
      <c r="M26" s="66"/>
      <c r="N26" s="36"/>
      <c r="O26" s="50"/>
      <c r="S26"/>
      <c r="T26"/>
      <c r="U26"/>
      <c r="V26"/>
      <c r="W26"/>
      <c r="X26"/>
      <c r="Z26"/>
    </row>
    <row r="27" spans="2:26" x14ac:dyDescent="0.2">
      <c r="B27" s="38">
        <f t="shared" si="0"/>
        <v>16</v>
      </c>
      <c r="C27" s="188" t="s">
        <v>161</v>
      </c>
      <c r="D27" s="657">
        <v>5090448.3099999996</v>
      </c>
      <c r="E27" s="657">
        <v>980025</v>
      </c>
      <c r="F27" s="657"/>
      <c r="G27" s="659">
        <f>SUM(D27:F27)</f>
        <v>6070473.3099999996</v>
      </c>
      <c r="H27" s="50"/>
      <c r="I27" s="50"/>
      <c r="J27" s="40"/>
      <c r="K27" s="40"/>
      <c r="L27" s="66"/>
      <c r="M27" s="66"/>
      <c r="N27" s="36"/>
      <c r="O27" s="50"/>
      <c r="S27"/>
      <c r="T27"/>
      <c r="U27"/>
      <c r="V27"/>
      <c r="W27"/>
      <c r="X27"/>
      <c r="Z27"/>
    </row>
    <row r="28" spans="2:26" x14ac:dyDescent="0.2">
      <c r="B28" s="38">
        <f t="shared" si="0"/>
        <v>17</v>
      </c>
      <c r="C28" s="188" t="s">
        <v>202</v>
      </c>
      <c r="D28" s="658">
        <f>SUM(D26:D27)</f>
        <v>10454814.03153111</v>
      </c>
      <c r="E28" s="658">
        <f t="shared" ref="E28:G28" si="3">SUM(E26:E27)</f>
        <v>980025</v>
      </c>
      <c r="F28" s="658">
        <f t="shared" si="3"/>
        <v>0</v>
      </c>
      <c r="G28" s="658">
        <f t="shared" si="3"/>
        <v>11434839.03153111</v>
      </c>
      <c r="H28" s="50"/>
      <c r="I28" s="50"/>
      <c r="J28" s="40"/>
      <c r="K28" s="40"/>
      <c r="L28" s="66"/>
      <c r="M28" s="66"/>
      <c r="N28" s="36"/>
      <c r="O28" s="50"/>
      <c r="S28"/>
      <c r="T28"/>
      <c r="U28"/>
      <c r="V28"/>
      <c r="W28"/>
      <c r="X28"/>
      <c r="Z28"/>
    </row>
    <row r="29" spans="2:26" x14ac:dyDescent="0.2">
      <c r="B29" s="38">
        <f t="shared" si="0"/>
        <v>18</v>
      </c>
      <c r="C29" s="188" t="s">
        <v>172</v>
      </c>
      <c r="D29" s="658">
        <f>D24+D28</f>
        <v>448875697.96881413</v>
      </c>
      <c r="E29" s="658">
        <f t="shared" ref="E29:G29" si="4">E24+E28</f>
        <v>302932330.47160286</v>
      </c>
      <c r="F29" s="658">
        <f t="shared" si="4"/>
        <v>10461912.878863417</v>
      </c>
      <c r="G29" s="658">
        <f t="shared" si="4"/>
        <v>762269941.31928039</v>
      </c>
      <c r="H29" s="50"/>
      <c r="I29" s="50"/>
      <c r="J29" s="40"/>
      <c r="K29" s="40"/>
      <c r="L29" s="66"/>
      <c r="M29" s="66"/>
      <c r="N29" s="36"/>
      <c r="O29" s="50"/>
      <c r="S29"/>
      <c r="T29"/>
      <c r="U29"/>
      <c r="V29"/>
      <c r="W29"/>
      <c r="X29"/>
      <c r="Z29"/>
    </row>
    <row r="30" spans="2:26" x14ac:dyDescent="0.2">
      <c r="C30" s="188"/>
      <c r="D30" s="40"/>
      <c r="E30" s="40"/>
      <c r="F30" s="40"/>
      <c r="G30" s="40"/>
      <c r="H30" s="40"/>
      <c r="I30" s="40"/>
      <c r="J30" s="40"/>
      <c r="K30" s="40"/>
      <c r="L30" s="50"/>
      <c r="M30" s="66"/>
      <c r="N30" s="31"/>
      <c r="O30" s="50"/>
      <c r="S30"/>
      <c r="T30"/>
      <c r="U30"/>
      <c r="V30"/>
      <c r="W30"/>
      <c r="X30"/>
      <c r="Z30"/>
    </row>
    <row r="31" spans="2:26" x14ac:dyDescent="0.2">
      <c r="B31" s="765" t="s">
        <v>547</v>
      </c>
      <c r="C31" s="80" t="s">
        <v>592</v>
      </c>
      <c r="E31" s="79"/>
      <c r="F31" s="79"/>
      <c r="H31" s="79"/>
      <c r="I31" s="79"/>
      <c r="J31" s="79"/>
      <c r="K31" s="79"/>
      <c r="L31" s="66"/>
      <c r="M31" s="66"/>
      <c r="N31" s="31"/>
      <c r="O31" s="50"/>
      <c r="S31"/>
      <c r="T31"/>
      <c r="U31"/>
      <c r="V31"/>
      <c r="W31"/>
      <c r="X31"/>
      <c r="Z31"/>
    </row>
    <row r="32" spans="2:26" x14ac:dyDescent="0.2">
      <c r="B32" s="765" t="s">
        <v>558</v>
      </c>
      <c r="C32" s="80" t="s">
        <v>593</v>
      </c>
      <c r="D32" s="87"/>
      <c r="E32" s="79"/>
      <c r="F32" s="79"/>
      <c r="G32" s="79"/>
      <c r="H32" s="79"/>
      <c r="I32" s="79"/>
      <c r="J32" s="79"/>
      <c r="K32" s="79"/>
      <c r="L32" s="50"/>
      <c r="M32" s="460"/>
      <c r="N32" s="31"/>
      <c r="O32" s="50"/>
      <c r="S32"/>
      <c r="T32"/>
      <c r="U32"/>
      <c r="V32"/>
      <c r="W32"/>
      <c r="X32"/>
      <c r="Z32"/>
    </row>
    <row r="33" spans="1:30" x14ac:dyDescent="0.2">
      <c r="B33" s="765" t="s">
        <v>561</v>
      </c>
      <c r="C33" s="80" t="s">
        <v>594</v>
      </c>
      <c r="D33" s="40"/>
      <c r="E33" s="40"/>
      <c r="F33" s="40"/>
      <c r="G33" s="40"/>
      <c r="H33" s="128"/>
      <c r="I33" s="40"/>
      <c r="J33" s="40"/>
      <c r="K33" s="40"/>
      <c r="L33" s="50"/>
      <c r="M33" s="399"/>
      <c r="N33" s="50"/>
      <c r="O33" s="50"/>
      <c r="S33"/>
      <c r="T33"/>
      <c r="U33"/>
      <c r="V33"/>
      <c r="W33"/>
      <c r="X33"/>
      <c r="Z33"/>
    </row>
    <row r="34" spans="1:30" x14ac:dyDescent="0.2">
      <c r="A34" s="50"/>
      <c r="B34" s="50"/>
      <c r="C34" s="50"/>
      <c r="D34" s="40"/>
      <c r="E34" s="75"/>
      <c r="F34" s="75"/>
      <c r="G34" s="40"/>
      <c r="H34" s="23"/>
      <c r="I34" s="23"/>
      <c r="J34" s="23"/>
      <c r="K34" s="40"/>
      <c r="L34" s="36"/>
      <c r="M34" s="36"/>
      <c r="N34" s="36"/>
      <c r="O34" s="36"/>
      <c r="P34" s="34"/>
      <c r="Q34" s="34"/>
      <c r="R34" s="55"/>
      <c r="S34" s="75"/>
      <c r="T34" s="75"/>
      <c r="U34" s="75"/>
      <c r="V34" s="75"/>
      <c r="W34" s="75"/>
      <c r="X34" s="75"/>
      <c r="Y34" s="88"/>
    </row>
    <row r="35" spans="1:30" x14ac:dyDescent="0.2">
      <c r="A35" s="50"/>
      <c r="B35" s="668"/>
      <c r="C35" s="50"/>
      <c r="D35" s="668"/>
      <c r="E35" s="668"/>
      <c r="F35" s="668"/>
      <c r="G35" s="40"/>
      <c r="H35" s="23"/>
      <c r="I35" s="23"/>
      <c r="J35" s="23"/>
      <c r="K35" s="40"/>
      <c r="L35" s="36"/>
      <c r="M35" s="36"/>
      <c r="N35" s="36"/>
      <c r="O35" s="36"/>
      <c r="P35" s="34"/>
      <c r="Q35" s="34"/>
      <c r="R35" s="55"/>
      <c r="S35" s="75"/>
      <c r="T35" s="75"/>
      <c r="U35" s="75"/>
      <c r="V35" s="75"/>
      <c r="W35" s="75"/>
      <c r="X35" s="75"/>
      <c r="Y35" s="88"/>
    </row>
    <row r="36" spans="1:30" x14ac:dyDescent="0.2">
      <c r="A36" s="50"/>
      <c r="B36" s="50"/>
      <c r="C36" s="669"/>
      <c r="D36" s="50"/>
      <c r="E36" s="50"/>
      <c r="F36" s="50"/>
      <c r="G36" s="40"/>
      <c r="H36" s="23"/>
      <c r="I36" s="23"/>
      <c r="J36" s="23"/>
      <c r="K36" s="23"/>
      <c r="L36" s="34"/>
      <c r="M36" s="34"/>
      <c r="N36" s="34"/>
      <c r="O36" s="34"/>
      <c r="P36" s="34"/>
      <c r="Q36" s="34"/>
      <c r="R36" s="55"/>
      <c r="S36" s="75"/>
      <c r="T36" s="75"/>
      <c r="U36" s="75"/>
      <c r="V36" s="75"/>
      <c r="W36" s="75"/>
      <c r="X36" s="75"/>
      <c r="Y36" s="88"/>
    </row>
    <row r="37" spans="1:30" x14ac:dyDescent="0.2">
      <c r="A37" s="50"/>
      <c r="B37" s="50"/>
      <c r="C37" s="50"/>
      <c r="D37" s="27"/>
      <c r="E37" s="27"/>
      <c r="F37" s="27"/>
      <c r="G37" s="40"/>
      <c r="H37" s="23"/>
      <c r="I37" s="23"/>
      <c r="J37" s="23"/>
      <c r="K37" s="23"/>
      <c r="L37" s="34"/>
      <c r="M37" s="34"/>
      <c r="N37" s="34"/>
      <c r="O37" s="34"/>
      <c r="P37" s="34"/>
      <c r="Q37" s="34"/>
      <c r="R37" s="55"/>
      <c r="S37" s="75"/>
      <c r="T37" s="75"/>
      <c r="U37" s="75"/>
      <c r="V37" s="75"/>
      <c r="W37" s="75"/>
      <c r="X37" s="75"/>
      <c r="Y37" s="88"/>
    </row>
    <row r="38" spans="1:30" x14ac:dyDescent="0.2">
      <c r="A38" s="50"/>
      <c r="B38" s="50"/>
      <c r="C38" s="50"/>
      <c r="D38" s="579"/>
      <c r="E38" s="579"/>
      <c r="F38" s="579"/>
      <c r="G38" s="40"/>
      <c r="H38" s="23"/>
      <c r="I38" s="23"/>
      <c r="J38" s="23"/>
      <c r="K38" s="23"/>
      <c r="L38" s="34"/>
      <c r="M38" s="34"/>
      <c r="N38" s="34"/>
      <c r="O38" s="34"/>
      <c r="P38" s="34"/>
      <c r="Q38" s="34"/>
      <c r="R38" s="55"/>
      <c r="S38" s="75"/>
      <c r="T38" s="75"/>
      <c r="U38" s="75"/>
      <c r="V38" s="75"/>
      <c r="W38" s="75"/>
      <c r="X38" s="75"/>
      <c r="Y38" s="88"/>
    </row>
    <row r="39" spans="1:30" x14ac:dyDescent="0.2">
      <c r="A39" s="50"/>
      <c r="B39" s="27"/>
      <c r="C39" s="27"/>
      <c r="D39" s="579"/>
      <c r="E39" s="579"/>
      <c r="F39" s="579"/>
      <c r="G39" s="40"/>
      <c r="H39" s="23"/>
      <c r="I39" s="23"/>
      <c r="J39" s="23"/>
      <c r="K39" s="23"/>
      <c r="L39" s="34"/>
      <c r="M39" s="34"/>
      <c r="N39" s="34"/>
      <c r="O39" s="34"/>
      <c r="P39" s="34"/>
      <c r="Q39" s="34"/>
      <c r="R39" s="55"/>
      <c r="S39" s="75"/>
      <c r="T39" s="75"/>
      <c r="U39" s="75"/>
      <c r="V39" s="75"/>
      <c r="W39" s="75"/>
      <c r="X39" s="75"/>
      <c r="Y39" s="88"/>
    </row>
    <row r="40" spans="1:30" x14ac:dyDescent="0.2">
      <c r="A40" s="50"/>
      <c r="B40" s="50"/>
      <c r="C40" s="41"/>
      <c r="D40" s="41"/>
      <c r="E40" s="41"/>
      <c r="F40" s="41"/>
      <c r="G40" s="40"/>
      <c r="H40" s="23"/>
      <c r="I40" s="23"/>
      <c r="J40" s="23"/>
      <c r="K40" s="23"/>
      <c r="L40" s="34"/>
      <c r="M40" s="34"/>
      <c r="N40" s="34"/>
      <c r="O40" s="34"/>
      <c r="P40" s="34"/>
      <c r="Q40" s="34"/>
      <c r="R40" s="55"/>
      <c r="S40" s="75"/>
      <c r="T40" s="75"/>
      <c r="U40" s="75"/>
      <c r="V40" s="75"/>
      <c r="W40" s="75"/>
      <c r="X40" s="75"/>
      <c r="Y40" s="88"/>
    </row>
    <row r="41" spans="1:30" x14ac:dyDescent="0.2">
      <c r="A41" s="50"/>
      <c r="B41" s="399"/>
      <c r="C41" s="175"/>
      <c r="D41" s="86"/>
      <c r="E41" s="84"/>
      <c r="F41" s="84"/>
      <c r="G41" s="40"/>
      <c r="H41" s="23"/>
      <c r="I41" s="23"/>
      <c r="J41" s="23"/>
      <c r="K41" s="23"/>
      <c r="L41" s="34"/>
      <c r="M41" s="34"/>
      <c r="N41" s="34"/>
      <c r="O41" s="34"/>
      <c r="P41" s="34"/>
      <c r="Q41" s="34"/>
      <c r="R41" s="55"/>
      <c r="S41" s="75"/>
      <c r="T41" s="75"/>
      <c r="U41" s="75"/>
      <c r="V41" s="75"/>
      <c r="W41" s="75"/>
      <c r="X41" s="75"/>
      <c r="Y41" s="88"/>
    </row>
    <row r="42" spans="1:30" x14ac:dyDescent="0.2">
      <c r="A42" s="50"/>
      <c r="B42" s="50"/>
      <c r="C42" s="173"/>
      <c r="D42" s="94"/>
      <c r="E42" s="85"/>
      <c r="F42" s="85"/>
      <c r="G42" s="40"/>
      <c r="H42" s="23"/>
      <c r="I42" s="23"/>
      <c r="J42" s="23"/>
      <c r="K42" s="23"/>
      <c r="L42" s="34"/>
      <c r="M42" s="34"/>
      <c r="N42" s="34"/>
      <c r="O42" s="34"/>
      <c r="P42" s="34"/>
      <c r="Q42" s="34"/>
      <c r="R42" s="55"/>
      <c r="S42" s="75"/>
      <c r="T42" s="75"/>
      <c r="U42" s="75"/>
      <c r="V42" s="75"/>
      <c r="W42" s="75"/>
      <c r="X42" s="75"/>
      <c r="Y42" s="88"/>
    </row>
    <row r="43" spans="1:30" x14ac:dyDescent="0.2">
      <c r="A43" s="50"/>
      <c r="B43" s="50"/>
      <c r="C43" s="175"/>
      <c r="D43" s="94"/>
      <c r="E43" s="85"/>
      <c r="F43" s="85"/>
      <c r="G43" s="40"/>
      <c r="H43" s="23"/>
      <c r="I43" s="23"/>
      <c r="J43" s="23"/>
      <c r="K43" s="23"/>
      <c r="L43" s="34"/>
      <c r="M43" s="34"/>
      <c r="N43" s="34"/>
      <c r="O43" s="34"/>
      <c r="P43" s="34"/>
      <c r="Q43" s="34"/>
      <c r="R43" s="55"/>
      <c r="S43" s="75"/>
      <c r="T43" s="75"/>
      <c r="U43" s="75"/>
      <c r="V43" s="75"/>
      <c r="W43" s="75"/>
      <c r="X43" s="75"/>
      <c r="Y43" s="88"/>
    </row>
    <row r="44" spans="1:30" x14ac:dyDescent="0.2">
      <c r="A44" s="50"/>
      <c r="B44" s="50"/>
      <c r="C44" s="175"/>
      <c r="D44" s="94"/>
      <c r="E44" s="85"/>
      <c r="F44" s="85"/>
      <c r="G44" s="40"/>
      <c r="H44" s="23"/>
      <c r="I44" s="23"/>
      <c r="J44" s="23"/>
      <c r="K44" s="23"/>
      <c r="L44" s="34"/>
      <c r="M44" s="34"/>
      <c r="N44" s="34"/>
      <c r="O44" s="34"/>
      <c r="P44" s="34"/>
      <c r="Q44" s="34"/>
      <c r="R44" s="55"/>
      <c r="S44" s="75"/>
      <c r="T44" s="75"/>
      <c r="U44" s="75"/>
      <c r="V44" s="75"/>
      <c r="W44" s="75"/>
      <c r="X44" s="75"/>
      <c r="Y44" s="88"/>
    </row>
    <row r="45" spans="1:30" x14ac:dyDescent="0.2">
      <c r="A45" s="50"/>
      <c r="B45" s="50"/>
      <c r="C45" s="90"/>
      <c r="D45" s="94"/>
      <c r="E45" s="85"/>
      <c r="F45" s="85"/>
      <c r="G45" s="40"/>
      <c r="H45" s="23"/>
      <c r="I45" s="23"/>
      <c r="J45" s="23"/>
      <c r="K45" s="23"/>
      <c r="L45" s="34"/>
      <c r="M45" s="34"/>
      <c r="N45" s="34"/>
      <c r="O45" s="34"/>
      <c r="P45" s="34"/>
      <c r="Q45" s="34"/>
      <c r="R45" s="55"/>
      <c r="S45" s="75"/>
      <c r="T45" s="75"/>
      <c r="U45" s="75"/>
      <c r="V45" s="75"/>
      <c r="W45" s="75"/>
      <c r="X45" s="75"/>
      <c r="Y45" s="88"/>
    </row>
    <row r="46" spans="1:30" x14ac:dyDescent="0.2">
      <c r="A46" s="50"/>
      <c r="B46" s="50"/>
      <c r="C46" s="175"/>
      <c r="D46" s="94"/>
      <c r="E46" s="85"/>
      <c r="F46" s="85"/>
      <c r="G46" s="40"/>
      <c r="H46" s="23"/>
      <c r="I46" s="23"/>
      <c r="J46" s="23"/>
      <c r="K46" s="23"/>
      <c r="L46" s="34"/>
      <c r="M46" s="34"/>
      <c r="N46" s="34"/>
      <c r="O46" s="34"/>
      <c r="P46" s="34"/>
      <c r="Q46" s="34"/>
      <c r="R46" s="55"/>
      <c r="S46" s="75"/>
      <c r="T46" s="75"/>
      <c r="U46" s="75"/>
      <c r="V46" s="75"/>
      <c r="W46" s="75"/>
      <c r="X46" s="75"/>
      <c r="Y46" s="88"/>
    </row>
    <row r="47" spans="1:30" s="502" customFormat="1" x14ac:dyDescent="0.2">
      <c r="A47" s="50"/>
      <c r="B47" s="50"/>
      <c r="C47" s="175"/>
      <c r="D47" s="94"/>
      <c r="E47" s="85"/>
      <c r="F47" s="85"/>
      <c r="G47" s="40"/>
      <c r="H47" s="23"/>
      <c r="I47" s="23"/>
      <c r="J47" s="23"/>
      <c r="K47" s="23"/>
      <c r="L47" s="34"/>
      <c r="M47" s="34"/>
      <c r="N47" s="34"/>
      <c r="O47" s="34"/>
      <c r="P47" s="34"/>
      <c r="Q47" s="34"/>
      <c r="R47" s="55"/>
      <c r="S47" s="75"/>
      <c r="T47" s="75"/>
      <c r="U47" s="75"/>
      <c r="V47" s="75"/>
      <c r="W47" s="75"/>
      <c r="X47" s="75"/>
      <c r="Y47" s="88"/>
      <c r="AA47"/>
      <c r="AB47"/>
      <c r="AC47"/>
      <c r="AD47"/>
    </row>
    <row r="48" spans="1:30" s="502" customFormat="1" x14ac:dyDescent="0.2">
      <c r="A48" s="50"/>
      <c r="B48" s="50"/>
      <c r="C48" s="175"/>
      <c r="D48" s="94"/>
      <c r="E48" s="85"/>
      <c r="F48" s="85"/>
      <c r="G48" s="40"/>
      <c r="H48" s="23"/>
      <c r="I48" s="23"/>
      <c r="J48" s="23"/>
      <c r="K48" s="23"/>
      <c r="L48" s="34"/>
      <c r="M48" s="34"/>
      <c r="N48" s="34"/>
      <c r="O48" s="34"/>
      <c r="P48" s="34"/>
      <c r="Q48" s="34"/>
      <c r="R48" s="55"/>
      <c r="S48" s="75"/>
      <c r="T48" s="75"/>
      <c r="U48" s="75"/>
      <c r="V48" s="75"/>
      <c r="W48" s="75"/>
      <c r="X48" s="75"/>
      <c r="Y48" s="88"/>
      <c r="AA48"/>
      <c r="AB48"/>
      <c r="AC48"/>
      <c r="AD48"/>
    </row>
    <row r="49" spans="1:30" s="502" customFormat="1" x14ac:dyDescent="0.2">
      <c r="A49" s="50"/>
      <c r="B49" s="50"/>
      <c r="C49" s="90"/>
      <c r="D49" s="94"/>
      <c r="E49" s="85"/>
      <c r="F49" s="85"/>
      <c r="G49" s="40"/>
      <c r="H49" s="23"/>
      <c r="I49" s="23"/>
      <c r="J49" s="23"/>
      <c r="K49" s="23"/>
      <c r="L49" s="34"/>
      <c r="M49" s="34"/>
      <c r="N49" s="34"/>
      <c r="O49" s="34"/>
      <c r="P49" s="34"/>
      <c r="Q49" s="34"/>
      <c r="R49" s="55"/>
      <c r="S49" s="75"/>
      <c r="T49" s="75"/>
      <c r="U49" s="75"/>
      <c r="V49" s="75"/>
      <c r="W49" s="75"/>
      <c r="X49" s="75"/>
      <c r="Y49" s="88"/>
      <c r="AA49"/>
      <c r="AB49"/>
      <c r="AC49"/>
      <c r="AD49"/>
    </row>
    <row r="50" spans="1:30" s="502" customFormat="1" x14ac:dyDescent="0.2">
      <c r="A50" s="50"/>
      <c r="B50" s="50"/>
      <c r="C50" s="175"/>
      <c r="D50" s="94"/>
      <c r="E50" s="85"/>
      <c r="F50" s="85"/>
      <c r="G50" s="40"/>
      <c r="H50" s="23"/>
      <c r="I50" s="23"/>
      <c r="J50" s="23"/>
      <c r="K50" s="23"/>
      <c r="L50" s="34"/>
      <c r="M50" s="34"/>
      <c r="N50" s="34"/>
      <c r="O50" s="34"/>
      <c r="P50" s="34"/>
      <c r="Q50" s="34"/>
      <c r="R50" s="55"/>
      <c r="S50" s="75"/>
      <c r="T50" s="75"/>
      <c r="U50" s="75"/>
      <c r="V50" s="75"/>
      <c r="W50" s="75"/>
      <c r="X50" s="75"/>
      <c r="Y50" s="88"/>
      <c r="AA50"/>
      <c r="AB50"/>
      <c r="AC50"/>
      <c r="AD50"/>
    </row>
    <row r="51" spans="1:30" s="502" customFormat="1" x14ac:dyDescent="0.2">
      <c r="A51" s="50"/>
      <c r="B51" s="50"/>
      <c r="C51" s="175"/>
      <c r="D51" s="94"/>
      <c r="E51" s="85"/>
      <c r="F51" s="85"/>
      <c r="G51" s="40"/>
      <c r="H51" s="23"/>
      <c r="I51" s="23"/>
      <c r="J51" s="23"/>
      <c r="K51" s="23"/>
      <c r="L51" s="34"/>
      <c r="M51" s="34"/>
      <c r="N51" s="34"/>
      <c r="O51" s="34"/>
      <c r="P51" s="34"/>
      <c r="Q51" s="34"/>
      <c r="R51" s="55"/>
      <c r="S51" s="75"/>
      <c r="T51" s="75"/>
      <c r="U51" s="75"/>
      <c r="V51" s="75"/>
      <c r="W51" s="75"/>
      <c r="X51" s="75"/>
      <c r="Y51" s="88"/>
      <c r="AA51"/>
      <c r="AB51"/>
      <c r="AC51"/>
      <c r="AD51"/>
    </row>
    <row r="52" spans="1:30" s="502" customFormat="1" x14ac:dyDescent="0.2">
      <c r="A52" s="50"/>
      <c r="B52" s="50"/>
      <c r="C52" s="175"/>
      <c r="D52" s="94"/>
      <c r="E52" s="85"/>
      <c r="F52" s="85"/>
      <c r="G52" s="40"/>
      <c r="H52" s="23"/>
      <c r="I52" s="23"/>
      <c r="J52" s="23"/>
      <c r="K52" s="23"/>
      <c r="L52" s="34"/>
      <c r="M52" s="34"/>
      <c r="N52" s="34"/>
      <c r="O52" s="34"/>
      <c r="P52" s="34"/>
      <c r="Q52" s="34"/>
      <c r="R52" s="55"/>
      <c r="S52" s="75"/>
      <c r="T52" s="75"/>
      <c r="U52" s="75"/>
      <c r="V52" s="75"/>
      <c r="W52" s="75"/>
      <c r="X52" s="75"/>
      <c r="Y52" s="88"/>
      <c r="AA52"/>
      <c r="AB52"/>
      <c r="AC52"/>
      <c r="AD52"/>
    </row>
    <row r="53" spans="1:30" s="502" customFormat="1" x14ac:dyDescent="0.2">
      <c r="A53" s="50"/>
      <c r="B53" s="50"/>
      <c r="C53" s="90"/>
      <c r="D53" s="36"/>
      <c r="E53" s="87"/>
      <c r="F53" s="87"/>
      <c r="G53" s="40"/>
      <c r="H53" s="23"/>
      <c r="I53" s="23"/>
      <c r="J53" s="23"/>
      <c r="K53" s="23"/>
      <c r="L53" s="34"/>
      <c r="M53" s="34"/>
      <c r="N53" s="34"/>
      <c r="O53" s="34"/>
      <c r="P53" s="34"/>
      <c r="Q53" s="34"/>
      <c r="R53" s="55"/>
      <c r="S53" s="75"/>
      <c r="T53" s="75"/>
      <c r="U53" s="75"/>
      <c r="V53" s="75"/>
      <c r="W53" s="75"/>
      <c r="X53" s="75"/>
      <c r="Y53" s="88"/>
      <c r="AA53"/>
      <c r="AB53"/>
      <c r="AC53"/>
      <c r="AD53"/>
    </row>
    <row r="54" spans="1:30" s="502" customFormat="1" x14ac:dyDescent="0.2">
      <c r="A54" s="50"/>
      <c r="B54" s="50"/>
      <c r="C54" s="90"/>
      <c r="D54" s="40"/>
      <c r="E54" s="40"/>
      <c r="F54" s="40"/>
      <c r="G54" s="40"/>
      <c r="H54" s="23"/>
      <c r="I54" s="23"/>
      <c r="J54" s="23"/>
      <c r="K54" s="23"/>
      <c r="L54" s="34"/>
      <c r="M54" s="34"/>
      <c r="N54" s="34"/>
      <c r="O54" s="34"/>
      <c r="P54" s="34"/>
      <c r="Q54" s="34"/>
      <c r="R54" s="55"/>
      <c r="S54" s="75"/>
      <c r="T54" s="75"/>
      <c r="U54" s="75"/>
      <c r="V54" s="75"/>
      <c r="W54" s="75"/>
      <c r="X54" s="75"/>
      <c r="Y54" s="88"/>
      <c r="AA54"/>
      <c r="AB54"/>
      <c r="AC54"/>
      <c r="AD54"/>
    </row>
    <row r="55" spans="1:30" s="502" customFormat="1" x14ac:dyDescent="0.2">
      <c r="A55" s="50"/>
      <c r="B55" s="50"/>
      <c r="C55" s="90"/>
      <c r="D55" s="36"/>
      <c r="E55" s="36"/>
      <c r="F55" s="36"/>
      <c r="G55" s="40"/>
      <c r="H55" s="23"/>
      <c r="I55" s="23"/>
      <c r="J55" s="23"/>
      <c r="K55" s="23"/>
      <c r="L55" s="34"/>
      <c r="M55" s="34"/>
      <c r="N55" s="34"/>
      <c r="O55" s="34"/>
      <c r="P55" s="34"/>
      <c r="Q55" s="34"/>
      <c r="R55" s="55"/>
      <c r="S55" s="75"/>
      <c r="T55" s="75"/>
      <c r="U55" s="75"/>
      <c r="V55" s="75"/>
      <c r="W55" s="75"/>
      <c r="X55" s="75"/>
      <c r="Y55" s="88"/>
      <c r="AA55"/>
      <c r="AB55"/>
      <c r="AC55"/>
      <c r="AD55"/>
    </row>
    <row r="56" spans="1:30" s="502" customFormat="1" x14ac:dyDescent="0.2">
      <c r="A56" s="50"/>
      <c r="B56" s="50"/>
      <c r="C56" s="90"/>
      <c r="D56" s="40"/>
      <c r="E56" s="40"/>
      <c r="F56" s="40"/>
      <c r="G56" s="40"/>
      <c r="H56" s="23"/>
      <c r="I56" s="23"/>
      <c r="J56" s="23"/>
      <c r="K56" s="23"/>
      <c r="L56" s="34"/>
      <c r="M56" s="34"/>
      <c r="N56" s="34"/>
      <c r="O56" s="34"/>
      <c r="P56" s="34"/>
      <c r="Q56" s="34"/>
      <c r="R56" s="55"/>
      <c r="S56" s="75"/>
      <c r="T56" s="75"/>
      <c r="U56" s="75"/>
      <c r="V56" s="75"/>
      <c r="W56" s="75"/>
      <c r="X56" s="75"/>
      <c r="Y56" s="88"/>
      <c r="AA56"/>
      <c r="AB56"/>
      <c r="AC56"/>
      <c r="AD56"/>
    </row>
    <row r="57" spans="1:30" s="502" customFormat="1" x14ac:dyDescent="0.2">
      <c r="A57" s="50"/>
      <c r="B57" s="50"/>
      <c r="C57" s="90"/>
      <c r="D57" s="87"/>
      <c r="E57" s="87"/>
      <c r="F57" s="87"/>
      <c r="G57" s="40"/>
      <c r="H57" s="23"/>
      <c r="I57" s="23"/>
      <c r="J57" s="23"/>
      <c r="K57" s="23"/>
      <c r="L57" s="34"/>
      <c r="M57" s="34"/>
      <c r="N57" s="34"/>
      <c r="O57" s="34"/>
      <c r="P57" s="34"/>
      <c r="Q57" s="34"/>
      <c r="R57" s="55"/>
      <c r="S57" s="75"/>
      <c r="T57" s="75"/>
      <c r="U57" s="75"/>
      <c r="V57" s="75"/>
      <c r="W57" s="75"/>
      <c r="X57" s="75"/>
      <c r="Y57" s="88"/>
      <c r="AA57"/>
      <c r="AB57"/>
      <c r="AC57"/>
      <c r="AD57"/>
    </row>
    <row r="58" spans="1:30" s="502" customFormat="1" x14ac:dyDescent="0.2">
      <c r="A58" s="50"/>
      <c r="B58" s="50"/>
      <c r="C58" s="90"/>
      <c r="D58" s="87"/>
      <c r="E58" s="87"/>
      <c r="F58" s="87"/>
      <c r="G58" s="40"/>
      <c r="H58" s="23"/>
      <c r="I58" s="23"/>
      <c r="J58" s="23"/>
      <c r="K58" s="23"/>
      <c r="L58" s="34"/>
      <c r="M58" s="34"/>
      <c r="N58" s="34"/>
      <c r="O58" s="34"/>
      <c r="P58" s="34"/>
      <c r="Q58" s="34"/>
      <c r="R58" s="55"/>
      <c r="S58" s="75"/>
      <c r="T58" s="75"/>
      <c r="U58" s="75"/>
      <c r="V58" s="75"/>
      <c r="W58" s="75"/>
      <c r="X58" s="75"/>
      <c r="Y58" s="88"/>
      <c r="AA58"/>
      <c r="AB58"/>
      <c r="AC58"/>
      <c r="AD58"/>
    </row>
    <row r="59" spans="1:30" s="502" customFormat="1" x14ac:dyDescent="0.2">
      <c r="A59" s="50"/>
      <c r="B59" s="50"/>
      <c r="C59" s="50"/>
      <c r="D59" s="667"/>
      <c r="E59" s="75"/>
      <c r="F59" s="75"/>
      <c r="G59" s="40"/>
      <c r="H59" s="23"/>
      <c r="I59" s="23"/>
      <c r="J59" s="23"/>
      <c r="K59" s="23"/>
      <c r="L59" s="34"/>
      <c r="M59" s="34"/>
      <c r="N59" s="34"/>
      <c r="O59" s="34"/>
      <c r="P59" s="34"/>
      <c r="Q59" s="34"/>
      <c r="R59" s="55"/>
      <c r="S59" s="75"/>
      <c r="T59" s="75"/>
      <c r="U59" s="75"/>
      <c r="V59" s="75"/>
      <c r="W59" s="75"/>
      <c r="X59" s="75"/>
      <c r="Y59" s="88"/>
      <c r="AA59"/>
      <c r="AB59"/>
      <c r="AC59"/>
      <c r="AD59"/>
    </row>
    <row r="60" spans="1:30" s="502" customFormat="1" x14ac:dyDescent="0.2">
      <c r="A60" s="50"/>
      <c r="B60" s="50"/>
      <c r="C60" s="50"/>
      <c r="D60" s="667"/>
      <c r="E60" s="75"/>
      <c r="F60" s="75"/>
      <c r="G60" s="40"/>
      <c r="H60" s="23"/>
      <c r="I60" s="23"/>
      <c r="J60" s="23"/>
      <c r="K60" s="23"/>
      <c r="L60" s="34"/>
      <c r="M60" s="34"/>
      <c r="N60" s="34"/>
      <c r="O60" s="34"/>
      <c r="P60" s="34"/>
      <c r="Q60" s="34"/>
      <c r="R60" s="55"/>
      <c r="S60" s="75"/>
      <c r="T60" s="75"/>
      <c r="U60" s="75"/>
      <c r="V60" s="75"/>
      <c r="W60" s="75"/>
      <c r="X60" s="75"/>
      <c r="Y60" s="88"/>
      <c r="AA60"/>
      <c r="AB60"/>
      <c r="AC60"/>
      <c r="AD60"/>
    </row>
    <row r="61" spans="1:30" s="502" customFormat="1" x14ac:dyDescent="0.2">
      <c r="A61" s="50"/>
      <c r="B61" s="670"/>
      <c r="C61" s="31"/>
      <c r="D61" s="667"/>
      <c r="E61" s="75"/>
      <c r="F61" s="75"/>
      <c r="G61" s="40"/>
      <c r="H61" s="23"/>
      <c r="I61" s="23"/>
      <c r="J61" s="23"/>
      <c r="K61" s="23"/>
      <c r="L61" s="34"/>
      <c r="M61" s="34"/>
      <c r="N61" s="34"/>
      <c r="O61" s="34"/>
      <c r="P61" s="34"/>
      <c r="Q61" s="34"/>
      <c r="R61" s="55"/>
      <c r="S61" s="75"/>
      <c r="T61" s="75"/>
      <c r="U61" s="75"/>
      <c r="V61" s="75"/>
      <c r="W61" s="75"/>
      <c r="X61" s="75"/>
      <c r="Y61" s="88"/>
      <c r="AA61"/>
      <c r="AB61"/>
      <c r="AC61"/>
      <c r="AD61"/>
    </row>
    <row r="62" spans="1:30" s="502" customFormat="1" x14ac:dyDescent="0.2">
      <c r="A62" s="50"/>
      <c r="B62" s="50"/>
      <c r="C62" s="50"/>
      <c r="D62" s="31"/>
      <c r="E62" s="50"/>
      <c r="F62" s="50"/>
      <c r="G62" s="50"/>
      <c r="H62"/>
      <c r="I62"/>
      <c r="J62"/>
      <c r="K62"/>
      <c r="L62" s="30"/>
      <c r="M62" s="30"/>
      <c r="N62" s="30"/>
      <c r="O62" s="30"/>
      <c r="P62" s="30"/>
      <c r="Q62" s="30"/>
      <c r="R62" s="23"/>
      <c r="S62" s="50"/>
      <c r="T62" s="50"/>
      <c r="U62" s="50"/>
      <c r="V62" s="40"/>
      <c r="W62" s="50"/>
      <c r="X62" s="50"/>
      <c r="Y62"/>
      <c r="AA62"/>
      <c r="AB62"/>
      <c r="AC62"/>
      <c r="AD62"/>
    </row>
    <row r="63" spans="1:30" s="502" customFormat="1" x14ac:dyDescent="0.2">
      <c r="A63" s="50"/>
      <c r="B63" s="670"/>
      <c r="C63" s="671"/>
      <c r="D63" s="31"/>
      <c r="E63" s="50"/>
      <c r="F63" s="50"/>
      <c r="G63" s="50"/>
      <c r="H63"/>
      <c r="I63"/>
      <c r="J63"/>
      <c r="K63"/>
      <c r="L63" s="30"/>
      <c r="M63" s="30"/>
      <c r="N63" s="30"/>
      <c r="O63"/>
      <c r="P63"/>
      <c r="Q63"/>
      <c r="R63" s="23"/>
      <c r="S63" s="50"/>
      <c r="T63" s="50"/>
      <c r="U63" s="50"/>
      <c r="V63" s="40"/>
      <c r="W63" s="50"/>
      <c r="X63" s="50"/>
      <c r="Y63"/>
      <c r="AA63"/>
      <c r="AB63"/>
      <c r="AC63"/>
      <c r="AD63"/>
    </row>
    <row r="64" spans="1:30" s="502" customFormat="1" x14ac:dyDescent="0.2">
      <c r="A64" s="50"/>
      <c r="B64" s="670"/>
      <c r="C64" s="672"/>
      <c r="D64" s="31"/>
      <c r="E64" s="31"/>
      <c r="F64" s="31"/>
      <c r="G64" s="31"/>
      <c r="H64"/>
      <c r="I64"/>
      <c r="J64"/>
      <c r="K64"/>
      <c r="L64" s="30"/>
      <c r="M64" s="30"/>
      <c r="N64" s="30"/>
      <c r="O64"/>
      <c r="P64"/>
      <c r="Q64"/>
      <c r="R64"/>
      <c r="S64" s="50"/>
      <c r="T64" s="50"/>
      <c r="U64" s="50"/>
      <c r="V64" s="50"/>
      <c r="W64" s="50"/>
      <c r="X64" s="50"/>
      <c r="Y64"/>
      <c r="AA64"/>
      <c r="AB64"/>
      <c r="AC64"/>
      <c r="AD64"/>
    </row>
    <row r="65" spans="1:30" s="502" customFormat="1" x14ac:dyDescent="0.2">
      <c r="A65" s="50"/>
      <c r="B65" s="670"/>
      <c r="C65" s="671"/>
      <c r="D65" s="31"/>
      <c r="E65" s="31"/>
      <c r="F65" s="31"/>
      <c r="G65" s="31"/>
      <c r="H65"/>
      <c r="I65"/>
      <c r="J65"/>
      <c r="K65"/>
      <c r="L65" s="30"/>
      <c r="M65" s="30"/>
      <c r="N65" s="30"/>
      <c r="O65"/>
      <c r="P65"/>
      <c r="Q65"/>
      <c r="R65"/>
      <c r="S65" s="50"/>
      <c r="T65" s="50"/>
      <c r="U65" s="50"/>
      <c r="V65" s="50"/>
      <c r="W65" s="50"/>
      <c r="X65" s="50"/>
      <c r="Y65"/>
      <c r="AA65"/>
      <c r="AB65"/>
      <c r="AC65"/>
      <c r="AD65"/>
    </row>
    <row r="66" spans="1:30" s="502" customFormat="1" x14ac:dyDescent="0.2">
      <c r="A66" s="50"/>
      <c r="B66" s="670"/>
      <c r="C66" s="672"/>
      <c r="D66" s="31"/>
      <c r="E66" s="50"/>
      <c r="F66" s="50"/>
      <c r="G66" s="50"/>
      <c r="H66"/>
      <c r="I66"/>
      <c r="J66"/>
      <c r="K66"/>
      <c r="L66" s="30"/>
      <c r="M66" s="30"/>
      <c r="N66" s="30"/>
      <c r="O66"/>
      <c r="P66"/>
      <c r="Q66"/>
      <c r="R66"/>
      <c r="S66" s="50"/>
      <c r="T66" s="50"/>
      <c r="U66" s="50"/>
      <c r="V66" s="50"/>
      <c r="W66" s="50"/>
      <c r="X66" s="50"/>
      <c r="Y66"/>
      <c r="AA66"/>
      <c r="AB66"/>
      <c r="AC66"/>
      <c r="AD66"/>
    </row>
    <row r="67" spans="1:30" x14ac:dyDescent="0.2">
      <c r="A67" s="50"/>
      <c r="B67" s="50"/>
      <c r="C67" s="50"/>
      <c r="D67" s="31"/>
      <c r="E67" s="50"/>
      <c r="F67" s="50"/>
      <c r="G67" s="50"/>
    </row>
    <row r="68" spans="1:30" s="502" customFormat="1" x14ac:dyDescent="0.2">
      <c r="A68" s="50"/>
      <c r="B68" s="50"/>
      <c r="C68" s="50"/>
      <c r="D68" s="31"/>
      <c r="E68" s="50"/>
      <c r="F68" s="50"/>
      <c r="G68" s="50"/>
      <c r="H68"/>
      <c r="I68"/>
      <c r="J68"/>
      <c r="K68"/>
      <c r="L68" s="30"/>
      <c r="M68" s="30"/>
      <c r="N68" s="30"/>
      <c r="O68"/>
      <c r="P68"/>
      <c r="Q68" s="23"/>
      <c r="R68" s="23"/>
      <c r="S68" s="50"/>
      <c r="T68" s="40"/>
      <c r="U68" s="40"/>
      <c r="V68" s="50"/>
      <c r="W68" s="50"/>
      <c r="X68" s="50"/>
      <c r="Y68"/>
      <c r="AA68"/>
      <c r="AB68"/>
      <c r="AC68"/>
      <c r="AD68"/>
    </row>
    <row r="69" spans="1:30" x14ac:dyDescent="0.2">
      <c r="A69" s="50"/>
      <c r="B69" s="50"/>
      <c r="C69" s="50"/>
      <c r="D69" s="31"/>
      <c r="E69" s="50"/>
      <c r="F69" s="50"/>
      <c r="G69" s="50"/>
    </row>
    <row r="70" spans="1:30" s="502" customFormat="1" x14ac:dyDescent="0.2">
      <c r="A70" s="50"/>
      <c r="B70" s="50"/>
      <c r="C70" s="50"/>
      <c r="D70" s="31"/>
      <c r="E70" s="50"/>
      <c r="F70" s="50"/>
      <c r="G70" s="50"/>
      <c r="H70"/>
      <c r="I70"/>
      <c r="J70"/>
      <c r="K70"/>
      <c r="L70" s="30"/>
      <c r="M70" s="30"/>
      <c r="N70" s="30"/>
      <c r="O70"/>
      <c r="P70"/>
      <c r="Q70"/>
      <c r="R70"/>
      <c r="S70" s="50"/>
      <c r="T70" s="50"/>
      <c r="U70" s="50"/>
      <c r="V70" s="50"/>
      <c r="W70" s="50"/>
      <c r="X70" s="50"/>
      <c r="Y70"/>
      <c r="AA70"/>
      <c r="AB70"/>
      <c r="AC70"/>
      <c r="AD70"/>
    </row>
    <row r="71" spans="1:30" x14ac:dyDescent="0.2">
      <c r="A71" s="50"/>
      <c r="B71" s="50"/>
      <c r="C71" s="50"/>
      <c r="D71" s="31"/>
      <c r="E71" s="50"/>
      <c r="F71" s="50"/>
      <c r="G71" s="50"/>
    </row>
  </sheetData>
  <mergeCells count="4">
    <mergeCell ref="B1:G1"/>
    <mergeCell ref="B2:G2"/>
    <mergeCell ref="B3:G3"/>
    <mergeCell ref="B4:G4"/>
  </mergeCells>
  <printOptions horizontalCentered="1"/>
  <pageMargins left="0.25" right="0.25" top="0.7" bottom="0.75" header="0.5" footer="0.5"/>
  <pageSetup orientation="landscape" blackAndWhite="1" horizontalDpi="300" verticalDpi="300" r:id="rId1"/>
  <headerFooter alignWithMargins="0">
    <oddFooter>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1"/>
  <sheetViews>
    <sheetView zoomScaleNormal="100" workbookViewId="0">
      <selection activeCell="D36" sqref="D36"/>
    </sheetView>
  </sheetViews>
  <sheetFormatPr defaultRowHeight="12.75" x14ac:dyDescent="0.2"/>
  <cols>
    <col min="1" max="1" width="2.42578125" customWidth="1"/>
    <col min="2" max="2" width="4.85546875" customWidth="1"/>
    <col min="3" max="3" width="42.28515625" customWidth="1"/>
    <col min="4" max="4" width="16.7109375" style="30" customWidth="1"/>
    <col min="5" max="5" width="16.7109375" customWidth="1"/>
    <col min="6" max="10" width="9.140625" customWidth="1"/>
    <col min="11" max="13" width="9.140625" style="30" customWidth="1"/>
    <col min="14" max="17" width="9.140625" customWidth="1"/>
    <col min="18" max="23" width="9.140625" style="50" customWidth="1"/>
    <col min="24" max="24" width="9.140625" customWidth="1"/>
    <col min="25" max="25" width="9.140625" style="502" customWidth="1"/>
    <col min="26" max="26" width="9.140625" customWidth="1"/>
  </cols>
  <sheetData>
    <row r="1" spans="1:25" x14ac:dyDescent="0.2">
      <c r="A1" s="61"/>
      <c r="B1" s="846" t="s">
        <v>1</v>
      </c>
      <c r="C1" s="846"/>
      <c r="D1" s="846"/>
      <c r="E1" s="846"/>
      <c r="F1" s="660"/>
      <c r="G1" s="90"/>
      <c r="H1" s="71"/>
      <c r="I1" s="90"/>
      <c r="J1" s="90"/>
      <c r="K1"/>
      <c r="L1" s="502"/>
      <c r="M1"/>
      <c r="R1"/>
      <c r="S1"/>
      <c r="T1"/>
      <c r="U1"/>
      <c r="V1"/>
      <c r="W1"/>
      <c r="Y1"/>
    </row>
    <row r="2" spans="1:25" x14ac:dyDescent="0.2">
      <c r="A2" s="61"/>
      <c r="B2" s="846" t="s">
        <v>397</v>
      </c>
      <c r="C2" s="846"/>
      <c r="D2" s="846"/>
      <c r="E2" s="846"/>
      <c r="F2" s="660"/>
      <c r="G2" s="90"/>
      <c r="H2" s="71"/>
      <c r="I2" s="90"/>
      <c r="J2" s="90"/>
      <c r="K2"/>
      <c r="L2" s="502"/>
      <c r="M2"/>
      <c r="R2"/>
      <c r="S2"/>
      <c r="T2"/>
      <c r="U2"/>
      <c r="V2"/>
      <c r="W2"/>
      <c r="Y2"/>
    </row>
    <row r="3" spans="1:25" x14ac:dyDescent="0.2">
      <c r="B3" s="846" t="s">
        <v>533</v>
      </c>
      <c r="C3" s="846"/>
      <c r="D3" s="846"/>
      <c r="E3" s="846"/>
      <c r="F3" s="660"/>
      <c r="G3" s="90"/>
      <c r="H3" s="71"/>
      <c r="I3" s="90"/>
      <c r="J3" s="90"/>
      <c r="K3"/>
      <c r="L3" s="502"/>
      <c r="M3"/>
      <c r="R3"/>
      <c r="S3"/>
      <c r="T3"/>
      <c r="U3"/>
      <c r="V3"/>
      <c r="W3"/>
      <c r="Y3"/>
    </row>
    <row r="4" spans="1:25" x14ac:dyDescent="0.2">
      <c r="B4" s="846" t="s">
        <v>542</v>
      </c>
      <c r="C4" s="846"/>
      <c r="D4" s="846"/>
      <c r="E4" s="846"/>
      <c r="F4" s="660"/>
      <c r="G4" s="90"/>
      <c r="H4" s="71"/>
      <c r="I4" s="90"/>
      <c r="J4" s="90"/>
      <c r="K4"/>
      <c r="L4" s="502"/>
      <c r="M4"/>
      <c r="R4"/>
      <c r="S4"/>
      <c r="T4"/>
      <c r="U4"/>
      <c r="V4"/>
      <c r="W4"/>
      <c r="Y4"/>
    </row>
    <row r="5" spans="1:25" x14ac:dyDescent="0.2">
      <c r="B5" s="766"/>
      <c r="C5" s="766"/>
      <c r="D5" s="766"/>
      <c r="E5" s="766"/>
      <c r="F5" s="660"/>
      <c r="G5" s="90"/>
      <c r="H5" s="71"/>
      <c r="I5" s="90"/>
      <c r="J5" s="90"/>
      <c r="K5"/>
      <c r="L5" s="709"/>
      <c r="M5"/>
      <c r="R5"/>
      <c r="S5"/>
      <c r="T5"/>
      <c r="U5"/>
      <c r="V5"/>
      <c r="W5"/>
      <c r="Y5"/>
    </row>
    <row r="6" spans="1:25" x14ac:dyDescent="0.2">
      <c r="B6" s="61"/>
      <c r="C6" s="61"/>
      <c r="D6" s="61"/>
      <c r="E6" s="71"/>
      <c r="F6" s="71"/>
      <c r="G6" s="71"/>
      <c r="H6" s="71"/>
      <c r="I6" s="71"/>
      <c r="J6" s="71"/>
      <c r="K6"/>
      <c r="L6" s="502"/>
      <c r="M6"/>
      <c r="R6"/>
      <c r="S6"/>
      <c r="T6"/>
      <c r="U6"/>
      <c r="V6"/>
      <c r="W6"/>
      <c r="Y6"/>
    </row>
    <row r="7" spans="1:25" x14ac:dyDescent="0.2">
      <c r="B7" s="69"/>
      <c r="D7" s="27" t="s">
        <v>342</v>
      </c>
      <c r="E7" s="27" t="s">
        <v>342</v>
      </c>
      <c r="F7" s="174"/>
      <c r="G7" s="174"/>
      <c r="H7" s="174"/>
      <c r="I7" s="50"/>
      <c r="J7" s="71"/>
      <c r="K7"/>
      <c r="L7" s="502"/>
      <c r="M7"/>
      <c r="R7"/>
      <c r="S7"/>
      <c r="T7"/>
      <c r="U7"/>
      <c r="V7"/>
      <c r="W7"/>
      <c r="Y7"/>
    </row>
    <row r="8" spans="1:25" x14ac:dyDescent="0.2">
      <c r="D8" s="27" t="s">
        <v>343</v>
      </c>
      <c r="E8" s="27" t="s">
        <v>343</v>
      </c>
      <c r="G8" s="50"/>
      <c r="H8" s="50"/>
      <c r="I8" s="50"/>
      <c r="J8" s="50"/>
      <c r="K8"/>
      <c r="L8" s="502"/>
      <c r="M8"/>
      <c r="R8"/>
      <c r="S8"/>
      <c r="T8"/>
      <c r="U8"/>
      <c r="V8"/>
      <c r="W8"/>
      <c r="Y8"/>
    </row>
    <row r="9" spans="1:25" ht="13.5" thickBot="1" x14ac:dyDescent="0.25">
      <c r="D9" s="579" t="s">
        <v>169</v>
      </c>
      <c r="E9" s="579" t="s">
        <v>169</v>
      </c>
      <c r="G9" s="50"/>
      <c r="H9" s="50"/>
      <c r="I9" s="50"/>
      <c r="J9" s="27"/>
      <c r="K9"/>
      <c r="L9" s="399"/>
      <c r="M9" s="80"/>
      <c r="R9"/>
      <c r="S9"/>
      <c r="T9"/>
      <c r="U9"/>
      <c r="V9"/>
      <c r="W9"/>
      <c r="Y9"/>
    </row>
    <row r="10" spans="1:25" x14ac:dyDescent="0.2">
      <c r="B10" s="16" t="s">
        <v>112</v>
      </c>
      <c r="C10" s="16" t="s">
        <v>117</v>
      </c>
      <c r="D10" s="764" t="s">
        <v>595</v>
      </c>
      <c r="E10" s="764" t="s">
        <v>596</v>
      </c>
      <c r="G10" s="50"/>
      <c r="H10" s="678" t="s">
        <v>114</v>
      </c>
      <c r="I10" s="679" t="s">
        <v>114</v>
      </c>
      <c r="J10" s="27"/>
      <c r="K10"/>
      <c r="L10" s="579"/>
      <c r="M10" s="60"/>
      <c r="P10" s="30"/>
      <c r="R10"/>
      <c r="S10"/>
      <c r="T10"/>
      <c r="U10"/>
      <c r="V10"/>
      <c r="W10"/>
      <c r="Y10"/>
    </row>
    <row r="11" spans="1:25" x14ac:dyDescent="0.2">
      <c r="C11" s="41" t="s">
        <v>173</v>
      </c>
      <c r="D11" s="41" t="s">
        <v>174</v>
      </c>
      <c r="E11" s="41" t="s">
        <v>175</v>
      </c>
      <c r="G11" s="50"/>
      <c r="H11" s="680"/>
      <c r="I11" s="681"/>
      <c r="J11" s="41"/>
      <c r="K11" s="41"/>
      <c r="L11" s="41"/>
      <c r="P11" s="30"/>
      <c r="R11"/>
      <c r="S11"/>
      <c r="T11"/>
      <c r="U11"/>
      <c r="V11"/>
      <c r="W11"/>
      <c r="Y11"/>
    </row>
    <row r="12" spans="1:25" x14ac:dyDescent="0.2">
      <c r="B12" s="614">
        <f>B33+1</f>
        <v>1</v>
      </c>
      <c r="C12" s="189" t="s">
        <v>183</v>
      </c>
      <c r="D12" s="86">
        <f>SUM('(R) Restated Norm Revenue'!R1013:R1015)</f>
        <v>197008983.53210199</v>
      </c>
      <c r="E12" s="84">
        <f>SUM('(R) Restated Norm Revenue'!R1068:R1070)</f>
        <v>188052719.66609019</v>
      </c>
      <c r="G12" s="50"/>
      <c r="H12" s="680"/>
      <c r="I12" s="681"/>
      <c r="J12" s="41"/>
      <c r="K12" s="579"/>
      <c r="L12" s="673"/>
      <c r="R12"/>
      <c r="S12"/>
      <c r="T12"/>
      <c r="U12"/>
      <c r="V12"/>
      <c r="W12"/>
      <c r="Y12"/>
    </row>
    <row r="13" spans="1:25" x14ac:dyDescent="0.2">
      <c r="B13" s="38">
        <f t="shared" ref="B13:B24" si="0">B12+1</f>
        <v>2</v>
      </c>
      <c r="C13" s="173" t="s">
        <v>154</v>
      </c>
      <c r="D13" s="94">
        <f>'(R) Restated Norm Revenue'!R1016</f>
        <v>72863186.380163103</v>
      </c>
      <c r="E13" s="85">
        <f>'(R) Restated Norm Revenue'!R1071</f>
        <v>69550703.806672812</v>
      </c>
      <c r="G13" s="50"/>
      <c r="H13" s="680"/>
      <c r="I13" s="681"/>
      <c r="J13" s="66"/>
      <c r="K13" s="66"/>
      <c r="L13" s="66"/>
      <c r="R13"/>
      <c r="S13"/>
      <c r="T13"/>
      <c r="U13"/>
      <c r="V13"/>
      <c r="W13"/>
      <c r="Y13"/>
    </row>
    <row r="14" spans="1:25" x14ac:dyDescent="0.2">
      <c r="B14" s="38">
        <f t="shared" si="0"/>
        <v>3</v>
      </c>
      <c r="C14" s="80" t="s">
        <v>392</v>
      </c>
      <c r="D14" s="94">
        <f>'(R) Restated Norm Revenue'!R1021</f>
        <v>30.389638999999999</v>
      </c>
      <c r="E14" s="85">
        <f>'(R) Restated Norm Revenue'!R1076</f>
        <v>30.389638999999999</v>
      </c>
      <c r="G14" s="50"/>
      <c r="H14" s="680"/>
      <c r="I14" s="681"/>
      <c r="J14" s="66"/>
      <c r="K14" s="66"/>
      <c r="L14" s="66"/>
      <c r="R14"/>
      <c r="S14"/>
      <c r="T14"/>
      <c r="U14"/>
      <c r="V14"/>
      <c r="W14"/>
      <c r="Y14"/>
    </row>
    <row r="15" spans="1:25" x14ac:dyDescent="0.2">
      <c r="B15" s="38">
        <f t="shared" si="0"/>
        <v>4</v>
      </c>
      <c r="C15" s="189" t="s">
        <v>153</v>
      </c>
      <c r="D15" s="94">
        <f>'(R) Restated Norm Revenue'!R1017</f>
        <v>18624424.888310701</v>
      </c>
      <c r="E15" s="85">
        <f>'(R) Restated Norm Revenue'!R1072</f>
        <v>17769165.421725258</v>
      </c>
      <c r="G15" s="50"/>
      <c r="H15" s="680"/>
      <c r="I15" s="681"/>
      <c r="J15" s="66"/>
      <c r="K15" s="66"/>
      <c r="L15" s="66"/>
      <c r="R15"/>
      <c r="S15"/>
      <c r="T15"/>
      <c r="U15"/>
      <c r="V15"/>
      <c r="W15"/>
      <c r="Y15"/>
    </row>
    <row r="16" spans="1:25" x14ac:dyDescent="0.2">
      <c r="B16" s="38">
        <f>B15+1</f>
        <v>5</v>
      </c>
      <c r="C16" s="189" t="s">
        <v>272</v>
      </c>
      <c r="D16" s="94">
        <f>'(R) Restated Norm Revenue'!R1022</f>
        <v>13477.9746633</v>
      </c>
      <c r="E16" s="85">
        <f>'(R) Restated Norm Revenue'!R1077</f>
        <v>13477.9746633</v>
      </c>
      <c r="G16" s="50"/>
      <c r="H16" s="680"/>
      <c r="I16" s="681"/>
      <c r="J16" s="66"/>
      <c r="K16" s="66"/>
      <c r="L16" s="66"/>
      <c r="R16"/>
      <c r="S16"/>
      <c r="T16"/>
      <c r="U16"/>
      <c r="V16"/>
      <c r="W16"/>
      <c r="Y16"/>
    </row>
    <row r="17" spans="2:25" x14ac:dyDescent="0.2">
      <c r="B17" s="38">
        <f>B16+1</f>
        <v>6</v>
      </c>
      <c r="C17" s="189" t="s">
        <v>156</v>
      </c>
      <c r="D17" s="94">
        <f>'(R) Restated Norm Revenue'!R1018</f>
        <v>4494980.4766552001</v>
      </c>
      <c r="E17" s="85">
        <f>'(R) Restated Norm Revenue'!R1073</f>
        <v>4290501.0237539206</v>
      </c>
      <c r="G17" s="50"/>
      <c r="H17" s="680"/>
      <c r="I17" s="681"/>
      <c r="J17" s="66"/>
      <c r="K17" s="66"/>
      <c r="L17" s="66"/>
      <c r="R17"/>
      <c r="S17"/>
      <c r="T17"/>
      <c r="U17"/>
      <c r="V17"/>
      <c r="W17"/>
      <c r="Y17"/>
    </row>
    <row r="18" spans="2:25" x14ac:dyDescent="0.2">
      <c r="B18" s="38">
        <f t="shared" si="0"/>
        <v>7</v>
      </c>
      <c r="C18" s="189" t="s">
        <v>279</v>
      </c>
      <c r="D18" s="94">
        <f>'(R) Restated Norm Revenue'!R1023</f>
        <v>53607.810984000011</v>
      </c>
      <c r="E18" s="85">
        <f>'(R) Restated Norm Revenue'!R1078</f>
        <v>53607.810984000011</v>
      </c>
      <c r="G18" s="50"/>
      <c r="H18" s="680"/>
      <c r="I18" s="681"/>
      <c r="J18" s="66"/>
      <c r="K18" s="66"/>
      <c r="L18" s="66"/>
      <c r="R18"/>
      <c r="S18"/>
      <c r="T18"/>
      <c r="U18"/>
      <c r="V18"/>
      <c r="W18"/>
      <c r="Y18"/>
    </row>
    <row r="19" spans="2:25" x14ac:dyDescent="0.2">
      <c r="B19" s="38">
        <f t="shared" si="0"/>
        <v>8</v>
      </c>
      <c r="C19" s="189" t="s">
        <v>157</v>
      </c>
      <c r="D19" s="94">
        <f>'(R) Restated Norm Revenue'!R1019</f>
        <v>2526653.7291643196</v>
      </c>
      <c r="E19" s="85">
        <f>'(R) Restated Norm Revenue'!R1074</f>
        <v>2411619.10067276</v>
      </c>
      <c r="G19" s="50"/>
      <c r="H19" s="680"/>
      <c r="I19" s="681"/>
      <c r="J19" s="66"/>
      <c r="K19" s="66"/>
      <c r="L19" s="66"/>
      <c r="R19"/>
      <c r="S19"/>
      <c r="T19"/>
      <c r="U19"/>
      <c r="V19"/>
      <c r="W19"/>
      <c r="Y19"/>
    </row>
    <row r="20" spans="2:25" x14ac:dyDescent="0.2">
      <c r="B20" s="38">
        <f t="shared" si="0"/>
        <v>9</v>
      </c>
      <c r="C20" s="80" t="s">
        <v>330</v>
      </c>
      <c r="D20" s="94">
        <f>'(R) Restated Norm Revenue'!R1024</f>
        <v>248.24569000000002</v>
      </c>
      <c r="E20" s="85">
        <f>'(R) Restated Norm Revenue'!R1079</f>
        <v>248.24569000000002</v>
      </c>
      <c r="G20" s="50"/>
      <c r="H20" s="680"/>
      <c r="I20" s="681"/>
      <c r="J20" s="66"/>
      <c r="K20" s="66"/>
      <c r="L20" s="66"/>
      <c r="R20"/>
      <c r="S20"/>
      <c r="T20"/>
      <c r="U20"/>
      <c r="V20"/>
      <c r="W20"/>
      <c r="Y20"/>
    </row>
    <row r="21" spans="2:25" x14ac:dyDescent="0.2">
      <c r="B21" s="38">
        <f t="shared" si="0"/>
        <v>10</v>
      </c>
      <c r="C21" s="189" t="s">
        <v>158</v>
      </c>
      <c r="D21" s="94">
        <f>'(R) Restated Norm Revenue'!R1020</f>
        <v>6293993.0193563206</v>
      </c>
      <c r="E21" s="85">
        <f>'(R) Restated Norm Revenue'!R1075</f>
        <v>6007965.8998181997</v>
      </c>
      <c r="G21" s="50"/>
      <c r="H21" s="680"/>
      <c r="I21" s="681"/>
      <c r="J21" s="66"/>
      <c r="K21" s="66"/>
      <c r="L21" s="66"/>
      <c r="R21"/>
      <c r="S21"/>
      <c r="T21"/>
      <c r="U21"/>
      <c r="V21"/>
      <c r="W21"/>
      <c r="Y21"/>
    </row>
    <row r="22" spans="2:25" x14ac:dyDescent="0.2">
      <c r="B22" s="38">
        <f t="shared" si="0"/>
        <v>11</v>
      </c>
      <c r="C22" s="189" t="s">
        <v>280</v>
      </c>
      <c r="D22" s="94">
        <f>'(R) Restated Norm Revenue'!R1025</f>
        <v>72719.024875000003</v>
      </c>
      <c r="E22" s="85">
        <f>'(R) Restated Norm Revenue'!R1080</f>
        <v>72719.024875000003</v>
      </c>
      <c r="G22" s="50"/>
      <c r="H22" s="680"/>
      <c r="I22" s="681"/>
      <c r="J22" s="66"/>
      <c r="K22" s="66"/>
      <c r="L22" s="66"/>
      <c r="R22"/>
      <c r="S22"/>
      <c r="T22"/>
      <c r="U22"/>
      <c r="V22"/>
      <c r="W22"/>
      <c r="Y22"/>
    </row>
    <row r="23" spans="2:25" x14ac:dyDescent="0.2">
      <c r="B23" s="38">
        <f t="shared" si="0"/>
        <v>12</v>
      </c>
      <c r="C23" s="189" t="s">
        <v>239</v>
      </c>
      <c r="D23" s="94">
        <v>0</v>
      </c>
      <c r="E23" s="85">
        <v>0</v>
      </c>
      <c r="G23" s="50"/>
      <c r="H23" s="680"/>
      <c r="I23" s="681"/>
      <c r="J23" s="66"/>
      <c r="K23" s="66"/>
      <c r="L23" s="66"/>
      <c r="R23"/>
      <c r="S23"/>
      <c r="T23"/>
      <c r="U23"/>
      <c r="V23"/>
      <c r="W23"/>
      <c r="Y23"/>
    </row>
    <row r="24" spans="2:25" ht="13.5" thickBot="1" x14ac:dyDescent="0.25">
      <c r="B24" s="38">
        <f t="shared" si="0"/>
        <v>13</v>
      </c>
      <c r="C24" s="80" t="s">
        <v>394</v>
      </c>
      <c r="D24" s="35">
        <f>SUM(D12:D23)</f>
        <v>301952305.47160286</v>
      </c>
      <c r="E24" s="101">
        <f>SUM(E12:E23)</f>
        <v>288222758.36458445</v>
      </c>
      <c r="G24" s="50"/>
      <c r="H24" s="682">
        <f>D24-'(R) Restated Norm Revenue'!R1027</f>
        <v>0</v>
      </c>
      <c r="I24" s="683">
        <f>E24-'(R) Restated Norm Revenue'!R1082</f>
        <v>0</v>
      </c>
      <c r="J24" s="66"/>
      <c r="K24" s="66"/>
      <c r="L24" s="66"/>
      <c r="R24"/>
      <c r="S24"/>
      <c r="T24"/>
      <c r="U24"/>
      <c r="V24"/>
      <c r="W24"/>
      <c r="Y24"/>
    </row>
    <row r="25" spans="2:25" x14ac:dyDescent="0.2">
      <c r="G25" s="50"/>
      <c r="H25" s="50"/>
      <c r="I25" s="50"/>
      <c r="J25" s="66"/>
      <c r="K25" s="66"/>
      <c r="L25" s="66"/>
      <c r="R25"/>
      <c r="S25"/>
      <c r="T25"/>
      <c r="U25"/>
      <c r="V25"/>
      <c r="W25"/>
      <c r="Y25"/>
    </row>
    <row r="26" spans="2:25" x14ac:dyDescent="0.2">
      <c r="B26" s="765" t="s">
        <v>547</v>
      </c>
      <c r="C26" s="80" t="s">
        <v>597</v>
      </c>
      <c r="G26" s="50"/>
      <c r="H26" s="50"/>
      <c r="I26" s="23"/>
      <c r="J26" s="50"/>
      <c r="K26" s="66"/>
      <c r="L26" s="50"/>
      <c r="R26"/>
      <c r="S26"/>
      <c r="T26"/>
      <c r="U26"/>
      <c r="V26"/>
      <c r="W26"/>
      <c r="Y26"/>
    </row>
    <row r="27" spans="2:25" x14ac:dyDescent="0.2">
      <c r="G27" s="50"/>
      <c r="H27" s="50"/>
      <c r="I27" s="36"/>
      <c r="J27" s="66"/>
      <c r="K27" s="66"/>
      <c r="L27" s="36"/>
      <c r="R27"/>
      <c r="S27"/>
      <c r="T27"/>
      <c r="U27"/>
      <c r="V27"/>
      <c r="W27"/>
      <c r="Y27"/>
    </row>
    <row r="28" spans="2:25" x14ac:dyDescent="0.2">
      <c r="G28" s="50"/>
      <c r="H28" s="50"/>
      <c r="I28" s="40"/>
      <c r="J28" s="66"/>
      <c r="K28" s="66"/>
      <c r="L28" s="36"/>
      <c r="R28"/>
      <c r="S28"/>
      <c r="T28"/>
      <c r="U28"/>
      <c r="V28"/>
      <c r="W28"/>
      <c r="Y28"/>
    </row>
    <row r="29" spans="2:25" x14ac:dyDescent="0.2">
      <c r="G29" s="50"/>
      <c r="H29" s="50"/>
      <c r="I29" s="40"/>
      <c r="J29" s="66"/>
      <c r="K29" s="66"/>
      <c r="L29" s="36"/>
      <c r="R29"/>
      <c r="S29"/>
      <c r="T29"/>
      <c r="U29"/>
      <c r="V29"/>
      <c r="W29"/>
      <c r="Y29"/>
    </row>
    <row r="30" spans="2:25" x14ac:dyDescent="0.2">
      <c r="G30" s="50"/>
      <c r="H30" s="50"/>
      <c r="I30" s="40"/>
      <c r="J30" s="66"/>
      <c r="K30" s="66"/>
      <c r="L30" s="36"/>
      <c r="R30"/>
      <c r="S30"/>
      <c r="T30"/>
      <c r="U30"/>
      <c r="V30"/>
      <c r="W30"/>
      <c r="Y30"/>
    </row>
    <row r="31" spans="2:25" x14ac:dyDescent="0.2">
      <c r="C31" s="188"/>
      <c r="D31" s="40"/>
      <c r="E31" s="40"/>
      <c r="F31" s="40"/>
      <c r="G31" s="40"/>
      <c r="H31" s="40"/>
      <c r="I31" s="40"/>
      <c r="J31" s="50"/>
      <c r="K31" s="66"/>
      <c r="L31" s="31"/>
      <c r="R31"/>
      <c r="S31"/>
      <c r="T31"/>
      <c r="U31"/>
      <c r="V31"/>
      <c r="W31"/>
      <c r="Y31"/>
    </row>
    <row r="32" spans="2:25" x14ac:dyDescent="0.2">
      <c r="D32" s="87"/>
      <c r="E32" s="79"/>
      <c r="F32" s="40"/>
      <c r="G32" s="79"/>
      <c r="H32" s="79"/>
      <c r="I32" s="79"/>
      <c r="J32" s="66"/>
      <c r="K32" s="66"/>
      <c r="L32" s="31"/>
      <c r="R32"/>
      <c r="S32"/>
      <c r="T32"/>
      <c r="U32"/>
      <c r="V32"/>
      <c r="W32"/>
      <c r="Y32"/>
    </row>
    <row r="33" spans="1:29" x14ac:dyDescent="0.2">
      <c r="C33" s="188"/>
      <c r="D33" s="87"/>
      <c r="E33" s="79"/>
      <c r="F33" s="79"/>
      <c r="G33" s="79"/>
      <c r="H33" s="79"/>
      <c r="I33" s="79"/>
      <c r="J33" s="79"/>
      <c r="K33"/>
      <c r="L33" s="461"/>
      <c r="R33"/>
      <c r="S33"/>
      <c r="T33"/>
      <c r="U33"/>
      <c r="V33"/>
      <c r="W33"/>
      <c r="Y33"/>
    </row>
    <row r="34" spans="1:29" x14ac:dyDescent="0.2">
      <c r="C34" s="80"/>
      <c r="D34" s="40"/>
      <c r="E34" s="40"/>
      <c r="F34" s="40"/>
      <c r="G34" s="128"/>
      <c r="H34" s="40"/>
      <c r="I34" s="40"/>
      <c r="J34" s="40"/>
      <c r="K34"/>
      <c r="L34" s="502"/>
      <c r="M34"/>
      <c r="R34"/>
      <c r="S34"/>
      <c r="T34"/>
      <c r="U34"/>
      <c r="V34"/>
      <c r="W34"/>
      <c r="Y34"/>
    </row>
    <row r="35" spans="1:29" x14ac:dyDescent="0.2">
      <c r="D35" s="93"/>
      <c r="E35" s="55"/>
      <c r="F35" s="23"/>
      <c r="G35" s="23"/>
      <c r="H35" s="23"/>
      <c r="I35" s="23"/>
      <c r="J35" s="23"/>
      <c r="K35" s="50"/>
      <c r="L35" s="31"/>
      <c r="M35" s="27"/>
      <c r="N35" s="50"/>
      <c r="O35" s="50"/>
      <c r="P35" s="36"/>
      <c r="Q35" s="55"/>
      <c r="R35" s="75"/>
      <c r="S35" s="75"/>
      <c r="T35" s="75"/>
      <c r="U35" s="75"/>
      <c r="V35" s="75"/>
      <c r="W35" s="75"/>
      <c r="X35" s="88"/>
    </row>
    <row r="36" spans="1:29" x14ac:dyDescent="0.2">
      <c r="B36" s="174"/>
      <c r="D36" s="174"/>
      <c r="E36" s="174"/>
      <c r="F36" s="23"/>
      <c r="G36" s="23"/>
      <c r="H36" s="23"/>
      <c r="I36" s="23"/>
      <c r="J36" s="23"/>
      <c r="K36" s="50"/>
      <c r="L36" s="41"/>
      <c r="M36" s="27"/>
      <c r="N36" s="27"/>
      <c r="O36" s="50"/>
      <c r="P36" s="36"/>
      <c r="Q36" s="55"/>
      <c r="R36" s="75"/>
      <c r="S36" s="75"/>
      <c r="T36" s="75"/>
      <c r="U36" s="75"/>
      <c r="V36" s="75"/>
      <c r="W36" s="75"/>
      <c r="X36" s="88"/>
    </row>
    <row r="37" spans="1:29" x14ac:dyDescent="0.2">
      <c r="C37" s="646"/>
      <c r="D37" s="50"/>
      <c r="E37" s="50"/>
      <c r="F37" s="23"/>
      <c r="G37" s="23"/>
      <c r="H37" s="23"/>
      <c r="I37" s="23"/>
      <c r="J37" s="23"/>
      <c r="K37" s="27"/>
      <c r="L37" s="41"/>
      <c r="M37" s="27"/>
      <c r="N37" s="579"/>
      <c r="O37" s="579"/>
      <c r="P37" s="36"/>
      <c r="Q37" s="55"/>
      <c r="R37" s="75"/>
      <c r="S37" s="75"/>
      <c r="T37" s="75"/>
      <c r="U37" s="75"/>
      <c r="V37" s="75"/>
      <c r="W37" s="75"/>
      <c r="X37" s="88"/>
    </row>
    <row r="38" spans="1:29" x14ac:dyDescent="0.2">
      <c r="F38" s="23"/>
      <c r="G38" s="23"/>
      <c r="H38" s="23"/>
      <c r="I38" s="23"/>
      <c r="J38" s="23"/>
      <c r="K38" s="27"/>
      <c r="L38" s="27"/>
      <c r="M38" s="27"/>
      <c r="N38" s="579"/>
      <c r="O38" s="661"/>
      <c r="P38" s="36"/>
      <c r="Q38" s="55"/>
      <c r="R38" s="75"/>
      <c r="S38" s="75"/>
      <c r="T38" s="75"/>
      <c r="U38" s="75"/>
      <c r="V38" s="75"/>
      <c r="W38" s="75"/>
      <c r="X38" s="88"/>
    </row>
    <row r="39" spans="1:29" x14ac:dyDescent="0.2">
      <c r="F39" s="23"/>
      <c r="G39" s="23"/>
      <c r="H39" s="23"/>
      <c r="I39" s="23"/>
      <c r="J39" s="23"/>
      <c r="K39" s="27"/>
      <c r="L39" s="27"/>
      <c r="M39" s="41"/>
      <c r="N39" s="652"/>
      <c r="O39" s="193"/>
      <c r="P39" s="36"/>
      <c r="Q39" s="55"/>
      <c r="R39" s="75"/>
      <c r="S39" s="75"/>
      <c r="T39" s="75"/>
      <c r="U39" s="75"/>
      <c r="V39" s="75"/>
      <c r="W39" s="75"/>
      <c r="X39" s="88"/>
    </row>
    <row r="40" spans="1:29" x14ac:dyDescent="0.2">
      <c r="F40" s="23"/>
      <c r="G40" s="23"/>
      <c r="H40" s="23"/>
      <c r="I40" s="23"/>
      <c r="J40" s="23"/>
      <c r="K40" s="27"/>
      <c r="L40" s="173"/>
      <c r="M40" s="653"/>
      <c r="N40" s="653"/>
      <c r="O40" s="659"/>
      <c r="P40" s="36"/>
      <c r="Q40" s="55"/>
      <c r="R40" s="75"/>
      <c r="S40" s="75"/>
      <c r="T40" s="75"/>
      <c r="U40" s="75"/>
      <c r="V40" s="75"/>
      <c r="W40" s="75"/>
      <c r="X40" s="88"/>
    </row>
    <row r="41" spans="1:29" x14ac:dyDescent="0.2">
      <c r="F41" s="23"/>
      <c r="G41" s="23"/>
      <c r="H41" s="23"/>
      <c r="I41" s="23"/>
      <c r="J41" s="23"/>
      <c r="K41" s="27"/>
      <c r="L41" s="173"/>
      <c r="M41" s="653"/>
      <c r="N41" s="653"/>
      <c r="O41" s="659"/>
      <c r="P41" s="36"/>
      <c r="Q41" s="55"/>
      <c r="R41" s="75"/>
      <c r="S41" s="75"/>
      <c r="T41" s="75"/>
      <c r="U41" s="75"/>
      <c r="V41" s="75"/>
      <c r="W41" s="75"/>
      <c r="X41" s="88"/>
    </row>
    <row r="42" spans="1:29" x14ac:dyDescent="0.2">
      <c r="F42" s="23"/>
      <c r="G42" s="23"/>
      <c r="H42" s="23"/>
      <c r="I42" s="23"/>
      <c r="J42" s="23"/>
      <c r="K42" s="27"/>
      <c r="L42" s="90"/>
      <c r="M42" s="653"/>
      <c r="N42" s="653"/>
      <c r="O42" s="659"/>
      <c r="P42" s="36"/>
      <c r="Q42" s="55"/>
      <c r="R42" s="75"/>
      <c r="S42" s="75"/>
      <c r="T42" s="75"/>
      <c r="U42" s="75"/>
      <c r="V42" s="75"/>
      <c r="W42" s="75"/>
      <c r="X42" s="88"/>
    </row>
    <row r="43" spans="1:29" x14ac:dyDescent="0.2">
      <c r="F43" s="23"/>
      <c r="G43" s="23"/>
      <c r="H43" s="23"/>
      <c r="I43" s="23"/>
      <c r="J43" s="23"/>
      <c r="K43" s="27"/>
      <c r="L43" s="173"/>
      <c r="M43" s="653"/>
      <c r="N43" s="653"/>
      <c r="O43" s="659"/>
      <c r="P43" s="36"/>
      <c r="Q43" s="55"/>
      <c r="R43" s="75"/>
      <c r="S43" s="75"/>
      <c r="T43" s="75"/>
      <c r="U43" s="75"/>
      <c r="V43" s="75"/>
      <c r="W43" s="75"/>
      <c r="X43" s="88"/>
    </row>
    <row r="44" spans="1:29" x14ac:dyDescent="0.2">
      <c r="F44" s="23"/>
      <c r="G44" s="23"/>
      <c r="H44" s="23"/>
      <c r="I44" s="23"/>
      <c r="J44" s="23"/>
      <c r="K44" s="27"/>
      <c r="L44" s="175"/>
      <c r="M44" s="653"/>
      <c r="N44" s="653"/>
      <c r="O44" s="659"/>
      <c r="P44" s="36"/>
      <c r="Q44" s="55"/>
      <c r="R44" s="75"/>
      <c r="S44" s="75"/>
      <c r="T44" s="75"/>
      <c r="U44" s="75"/>
      <c r="V44" s="75"/>
      <c r="W44" s="75"/>
      <c r="X44" s="88"/>
    </row>
    <row r="45" spans="1:29" x14ac:dyDescent="0.2">
      <c r="F45" s="23"/>
      <c r="G45" s="23"/>
      <c r="H45" s="23"/>
      <c r="I45" s="23"/>
      <c r="J45" s="23"/>
      <c r="K45" s="27"/>
      <c r="L45" s="173"/>
      <c r="M45" s="653"/>
      <c r="N45" s="653"/>
      <c r="O45" s="659"/>
      <c r="P45" s="36"/>
      <c r="Q45" s="55"/>
      <c r="R45" s="75"/>
      <c r="S45" s="75"/>
      <c r="T45" s="75"/>
      <c r="U45" s="75"/>
      <c r="V45" s="75"/>
      <c r="W45" s="75"/>
      <c r="X45" s="88"/>
    </row>
    <row r="46" spans="1:29" x14ac:dyDescent="0.2">
      <c r="F46" s="23"/>
      <c r="G46" s="23"/>
      <c r="H46" s="23"/>
      <c r="I46" s="23"/>
      <c r="J46" s="23"/>
      <c r="K46" s="27"/>
      <c r="L46" s="175"/>
      <c r="M46" s="653"/>
      <c r="N46" s="653"/>
      <c r="O46" s="659"/>
      <c r="P46" s="36"/>
      <c r="Q46" s="55"/>
      <c r="R46" s="75"/>
      <c r="S46" s="75"/>
      <c r="T46" s="75"/>
      <c r="U46" s="75"/>
      <c r="V46" s="75"/>
      <c r="W46" s="75"/>
      <c r="X46" s="88"/>
    </row>
    <row r="47" spans="1:29" x14ac:dyDescent="0.2">
      <c r="F47" s="23"/>
      <c r="G47" s="23"/>
      <c r="H47" s="23"/>
      <c r="I47" s="23"/>
      <c r="J47" s="23"/>
      <c r="K47" s="27"/>
      <c r="L47" s="173"/>
      <c r="M47" s="653"/>
      <c r="N47" s="653"/>
      <c r="O47" s="659"/>
      <c r="P47" s="36"/>
      <c r="Q47" s="55"/>
      <c r="R47" s="75"/>
      <c r="S47" s="75"/>
      <c r="T47" s="75"/>
      <c r="U47" s="75"/>
      <c r="V47" s="75"/>
      <c r="W47" s="75"/>
      <c r="X47" s="88"/>
    </row>
    <row r="48" spans="1:29" s="502" customFormat="1" x14ac:dyDescent="0.2">
      <c r="A48"/>
      <c r="F48" s="23"/>
      <c r="G48" s="23"/>
      <c r="H48" s="23"/>
      <c r="I48" s="23"/>
      <c r="J48" s="23"/>
      <c r="K48" s="27"/>
      <c r="L48" s="90"/>
      <c r="M48" s="653"/>
      <c r="N48" s="653"/>
      <c r="O48" s="659"/>
      <c r="P48" s="36"/>
      <c r="Q48" s="55"/>
      <c r="R48" s="75"/>
      <c r="S48" s="75"/>
      <c r="T48" s="75"/>
      <c r="U48" s="75"/>
      <c r="V48" s="75"/>
      <c r="W48" s="75"/>
      <c r="X48" s="88"/>
      <c r="Z48"/>
      <c r="AA48"/>
      <c r="AB48"/>
      <c r="AC48"/>
    </row>
    <row r="49" spans="1:29" s="502" customFormat="1" x14ac:dyDescent="0.2">
      <c r="A49"/>
      <c r="F49" s="23"/>
      <c r="G49" s="23"/>
      <c r="H49" s="23"/>
      <c r="I49" s="23"/>
      <c r="J49" s="23"/>
      <c r="K49" s="27"/>
      <c r="L49" s="173"/>
      <c r="M49" s="653"/>
      <c r="N49" s="653"/>
      <c r="O49" s="659"/>
      <c r="P49" s="36"/>
      <c r="Q49" s="55"/>
      <c r="R49" s="75"/>
      <c r="S49" s="75"/>
      <c r="T49" s="75"/>
      <c r="U49" s="75"/>
      <c r="V49" s="75"/>
      <c r="W49" s="75"/>
      <c r="X49" s="88"/>
      <c r="Z49"/>
      <c r="AA49"/>
      <c r="AB49"/>
      <c r="AC49"/>
    </row>
    <row r="50" spans="1:29" s="502" customFormat="1" x14ac:dyDescent="0.2">
      <c r="A50"/>
      <c r="F50" s="23"/>
      <c r="G50" s="23"/>
      <c r="H50" s="23"/>
      <c r="I50" s="23"/>
      <c r="J50" s="23"/>
      <c r="K50" s="27"/>
      <c r="L50" s="175"/>
      <c r="M50" s="653"/>
      <c r="N50" s="653"/>
      <c r="O50" s="659"/>
      <c r="P50" s="36"/>
      <c r="Q50" s="55"/>
      <c r="R50" s="75"/>
      <c r="S50" s="75"/>
      <c r="T50" s="75"/>
      <c r="U50" s="75"/>
      <c r="V50" s="75"/>
      <c r="W50" s="75"/>
      <c r="X50" s="88"/>
      <c r="Z50"/>
      <c r="AA50"/>
      <c r="AB50"/>
      <c r="AC50"/>
    </row>
    <row r="51" spans="1:29" s="502" customFormat="1" x14ac:dyDescent="0.2">
      <c r="A51"/>
      <c r="F51" s="23"/>
      <c r="G51" s="23"/>
      <c r="H51" s="23"/>
      <c r="I51" s="23"/>
      <c r="J51" s="23"/>
      <c r="K51" s="27"/>
      <c r="L51" s="173"/>
      <c r="M51" s="653"/>
      <c r="N51" s="653"/>
      <c r="O51" s="659"/>
      <c r="P51" s="36"/>
      <c r="Q51" s="55"/>
      <c r="R51" s="75"/>
      <c r="S51" s="75"/>
      <c r="T51" s="75"/>
      <c r="U51" s="75"/>
      <c r="V51" s="75"/>
      <c r="W51" s="75"/>
      <c r="X51" s="88"/>
      <c r="Z51"/>
      <c r="AA51"/>
      <c r="AB51"/>
      <c r="AC51"/>
    </row>
    <row r="52" spans="1:29" s="502" customFormat="1" x14ac:dyDescent="0.2">
      <c r="A52"/>
      <c r="F52" s="23"/>
      <c r="G52" s="23"/>
      <c r="H52" s="23"/>
      <c r="I52" s="23"/>
      <c r="J52" s="23"/>
      <c r="K52" s="27"/>
      <c r="L52" s="90"/>
      <c r="M52" s="662"/>
      <c r="N52" s="662"/>
      <c r="O52" s="662"/>
      <c r="P52" s="36"/>
      <c r="Q52" s="55"/>
      <c r="R52" s="75"/>
      <c r="S52" s="75"/>
      <c r="T52" s="75"/>
      <c r="U52" s="75"/>
      <c r="V52" s="75"/>
      <c r="W52" s="75"/>
      <c r="X52" s="88"/>
      <c r="Z52"/>
      <c r="AA52"/>
      <c r="AB52"/>
      <c r="AC52"/>
    </row>
    <row r="53" spans="1:29" s="502" customFormat="1" x14ac:dyDescent="0.2">
      <c r="A53"/>
      <c r="F53" s="23"/>
      <c r="G53" s="23"/>
      <c r="H53" s="23"/>
      <c r="I53" s="23"/>
      <c r="J53" s="23"/>
      <c r="K53" s="27"/>
      <c r="L53" s="90"/>
      <c r="M53" s="40"/>
      <c r="N53" s="40"/>
      <c r="O53" s="40"/>
      <c r="P53" s="36"/>
      <c r="Q53" s="55"/>
      <c r="R53" s="75"/>
      <c r="S53" s="75"/>
      <c r="T53" s="75"/>
      <c r="U53" s="75"/>
      <c r="V53" s="75"/>
      <c r="W53" s="75"/>
      <c r="X53" s="88"/>
      <c r="Z53"/>
      <c r="AA53"/>
      <c r="AB53"/>
      <c r="AC53"/>
    </row>
    <row r="54" spans="1:29" s="502" customFormat="1" x14ac:dyDescent="0.2">
      <c r="A54"/>
      <c r="F54" s="23"/>
      <c r="G54" s="23"/>
      <c r="H54" s="23"/>
      <c r="I54" s="23"/>
      <c r="J54" s="23"/>
      <c r="K54" s="27"/>
      <c r="L54" s="173"/>
      <c r="M54" s="663"/>
      <c r="N54" s="664"/>
      <c r="O54" s="659"/>
      <c r="P54" s="36"/>
      <c r="Q54" s="55"/>
      <c r="R54" s="75"/>
      <c r="S54" s="75"/>
      <c r="T54" s="75"/>
      <c r="U54" s="75"/>
      <c r="V54" s="75"/>
      <c r="W54" s="75"/>
      <c r="X54" s="88"/>
      <c r="Z54"/>
      <c r="AA54"/>
      <c r="AB54"/>
      <c r="AC54"/>
    </row>
    <row r="55" spans="1:29" s="502" customFormat="1" x14ac:dyDescent="0.2">
      <c r="A55"/>
      <c r="B55"/>
      <c r="C55" s="80"/>
      <c r="D55" s="23"/>
      <c r="E55" s="23"/>
      <c r="F55" s="23"/>
      <c r="G55" s="23"/>
      <c r="H55" s="23"/>
      <c r="I55" s="23"/>
      <c r="J55" s="23"/>
      <c r="K55" s="27"/>
      <c r="L55" s="173"/>
      <c r="M55" s="665"/>
      <c r="N55" s="665"/>
      <c r="O55" s="659"/>
      <c r="P55" s="36"/>
      <c r="Q55" s="55"/>
      <c r="R55" s="75"/>
      <c r="S55" s="75"/>
      <c r="T55" s="75"/>
      <c r="U55" s="75"/>
      <c r="V55" s="75"/>
      <c r="W55" s="75"/>
      <c r="X55" s="88"/>
      <c r="Z55"/>
      <c r="AA55"/>
      <c r="AB55"/>
      <c r="AC55"/>
    </row>
    <row r="56" spans="1:29" s="502" customFormat="1" x14ac:dyDescent="0.2">
      <c r="A56"/>
      <c r="B56"/>
      <c r="C56" s="80"/>
      <c r="D56" s="36"/>
      <c r="E56" s="36"/>
      <c r="F56" s="23"/>
      <c r="G56" s="23"/>
      <c r="H56" s="23"/>
      <c r="I56" s="23"/>
      <c r="J56" s="23"/>
      <c r="K56" s="27"/>
      <c r="L56" s="173"/>
      <c r="M56" s="666"/>
      <c r="N56" s="666"/>
      <c r="O56" s="666"/>
      <c r="P56" s="36"/>
      <c r="Q56" s="55"/>
      <c r="R56" s="75"/>
      <c r="S56" s="75"/>
      <c r="T56" s="75"/>
      <c r="U56" s="75"/>
      <c r="V56" s="75"/>
      <c r="W56" s="75"/>
      <c r="X56" s="88"/>
      <c r="Z56"/>
      <c r="AA56"/>
      <c r="AB56"/>
      <c r="AC56"/>
    </row>
    <row r="57" spans="1:29" s="502" customFormat="1" x14ac:dyDescent="0.2">
      <c r="A57"/>
      <c r="B57"/>
      <c r="C57" s="80"/>
      <c r="D57" s="40"/>
      <c r="E57" s="40"/>
      <c r="F57" s="23"/>
      <c r="G57" s="23"/>
      <c r="H57" s="23"/>
      <c r="I57" s="23"/>
      <c r="J57" s="23"/>
      <c r="K57" s="27"/>
      <c r="L57" s="173"/>
      <c r="M57" s="666"/>
      <c r="N57" s="666"/>
      <c r="O57" s="666"/>
      <c r="P57" s="36"/>
      <c r="Q57" s="55"/>
      <c r="R57" s="75"/>
      <c r="S57" s="75"/>
      <c r="T57" s="75"/>
      <c r="U57" s="75"/>
      <c r="V57" s="75"/>
      <c r="W57" s="75"/>
      <c r="X57" s="88"/>
      <c r="Z57"/>
      <c r="AA57"/>
      <c r="AB57"/>
      <c r="AC57"/>
    </row>
    <row r="58" spans="1:29" s="502" customFormat="1" x14ac:dyDescent="0.2">
      <c r="A58"/>
      <c r="B58"/>
      <c r="C58" s="80"/>
      <c r="D58" s="87"/>
      <c r="E58" s="87"/>
      <c r="F58" s="23"/>
      <c r="G58" s="23"/>
      <c r="H58" s="23"/>
      <c r="I58" s="23"/>
      <c r="J58" s="23"/>
      <c r="K58" s="36"/>
      <c r="L58" s="36"/>
      <c r="M58" s="36"/>
      <c r="N58" s="36"/>
      <c r="O58" s="36"/>
      <c r="P58" s="36"/>
      <c r="Q58" s="55"/>
      <c r="R58" s="75"/>
      <c r="S58" s="75"/>
      <c r="T58" s="75"/>
      <c r="U58" s="75"/>
      <c r="V58" s="75"/>
      <c r="W58" s="75"/>
      <c r="X58" s="88"/>
      <c r="Z58"/>
      <c r="AA58"/>
      <c r="AB58"/>
      <c r="AC58"/>
    </row>
    <row r="59" spans="1:29" s="502" customFormat="1" x14ac:dyDescent="0.2">
      <c r="A59"/>
      <c r="B59"/>
      <c r="C59" s="80"/>
      <c r="D59" s="87"/>
      <c r="E59" s="87"/>
      <c r="F59" s="23"/>
      <c r="G59" s="23"/>
      <c r="H59" s="23"/>
      <c r="I59" s="23"/>
      <c r="J59" s="23"/>
      <c r="K59" s="36"/>
      <c r="L59" s="36"/>
      <c r="M59" s="36"/>
      <c r="N59" s="36"/>
      <c r="O59" s="36"/>
      <c r="P59" s="36"/>
      <c r="Q59" s="55"/>
      <c r="R59" s="75"/>
      <c r="S59" s="75"/>
      <c r="T59" s="75"/>
      <c r="U59" s="75"/>
      <c r="V59" s="75"/>
      <c r="W59" s="75"/>
      <c r="X59" s="88"/>
      <c r="Z59"/>
      <c r="AA59"/>
      <c r="AB59"/>
      <c r="AC59"/>
    </row>
    <row r="60" spans="1:29" s="502" customFormat="1" x14ac:dyDescent="0.2">
      <c r="A60"/>
      <c r="B60"/>
      <c r="C60"/>
      <c r="D60" s="93"/>
      <c r="E60" s="55"/>
      <c r="F60" s="23"/>
      <c r="G60" s="23"/>
      <c r="H60" s="23"/>
      <c r="I60" s="23"/>
      <c r="J60" s="23"/>
      <c r="K60" s="36"/>
      <c r="L60" s="36"/>
      <c r="M60" s="36"/>
      <c r="N60" s="36"/>
      <c r="O60" s="36"/>
      <c r="P60" s="36"/>
      <c r="Q60" s="55"/>
      <c r="R60" s="75"/>
      <c r="S60" s="75"/>
      <c r="T60" s="75"/>
      <c r="U60" s="75"/>
      <c r="V60" s="75"/>
      <c r="W60" s="75"/>
      <c r="X60" s="88"/>
      <c r="Z60"/>
      <c r="AA60"/>
      <c r="AB60"/>
      <c r="AC60"/>
    </row>
    <row r="61" spans="1:29" s="502" customFormat="1" x14ac:dyDescent="0.2">
      <c r="A61"/>
      <c r="B61"/>
      <c r="C61"/>
      <c r="D61" s="93"/>
      <c r="E61" s="55"/>
      <c r="F61" s="23"/>
      <c r="G61" s="23"/>
      <c r="H61" s="23"/>
      <c r="I61" s="23"/>
      <c r="J61" s="23"/>
      <c r="K61" s="36"/>
      <c r="L61" s="36"/>
      <c r="M61" s="36"/>
      <c r="N61" s="36"/>
      <c r="O61" s="36"/>
      <c r="P61" s="36"/>
      <c r="Q61" s="55"/>
      <c r="R61" s="75"/>
      <c r="S61" s="75"/>
      <c r="T61" s="75"/>
      <c r="U61" s="75"/>
      <c r="V61" s="75"/>
      <c r="W61" s="75"/>
      <c r="X61" s="88"/>
      <c r="Z61"/>
      <c r="AA61"/>
      <c r="AB61"/>
      <c r="AC61"/>
    </row>
    <row r="62" spans="1:29" s="502" customFormat="1" x14ac:dyDescent="0.2">
      <c r="A62"/>
      <c r="B62" s="114"/>
      <c r="C62" s="30"/>
      <c r="D62" s="93"/>
      <c r="E62" s="55"/>
      <c r="F62" s="23"/>
      <c r="G62" s="23"/>
      <c r="H62" s="23"/>
      <c r="I62" s="23"/>
      <c r="J62" s="23"/>
      <c r="K62" s="36"/>
      <c r="L62" s="36"/>
      <c r="M62" s="36"/>
      <c r="N62" s="36"/>
      <c r="O62" s="36"/>
      <c r="P62" s="36"/>
      <c r="Q62" s="55"/>
      <c r="R62" s="75"/>
      <c r="S62" s="75"/>
      <c r="T62" s="75"/>
      <c r="U62" s="75"/>
      <c r="V62" s="75"/>
      <c r="W62" s="75"/>
      <c r="X62" s="88"/>
      <c r="Z62"/>
      <c r="AA62"/>
      <c r="AB62"/>
      <c r="AC62"/>
    </row>
    <row r="63" spans="1:29" s="502" customFormat="1" x14ac:dyDescent="0.2">
      <c r="A63"/>
      <c r="B63"/>
      <c r="C63"/>
      <c r="D63" s="30"/>
      <c r="E63"/>
      <c r="F63"/>
      <c r="G63"/>
      <c r="H63"/>
      <c r="I63"/>
      <c r="J63"/>
      <c r="K63" s="31"/>
      <c r="L63" s="31"/>
      <c r="M63" s="31"/>
      <c r="N63" s="31"/>
      <c r="O63" s="31"/>
      <c r="P63" s="31"/>
      <c r="Q63" s="23"/>
      <c r="R63" s="50"/>
      <c r="S63" s="50"/>
      <c r="T63" s="50"/>
      <c r="U63" s="40"/>
      <c r="V63" s="50"/>
      <c r="W63" s="50"/>
      <c r="X63"/>
      <c r="Z63"/>
      <c r="AA63"/>
      <c r="AB63"/>
      <c r="AC63"/>
    </row>
    <row r="64" spans="1:29" s="502" customFormat="1" x14ac:dyDescent="0.2">
      <c r="A64"/>
      <c r="B64" s="114"/>
      <c r="C64" s="115"/>
      <c r="D64" s="30"/>
      <c r="E64"/>
      <c r="F64"/>
      <c r="G64"/>
      <c r="H64"/>
      <c r="I64"/>
      <c r="J64"/>
      <c r="K64" s="30"/>
      <c r="L64" s="30"/>
      <c r="M64" s="30"/>
      <c r="N64"/>
      <c r="O64"/>
      <c r="P64"/>
      <c r="Q64" s="23"/>
      <c r="R64" s="50"/>
      <c r="S64" s="50"/>
      <c r="T64" s="50"/>
      <c r="U64" s="40"/>
      <c r="V64" s="50"/>
      <c r="W64" s="50"/>
      <c r="X64"/>
      <c r="Z64"/>
      <c r="AA64"/>
      <c r="AB64"/>
      <c r="AC64"/>
    </row>
    <row r="65" spans="1:29" s="502" customFormat="1" x14ac:dyDescent="0.2">
      <c r="A65"/>
      <c r="B65" s="114"/>
      <c r="C65" s="116"/>
      <c r="D65" s="30"/>
      <c r="E65" s="30"/>
      <c r="F65" s="30"/>
      <c r="G65"/>
      <c r="H65"/>
      <c r="I65"/>
      <c r="J65"/>
      <c r="K65" s="30"/>
      <c r="L65" s="30"/>
      <c r="M65" s="30"/>
      <c r="N65"/>
      <c r="O65"/>
      <c r="P65"/>
      <c r="Q65"/>
      <c r="R65" s="50"/>
      <c r="S65" s="50"/>
      <c r="T65" s="50"/>
      <c r="U65" s="50"/>
      <c r="V65" s="50"/>
      <c r="W65" s="50"/>
      <c r="X65"/>
      <c r="Z65"/>
      <c r="AA65"/>
      <c r="AB65"/>
      <c r="AC65"/>
    </row>
    <row r="66" spans="1:29" s="502" customFormat="1" x14ac:dyDescent="0.2">
      <c r="A66"/>
      <c r="B66" s="114"/>
      <c r="C66" s="115"/>
      <c r="D66" s="30"/>
      <c r="E66" s="30"/>
      <c r="F66" s="30"/>
      <c r="G66"/>
      <c r="H66"/>
      <c r="I66"/>
      <c r="J66"/>
      <c r="K66" s="30"/>
      <c r="L66" s="30"/>
      <c r="M66" s="30"/>
      <c r="N66"/>
      <c r="O66"/>
      <c r="P66"/>
      <c r="Q66"/>
      <c r="R66" s="50"/>
      <c r="S66" s="50"/>
      <c r="T66" s="50"/>
      <c r="U66" s="50"/>
      <c r="V66" s="50"/>
      <c r="W66" s="50"/>
      <c r="X66"/>
      <c r="Z66"/>
      <c r="AA66"/>
      <c r="AB66"/>
      <c r="AC66"/>
    </row>
    <row r="67" spans="1:29" s="502" customFormat="1" x14ac:dyDescent="0.2">
      <c r="A67"/>
      <c r="B67" s="114"/>
      <c r="C67" s="116"/>
      <c r="D67" s="30"/>
      <c r="E67"/>
      <c r="F67"/>
      <c r="G67"/>
      <c r="H67"/>
      <c r="I67"/>
      <c r="J67"/>
      <c r="K67" s="30"/>
      <c r="L67" s="30"/>
      <c r="M67" s="30"/>
      <c r="N67"/>
      <c r="O67"/>
      <c r="P67"/>
      <c r="Q67"/>
      <c r="R67" s="50"/>
      <c r="S67" s="50"/>
      <c r="T67" s="50"/>
      <c r="U67" s="50"/>
      <c r="V67" s="50"/>
      <c r="W67" s="50"/>
      <c r="X67"/>
      <c r="Z67"/>
      <c r="AA67"/>
      <c r="AB67"/>
      <c r="AC67"/>
    </row>
    <row r="69" spans="1:29" s="502" customFormat="1" x14ac:dyDescent="0.2">
      <c r="A69"/>
      <c r="B69"/>
      <c r="C69"/>
      <c r="D69" s="30"/>
      <c r="E69"/>
      <c r="F69"/>
      <c r="G69"/>
      <c r="H69"/>
      <c r="I69"/>
      <c r="J69"/>
      <c r="K69" s="30"/>
      <c r="L69" s="30"/>
      <c r="M69" s="30"/>
      <c r="N69"/>
      <c r="O69"/>
      <c r="P69" s="23"/>
      <c r="Q69" s="23"/>
      <c r="R69" s="50"/>
      <c r="S69" s="40"/>
      <c r="T69" s="40"/>
      <c r="U69" s="50"/>
      <c r="V69" s="50"/>
      <c r="W69" s="50"/>
      <c r="X69"/>
      <c r="Z69"/>
      <c r="AA69"/>
      <c r="AB69"/>
      <c r="AC69"/>
    </row>
    <row r="71" spans="1:29" s="502" customFormat="1" x14ac:dyDescent="0.2">
      <c r="A71"/>
      <c r="B71"/>
      <c r="C71"/>
      <c r="D71" s="30"/>
      <c r="E71"/>
      <c r="F71"/>
      <c r="G71"/>
      <c r="H71"/>
      <c r="I71"/>
      <c r="J71"/>
      <c r="K71" s="30"/>
      <c r="L71" s="30"/>
      <c r="M71" s="30"/>
      <c r="N71"/>
      <c r="O71"/>
      <c r="P71"/>
      <c r="Q71"/>
      <c r="R71" s="50"/>
      <c r="S71" s="50"/>
      <c r="T71" s="50"/>
      <c r="U71" s="50"/>
      <c r="V71" s="50"/>
      <c r="W71" s="50"/>
      <c r="X71"/>
      <c r="Z71"/>
      <c r="AA71"/>
      <c r="AB71"/>
      <c r="AC71"/>
    </row>
  </sheetData>
  <mergeCells count="4">
    <mergeCell ref="B1:E1"/>
    <mergeCell ref="B2:E2"/>
    <mergeCell ref="B3:E3"/>
    <mergeCell ref="B4:E4"/>
  </mergeCells>
  <printOptions horizontalCentered="1"/>
  <pageMargins left="0.25" right="0.25" top="0.7" bottom="0.75" header="0.5" footer="0.5"/>
  <pageSetup orientation="landscape" blackAndWhite="1" horizontalDpi="300" verticalDpi="300" r:id="rId1"/>
  <headerFooter alignWithMargins="0">
    <oddFooter>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03"/>
  <sheetViews>
    <sheetView zoomScaleNormal="100" workbookViewId="0">
      <selection activeCell="K36" sqref="K36"/>
    </sheetView>
  </sheetViews>
  <sheetFormatPr defaultColWidth="9.140625" defaultRowHeight="12.75" x14ac:dyDescent="0.2"/>
  <cols>
    <col min="1" max="1" width="2.42578125" style="50" customWidth="1"/>
    <col min="2" max="2" width="4.42578125" style="50" customWidth="1"/>
    <col min="3" max="3" width="41.7109375" style="50" bestFit="1" customWidth="1"/>
    <col min="4" max="4" width="14.85546875" style="50" customWidth="1"/>
    <col min="5" max="5" width="14" style="50" bestFit="1" customWidth="1"/>
    <col min="6" max="6" width="16.5703125" style="50" bestFit="1" customWidth="1"/>
    <col min="7" max="16384" width="9.140625" style="50"/>
  </cols>
  <sheetData>
    <row r="1" spans="2:8" customFormat="1" x14ac:dyDescent="0.2">
      <c r="B1" s="846" t="s">
        <v>1</v>
      </c>
      <c r="C1" s="846"/>
      <c r="D1" s="846"/>
      <c r="E1" s="846"/>
      <c r="F1" s="846"/>
    </row>
    <row r="2" spans="2:8" customFormat="1" x14ac:dyDescent="0.2">
      <c r="B2" s="846" t="s">
        <v>397</v>
      </c>
      <c r="C2" s="846"/>
      <c r="D2" s="846"/>
      <c r="E2" s="846"/>
      <c r="F2" s="846"/>
    </row>
    <row r="3" spans="2:8" customFormat="1" x14ac:dyDescent="0.2">
      <c r="B3" s="846" t="s">
        <v>165</v>
      </c>
      <c r="C3" s="846"/>
      <c r="D3" s="846"/>
      <c r="E3" s="846"/>
      <c r="F3" s="846"/>
    </row>
    <row r="4" spans="2:8" customFormat="1" x14ac:dyDescent="0.2">
      <c r="B4" s="846" t="s">
        <v>542</v>
      </c>
      <c r="C4" s="846"/>
      <c r="D4" s="846"/>
      <c r="E4" s="846"/>
      <c r="F4" s="846"/>
    </row>
    <row r="5" spans="2:8" customFormat="1" x14ac:dyDescent="0.2">
      <c r="C5" s="30"/>
      <c r="D5" s="38"/>
    </row>
    <row r="6" spans="2:8" customFormat="1" x14ac:dyDescent="0.2">
      <c r="C6" s="41"/>
      <c r="D6" s="27"/>
      <c r="E6" s="27" t="s">
        <v>150</v>
      </c>
      <c r="F6" s="27"/>
    </row>
    <row r="7" spans="2:8" customFormat="1" x14ac:dyDescent="0.2">
      <c r="B7" s="27"/>
      <c r="C7" s="41"/>
      <c r="D7" s="41" t="s">
        <v>549</v>
      </c>
      <c r="E7" s="27" t="s">
        <v>151</v>
      </c>
      <c r="F7" s="27" t="s">
        <v>343</v>
      </c>
    </row>
    <row r="8" spans="2:8" customFormat="1" x14ac:dyDescent="0.2">
      <c r="B8" s="16" t="s">
        <v>112</v>
      </c>
      <c r="C8" s="16" t="s">
        <v>117</v>
      </c>
      <c r="D8" s="16" t="s">
        <v>30</v>
      </c>
      <c r="E8" s="16" t="s">
        <v>149</v>
      </c>
      <c r="F8" s="16" t="s">
        <v>30</v>
      </c>
    </row>
    <row r="9" spans="2:8" customFormat="1" x14ac:dyDescent="0.2">
      <c r="B9" s="27"/>
      <c r="C9" s="27" t="s">
        <v>173</v>
      </c>
      <c r="D9" s="27" t="s">
        <v>174</v>
      </c>
      <c r="E9" s="27" t="s">
        <v>175</v>
      </c>
      <c r="F9" s="27" t="s">
        <v>534</v>
      </c>
    </row>
    <row r="10" spans="2:8" customFormat="1" x14ac:dyDescent="0.2">
      <c r="B10" s="38">
        <v>1</v>
      </c>
      <c r="C10" s="80" t="s">
        <v>183</v>
      </c>
      <c r="D10" s="768">
        <f>SUM(Therms!Q37:Q39)</f>
        <v>586861506.25499988</v>
      </c>
      <c r="E10" s="769">
        <f>SUM('Weather Adj'!P199:P200)</f>
        <v>16253934</v>
      </c>
      <c r="F10" s="770">
        <f>D10+E10</f>
        <v>603115440.25499988</v>
      </c>
      <c r="H10" s="22"/>
    </row>
    <row r="11" spans="2:8" customFormat="1" x14ac:dyDescent="0.2">
      <c r="B11" s="38">
        <f t="shared" ref="B11:B22" si="0">B10+1</f>
        <v>2</v>
      </c>
      <c r="C11" s="81" t="s">
        <v>154</v>
      </c>
      <c r="D11" s="768">
        <f>SUM(Therms!Q42,Therms!Q53)</f>
        <v>225457084.47</v>
      </c>
      <c r="E11" s="769">
        <f>'Weather Adj'!P201</f>
        <v>3147648</v>
      </c>
      <c r="F11" s="770">
        <f t="shared" ref="F11:F21" si="1">D11+E11</f>
        <v>228604732.47</v>
      </c>
      <c r="H11" s="22"/>
    </row>
    <row r="12" spans="2:8" customFormat="1" x14ac:dyDescent="0.2">
      <c r="B12" s="38">
        <f t="shared" si="0"/>
        <v>3</v>
      </c>
      <c r="C12" s="81" t="s">
        <v>393</v>
      </c>
      <c r="D12" s="768">
        <f>SUM(Therms!Q43,Therms!Q54)</f>
        <v>43266.76999999999</v>
      </c>
      <c r="E12" s="769">
        <f>'Weather Adj'!P207</f>
        <v>147</v>
      </c>
      <c r="F12" s="770">
        <f t="shared" si="1"/>
        <v>43413.76999999999</v>
      </c>
      <c r="H12" s="22"/>
    </row>
    <row r="13" spans="2:8" customFormat="1" x14ac:dyDescent="0.2">
      <c r="B13" s="38">
        <f t="shared" si="0"/>
        <v>4</v>
      </c>
      <c r="C13" s="80" t="s">
        <v>153</v>
      </c>
      <c r="D13" s="768">
        <f>SUM(Therms!Q44,Therms!Q55)</f>
        <v>62900570.016999997</v>
      </c>
      <c r="E13" s="769">
        <f>'Weather Adj'!P202</f>
        <v>1066298</v>
      </c>
      <c r="F13" s="770">
        <f t="shared" si="1"/>
        <v>63966868.016999997</v>
      </c>
      <c r="H13" s="22"/>
    </row>
    <row r="14" spans="2:8" customFormat="1" x14ac:dyDescent="0.2">
      <c r="B14" s="38">
        <f t="shared" si="0"/>
        <v>5</v>
      </c>
      <c r="C14" s="80" t="s">
        <v>272</v>
      </c>
      <c r="D14" s="768">
        <f>SUM(Therms!Q45,Therms!Q56)</f>
        <v>19194647.519000001</v>
      </c>
      <c r="E14" s="769">
        <f>'Weather Adj'!P208</f>
        <v>59602</v>
      </c>
      <c r="F14" s="770">
        <f t="shared" si="1"/>
        <v>19254249.519000001</v>
      </c>
      <c r="H14" s="22"/>
    </row>
    <row r="15" spans="2:8" customFormat="1" x14ac:dyDescent="0.2">
      <c r="B15" s="38">
        <f t="shared" si="0"/>
        <v>6</v>
      </c>
      <c r="C15" s="80" t="s">
        <v>156</v>
      </c>
      <c r="D15" s="768">
        <f>SUM(Therms!Q46,Therms!Q57)</f>
        <v>16270006.426000001</v>
      </c>
      <c r="E15" s="769">
        <f>'Weather Adj'!P204</f>
        <v>37783</v>
      </c>
      <c r="F15" s="770">
        <f t="shared" si="1"/>
        <v>16307789.426000001</v>
      </c>
      <c r="H15" s="22"/>
    </row>
    <row r="16" spans="2:8" customFormat="1" x14ac:dyDescent="0.2">
      <c r="B16" s="38">
        <f t="shared" si="0"/>
        <v>7</v>
      </c>
      <c r="C16" s="80" t="s">
        <v>279</v>
      </c>
      <c r="D16" s="768">
        <f>SUM(Therms!Q47,Therms!Q58)</f>
        <v>76428541.11999999</v>
      </c>
      <c r="E16" s="769">
        <f>'Weather Adj'!P209</f>
        <v>154046</v>
      </c>
      <c r="F16" s="770">
        <f t="shared" si="1"/>
        <v>76582587.11999999</v>
      </c>
      <c r="H16" s="22"/>
    </row>
    <row r="17" spans="2:8" customFormat="1" x14ac:dyDescent="0.2">
      <c r="B17" s="38">
        <f t="shared" si="0"/>
        <v>8</v>
      </c>
      <c r="C17" s="80" t="s">
        <v>157</v>
      </c>
      <c r="D17" s="768">
        <f>SUM(Therms!Q48,Therms!Q59)</f>
        <v>9070897.5420000013</v>
      </c>
      <c r="E17" s="769">
        <f>'Weather Adj'!P205</f>
        <v>36371</v>
      </c>
      <c r="F17" s="770">
        <f t="shared" si="1"/>
        <v>9107268.5420000013</v>
      </c>
      <c r="H17" s="22"/>
    </row>
    <row r="18" spans="2:8" customFormat="1" x14ac:dyDescent="0.2">
      <c r="B18" s="38">
        <f t="shared" si="0"/>
        <v>9</v>
      </c>
      <c r="C18" s="80" t="s">
        <v>330</v>
      </c>
      <c r="D18" s="768">
        <f>Therms!Q60</f>
        <v>354636.7</v>
      </c>
      <c r="E18" s="769">
        <f>'Weather Adj'!P210</f>
        <v>0</v>
      </c>
      <c r="F18" s="770">
        <f t="shared" si="1"/>
        <v>354636.7</v>
      </c>
      <c r="H18" s="22"/>
    </row>
    <row r="19" spans="2:8" customFormat="1" x14ac:dyDescent="0.2">
      <c r="B19" s="38">
        <f t="shared" si="0"/>
        <v>10</v>
      </c>
      <c r="C19" s="80" t="s">
        <v>158</v>
      </c>
      <c r="D19" s="768">
        <f>SUM(Therms!Q49,Therms!Q61)</f>
        <v>23218102.627999999</v>
      </c>
      <c r="E19" s="769">
        <f>'Weather Adj'!P206</f>
        <v>55056</v>
      </c>
      <c r="F19" s="770">
        <f t="shared" si="1"/>
        <v>23273158.627999999</v>
      </c>
      <c r="H19" s="22"/>
    </row>
    <row r="20" spans="2:8" customFormat="1" x14ac:dyDescent="0.2">
      <c r="B20" s="38">
        <f t="shared" si="0"/>
        <v>11</v>
      </c>
      <c r="C20" s="80" t="s">
        <v>280</v>
      </c>
      <c r="D20" s="768">
        <f>SUM(Therms!Q50,Therms!Q62)</f>
        <v>103639149.25</v>
      </c>
      <c r="E20" s="769">
        <f>'Weather Adj'!P211</f>
        <v>245172</v>
      </c>
      <c r="F20" s="770">
        <f t="shared" si="1"/>
        <v>103884321.25</v>
      </c>
      <c r="H20" s="22"/>
    </row>
    <row r="21" spans="2:8" customFormat="1" x14ac:dyDescent="0.2">
      <c r="B21" s="38">
        <f t="shared" si="0"/>
        <v>12</v>
      </c>
      <c r="C21" s="80" t="s">
        <v>238</v>
      </c>
      <c r="D21" s="768">
        <f>Therms!Q63</f>
        <v>36494461.68</v>
      </c>
      <c r="E21" s="769">
        <f>'Weather Adj'!P212</f>
        <v>781230</v>
      </c>
      <c r="F21" s="770">
        <f t="shared" si="1"/>
        <v>37275691.68</v>
      </c>
      <c r="H21" s="22"/>
    </row>
    <row r="22" spans="2:8" customFormat="1" x14ac:dyDescent="0.2">
      <c r="B22" s="38">
        <f t="shared" si="0"/>
        <v>13</v>
      </c>
      <c r="C22" s="80" t="s">
        <v>450</v>
      </c>
      <c r="D22" s="771">
        <f>SUM(D10:D21)</f>
        <v>1159932870.3770001</v>
      </c>
      <c r="E22" s="767">
        <f>SUM(E10:E21)</f>
        <v>21837287</v>
      </c>
      <c r="F22" s="767">
        <f>SUM(F10:F21)</f>
        <v>1181770157.3770001</v>
      </c>
      <c r="H22" s="22"/>
    </row>
    <row r="23" spans="2:8" customFormat="1" x14ac:dyDescent="0.2">
      <c r="F23" s="22"/>
    </row>
    <row r="24" spans="2:8" customFormat="1" x14ac:dyDescent="0.2">
      <c r="F24" s="22"/>
    </row>
    <row r="25" spans="2:8" customFormat="1" ht="13.5" thickBot="1" x14ac:dyDescent="0.25">
      <c r="B25" s="30"/>
      <c r="C25" s="30"/>
      <c r="F25" s="22"/>
    </row>
    <row r="26" spans="2:8" x14ac:dyDescent="0.2">
      <c r="B26" s="30"/>
      <c r="C26" s="162"/>
      <c r="D26" s="163"/>
      <c r="E26" s="163"/>
      <c r="F26" s="774"/>
    </row>
    <row r="27" spans="2:8" x14ac:dyDescent="0.2">
      <c r="B27" s="31"/>
      <c r="C27" s="164" t="s">
        <v>114</v>
      </c>
      <c r="D27" s="43">
        <f>D22-Therms!Q65</f>
        <v>0</v>
      </c>
      <c r="E27" s="43">
        <f>E22-'Weather Adj'!P213</f>
        <v>0</v>
      </c>
      <c r="F27" s="775">
        <f>F22-'Weather Adj'!P231</f>
        <v>0</v>
      </c>
    </row>
    <row r="28" spans="2:8" ht="13.5" thickBot="1" x14ac:dyDescent="0.25">
      <c r="B28" s="31"/>
      <c r="C28" s="165"/>
      <c r="D28" s="166"/>
      <c r="E28" s="166"/>
      <c r="F28" s="776"/>
    </row>
    <row r="29" spans="2:8" x14ac:dyDescent="0.2">
      <c r="C29" s="81"/>
      <c r="F29"/>
    </row>
    <row r="30" spans="2:8" x14ac:dyDescent="0.2">
      <c r="D30" s="90"/>
      <c r="F30"/>
    </row>
    <row r="31" spans="2:8" x14ac:dyDescent="0.2">
      <c r="D31" s="90"/>
      <c r="E31" s="92"/>
      <c r="F31"/>
    </row>
    <row r="32" spans="2:8" x14ac:dyDescent="0.2">
      <c r="D32" s="90"/>
      <c r="E32" s="92"/>
      <c r="F32"/>
    </row>
    <row r="33" spans="4:6" x14ac:dyDescent="0.2">
      <c r="D33" s="90"/>
      <c r="E33" s="171"/>
      <c r="F33"/>
    </row>
    <row r="34" spans="4:6" x14ac:dyDescent="0.2">
      <c r="D34" s="90"/>
      <c r="E34" s="171"/>
      <c r="F34"/>
    </row>
    <row r="35" spans="4:6" x14ac:dyDescent="0.2">
      <c r="D35" s="90"/>
      <c r="E35" s="171"/>
      <c r="F35"/>
    </row>
    <row r="36" spans="4:6" x14ac:dyDescent="0.2">
      <c r="D36" s="90"/>
      <c r="E36" s="92"/>
      <c r="F36"/>
    </row>
    <row r="37" spans="4:6" x14ac:dyDescent="0.2">
      <c r="D37" s="90"/>
      <c r="E37" s="92"/>
      <c r="F37"/>
    </row>
    <row r="38" spans="4:6" x14ac:dyDescent="0.2">
      <c r="E38" s="92"/>
      <c r="F38"/>
    </row>
    <row r="39" spans="4:6" x14ac:dyDescent="0.2">
      <c r="E39" s="92"/>
      <c r="F39"/>
    </row>
    <row r="40" spans="4:6" x14ac:dyDescent="0.2">
      <c r="E40" s="92"/>
      <c r="F40"/>
    </row>
    <row r="41" spans="4:6" x14ac:dyDescent="0.2">
      <c r="E41" s="92"/>
      <c r="F41"/>
    </row>
    <row r="42" spans="4:6" x14ac:dyDescent="0.2">
      <c r="E42" s="92"/>
      <c r="F42"/>
    </row>
    <row r="43" spans="4:6" x14ac:dyDescent="0.2">
      <c r="E43" s="92"/>
      <c r="F43"/>
    </row>
    <row r="44" spans="4:6" x14ac:dyDescent="0.2">
      <c r="E44" s="92"/>
      <c r="F44"/>
    </row>
    <row r="45" spans="4:6" x14ac:dyDescent="0.2">
      <c r="E45" s="92"/>
      <c r="F45"/>
    </row>
    <row r="46" spans="4:6" x14ac:dyDescent="0.2">
      <c r="F46" s="62"/>
    </row>
    <row r="47" spans="4:6" x14ac:dyDescent="0.2">
      <c r="F47" s="62"/>
    </row>
    <row r="48" spans="4:6" x14ac:dyDescent="0.2">
      <c r="F48" s="62"/>
    </row>
    <row r="49" spans="6:6" x14ac:dyDescent="0.2">
      <c r="F49" s="117"/>
    </row>
    <row r="50" spans="6:6" x14ac:dyDescent="0.2">
      <c r="F50" s="117"/>
    </row>
    <row r="51" spans="6:6" x14ac:dyDescent="0.2">
      <c r="F51" s="62"/>
    </row>
    <row r="52" spans="6:6" x14ac:dyDescent="0.2">
      <c r="F52" s="62"/>
    </row>
    <row r="53" spans="6:6" x14ac:dyDescent="0.2">
      <c r="F53" s="117"/>
    </row>
    <row r="54" spans="6:6" x14ac:dyDescent="0.2">
      <c r="F54" s="62"/>
    </row>
    <row r="55" spans="6:6" x14ac:dyDescent="0.2">
      <c r="F55" s="62"/>
    </row>
    <row r="56" spans="6:6" x14ac:dyDescent="0.2">
      <c r="F56" s="62"/>
    </row>
    <row r="57" spans="6:6" x14ac:dyDescent="0.2">
      <c r="F57" s="62"/>
    </row>
    <row r="58" spans="6:6" x14ac:dyDescent="0.2">
      <c r="F58" s="62"/>
    </row>
    <row r="59" spans="6:6" x14ac:dyDescent="0.2">
      <c r="F59" s="117"/>
    </row>
    <row r="60" spans="6:6" x14ac:dyDescent="0.2">
      <c r="F60" s="117"/>
    </row>
    <row r="61" spans="6:6" x14ac:dyDescent="0.2">
      <c r="F61" s="117"/>
    </row>
    <row r="62" spans="6:6" x14ac:dyDescent="0.2">
      <c r="F62" s="117"/>
    </row>
    <row r="63" spans="6:6" x14ac:dyDescent="0.2">
      <c r="F63" s="117"/>
    </row>
    <row r="64" spans="6:6" x14ac:dyDescent="0.2">
      <c r="F64" s="117"/>
    </row>
    <row r="65" spans="6:6" x14ac:dyDescent="0.2">
      <c r="F65" s="117"/>
    </row>
    <row r="66" spans="6:6" x14ac:dyDescent="0.2">
      <c r="F66" s="62"/>
    </row>
    <row r="67" spans="6:6" x14ac:dyDescent="0.2">
      <c r="F67" s="117"/>
    </row>
    <row r="68" spans="6:6" x14ac:dyDescent="0.2">
      <c r="F68" s="117"/>
    </row>
    <row r="69" spans="6:6" x14ac:dyDescent="0.2">
      <c r="F69" s="117"/>
    </row>
    <row r="70" spans="6:6" x14ac:dyDescent="0.2">
      <c r="F70" s="117"/>
    </row>
    <row r="71" spans="6:6" x14ac:dyDescent="0.2">
      <c r="F71" s="62"/>
    </row>
    <row r="72" spans="6:6" x14ac:dyDescent="0.2">
      <c r="F72" s="62"/>
    </row>
    <row r="73" spans="6:6" x14ac:dyDescent="0.2">
      <c r="F73" s="62"/>
    </row>
    <row r="74" spans="6:6" x14ac:dyDescent="0.2">
      <c r="F74" s="62"/>
    </row>
    <row r="75" spans="6:6" x14ac:dyDescent="0.2">
      <c r="F75" s="62"/>
    </row>
    <row r="76" spans="6:6" x14ac:dyDescent="0.2">
      <c r="F76" s="62"/>
    </row>
    <row r="77" spans="6:6" x14ac:dyDescent="0.2">
      <c r="F77" s="62"/>
    </row>
    <row r="78" spans="6:6" x14ac:dyDescent="0.2">
      <c r="F78" s="117"/>
    </row>
    <row r="79" spans="6:6" x14ac:dyDescent="0.2">
      <c r="F79" s="117"/>
    </row>
    <row r="80" spans="6:6" x14ac:dyDescent="0.2">
      <c r="F80" s="117"/>
    </row>
    <row r="81" spans="6:6" x14ac:dyDescent="0.2">
      <c r="F81" s="62"/>
    </row>
    <row r="82" spans="6:6" x14ac:dyDescent="0.2">
      <c r="F82" s="117"/>
    </row>
    <row r="83" spans="6:6" x14ac:dyDescent="0.2">
      <c r="F83" s="117"/>
    </row>
    <row r="84" spans="6:6" x14ac:dyDescent="0.2">
      <c r="F84" s="117"/>
    </row>
    <row r="85" spans="6:6" x14ac:dyDescent="0.2">
      <c r="F85" s="117"/>
    </row>
    <row r="86" spans="6:6" x14ac:dyDescent="0.2">
      <c r="F86" s="117"/>
    </row>
    <row r="87" spans="6:6" x14ac:dyDescent="0.2">
      <c r="F87" s="62"/>
    </row>
    <row r="88" spans="6:6" x14ac:dyDescent="0.2">
      <c r="F88" s="62"/>
    </row>
    <row r="89" spans="6:6" x14ac:dyDescent="0.2">
      <c r="F89" s="62"/>
    </row>
    <row r="90" spans="6:6" x14ac:dyDescent="0.2">
      <c r="F90" s="62"/>
    </row>
    <row r="91" spans="6:6" x14ac:dyDescent="0.2">
      <c r="F91" s="62"/>
    </row>
    <row r="92" spans="6:6" x14ac:dyDescent="0.2">
      <c r="F92" s="62"/>
    </row>
    <row r="93" spans="6:6" x14ac:dyDescent="0.2">
      <c r="F93" s="62"/>
    </row>
    <row r="94" spans="6:6" x14ac:dyDescent="0.2">
      <c r="F94" s="31"/>
    </row>
    <row r="95" spans="6:6" x14ac:dyDescent="0.2">
      <c r="F95" s="62"/>
    </row>
    <row r="96" spans="6:6" x14ac:dyDescent="0.2">
      <c r="F96" s="31"/>
    </row>
    <row r="97" spans="6:6" x14ac:dyDescent="0.2">
      <c r="F97" s="31"/>
    </row>
    <row r="98" spans="6:6" x14ac:dyDescent="0.2">
      <c r="F98" s="31"/>
    </row>
    <row r="99" spans="6:6" x14ac:dyDescent="0.2">
      <c r="F99" s="31"/>
    </row>
    <row r="100" spans="6:6" x14ac:dyDescent="0.2">
      <c r="F100" s="31"/>
    </row>
    <row r="101" spans="6:6" x14ac:dyDescent="0.2">
      <c r="F101" s="31"/>
    </row>
    <row r="102" spans="6:6" x14ac:dyDescent="0.2">
      <c r="F102" s="31"/>
    </row>
    <row r="103" spans="6:6" x14ac:dyDescent="0.2">
      <c r="F103" s="31"/>
    </row>
    <row r="104" spans="6:6" x14ac:dyDescent="0.2">
      <c r="F104" s="31"/>
    </row>
    <row r="105" spans="6:6" x14ac:dyDescent="0.2">
      <c r="F105" s="31"/>
    </row>
    <row r="106" spans="6:6" x14ac:dyDescent="0.2">
      <c r="F106" s="31"/>
    </row>
    <row r="107" spans="6:6" x14ac:dyDescent="0.2">
      <c r="F107" s="31"/>
    </row>
    <row r="108" spans="6:6" x14ac:dyDescent="0.2">
      <c r="F108" s="31"/>
    </row>
    <row r="109" spans="6:6" x14ac:dyDescent="0.2">
      <c r="F109" s="31"/>
    </row>
    <row r="110" spans="6:6" x14ac:dyDescent="0.2">
      <c r="F110" s="31"/>
    </row>
    <row r="111" spans="6:6" x14ac:dyDescent="0.2">
      <c r="F111" s="31"/>
    </row>
    <row r="112" spans="6:6" x14ac:dyDescent="0.2">
      <c r="F112" s="31"/>
    </row>
    <row r="113" spans="6:6" x14ac:dyDescent="0.2">
      <c r="F113" s="31"/>
    </row>
    <row r="114" spans="6:6" x14ac:dyDescent="0.2">
      <c r="F114" s="31"/>
    </row>
    <row r="115" spans="6:6" x14ac:dyDescent="0.2">
      <c r="F115" s="31"/>
    </row>
    <row r="116" spans="6:6" x14ac:dyDescent="0.2">
      <c r="F116" s="31"/>
    </row>
    <row r="117" spans="6:6" x14ac:dyDescent="0.2">
      <c r="F117" s="31"/>
    </row>
    <row r="118" spans="6:6" x14ac:dyDescent="0.2">
      <c r="F118" s="31"/>
    </row>
    <row r="119" spans="6:6" x14ac:dyDescent="0.2">
      <c r="F119" s="31"/>
    </row>
    <row r="120" spans="6:6" x14ac:dyDescent="0.2">
      <c r="F120" s="31"/>
    </row>
    <row r="121" spans="6:6" x14ac:dyDescent="0.2">
      <c r="F121" s="31"/>
    </row>
    <row r="122" spans="6:6" x14ac:dyDescent="0.2">
      <c r="F122" s="31"/>
    </row>
    <row r="123" spans="6:6" x14ac:dyDescent="0.2">
      <c r="F123" s="31"/>
    </row>
    <row r="124" spans="6:6" x14ac:dyDescent="0.2">
      <c r="F124" s="31"/>
    </row>
    <row r="125" spans="6:6" x14ac:dyDescent="0.2">
      <c r="F125" s="31"/>
    </row>
    <row r="126" spans="6:6" x14ac:dyDescent="0.2">
      <c r="F126" s="31"/>
    </row>
    <row r="127" spans="6:6" x14ac:dyDescent="0.2">
      <c r="F127" s="31"/>
    </row>
    <row r="128" spans="6:6" x14ac:dyDescent="0.2">
      <c r="F128" s="31"/>
    </row>
    <row r="129" spans="6:6" x14ac:dyDescent="0.2">
      <c r="F129" s="31"/>
    </row>
    <row r="130" spans="6:6" x14ac:dyDescent="0.2">
      <c r="F130" s="31"/>
    </row>
    <row r="131" spans="6:6" x14ac:dyDescent="0.2">
      <c r="F131" s="31"/>
    </row>
    <row r="132" spans="6:6" x14ac:dyDescent="0.2">
      <c r="F132" s="31"/>
    </row>
    <row r="133" spans="6:6" x14ac:dyDescent="0.2">
      <c r="F133" s="31"/>
    </row>
    <row r="134" spans="6:6" x14ac:dyDescent="0.2">
      <c r="F134" s="31"/>
    </row>
    <row r="135" spans="6:6" x14ac:dyDescent="0.2">
      <c r="F135" s="31"/>
    </row>
    <row r="136" spans="6:6" x14ac:dyDescent="0.2">
      <c r="F136" s="31"/>
    </row>
    <row r="137" spans="6:6" x14ac:dyDescent="0.2">
      <c r="F137" s="31"/>
    </row>
    <row r="138" spans="6:6" x14ac:dyDescent="0.2">
      <c r="F138" s="31"/>
    </row>
    <row r="139" spans="6:6" x14ac:dyDescent="0.2">
      <c r="F139" s="31"/>
    </row>
    <row r="140" spans="6:6" x14ac:dyDescent="0.2">
      <c r="F140" s="31"/>
    </row>
    <row r="141" spans="6:6" x14ac:dyDescent="0.2">
      <c r="F141" s="31"/>
    </row>
    <row r="142" spans="6:6" x14ac:dyDescent="0.2">
      <c r="F142" s="31"/>
    </row>
    <row r="143" spans="6:6" x14ac:dyDescent="0.2">
      <c r="F143" s="31"/>
    </row>
    <row r="144" spans="6:6" x14ac:dyDescent="0.2">
      <c r="F144" s="31"/>
    </row>
    <row r="145" spans="6:6" x14ac:dyDescent="0.2">
      <c r="F145" s="31"/>
    </row>
    <row r="146" spans="6:6" x14ac:dyDescent="0.2">
      <c r="F146" s="31"/>
    </row>
    <row r="147" spans="6:6" x14ac:dyDescent="0.2">
      <c r="F147" s="31"/>
    </row>
    <row r="148" spans="6:6" x14ac:dyDescent="0.2">
      <c r="F148" s="31"/>
    </row>
    <row r="149" spans="6:6" x14ac:dyDescent="0.2">
      <c r="F149" s="31"/>
    </row>
    <row r="150" spans="6:6" x14ac:dyDescent="0.2">
      <c r="F150" s="31"/>
    </row>
    <row r="151" spans="6:6" x14ac:dyDescent="0.2">
      <c r="F151" s="31"/>
    </row>
    <row r="152" spans="6:6" x14ac:dyDescent="0.2">
      <c r="F152" s="31"/>
    </row>
    <row r="153" spans="6:6" x14ac:dyDescent="0.2">
      <c r="F153" s="31"/>
    </row>
    <row r="154" spans="6:6" x14ac:dyDescent="0.2">
      <c r="F154" s="31"/>
    </row>
    <row r="155" spans="6:6" x14ac:dyDescent="0.2">
      <c r="F155" s="31"/>
    </row>
    <row r="156" spans="6:6" x14ac:dyDescent="0.2">
      <c r="F156" s="31"/>
    </row>
    <row r="157" spans="6:6" x14ac:dyDescent="0.2">
      <c r="F157" s="31"/>
    </row>
    <row r="158" spans="6:6" x14ac:dyDescent="0.2">
      <c r="F158" s="31"/>
    </row>
    <row r="159" spans="6:6" x14ac:dyDescent="0.2">
      <c r="F159" s="31"/>
    </row>
    <row r="160" spans="6:6" x14ac:dyDescent="0.2">
      <c r="F160" s="31"/>
    </row>
    <row r="161" spans="6:6" x14ac:dyDescent="0.2">
      <c r="F161" s="31"/>
    </row>
    <row r="162" spans="6:6" x14ac:dyDescent="0.2">
      <c r="F162" s="31"/>
    </row>
    <row r="163" spans="6:6" x14ac:dyDescent="0.2">
      <c r="F163" s="31"/>
    </row>
    <row r="164" spans="6:6" x14ac:dyDescent="0.2">
      <c r="F164" s="31"/>
    </row>
    <row r="165" spans="6:6" x14ac:dyDescent="0.2">
      <c r="F165" s="31"/>
    </row>
    <row r="166" spans="6:6" x14ac:dyDescent="0.2">
      <c r="F166" s="31"/>
    </row>
    <row r="167" spans="6:6" x14ac:dyDescent="0.2">
      <c r="F167" s="31"/>
    </row>
    <row r="168" spans="6:6" x14ac:dyDescent="0.2">
      <c r="F168" s="31"/>
    </row>
    <row r="169" spans="6:6" x14ac:dyDescent="0.2">
      <c r="F169" s="31"/>
    </row>
    <row r="170" spans="6:6" x14ac:dyDescent="0.2">
      <c r="F170" s="31"/>
    </row>
    <row r="171" spans="6:6" x14ac:dyDescent="0.2">
      <c r="F171" s="31"/>
    </row>
    <row r="172" spans="6:6" x14ac:dyDescent="0.2">
      <c r="F172" s="31"/>
    </row>
    <row r="173" spans="6:6" x14ac:dyDescent="0.2">
      <c r="F173" s="31"/>
    </row>
    <row r="174" spans="6:6" x14ac:dyDescent="0.2">
      <c r="F174" s="31"/>
    </row>
    <row r="175" spans="6:6" x14ac:dyDescent="0.2">
      <c r="F175" s="31"/>
    </row>
    <row r="176" spans="6:6" x14ac:dyDescent="0.2">
      <c r="F176" s="31"/>
    </row>
    <row r="177" spans="6:6" x14ac:dyDescent="0.2">
      <c r="F177" s="31"/>
    </row>
    <row r="178" spans="6:6" x14ac:dyDescent="0.2">
      <c r="F178" s="31"/>
    </row>
    <row r="179" spans="6:6" x14ac:dyDescent="0.2">
      <c r="F179" s="31"/>
    </row>
    <row r="180" spans="6:6" x14ac:dyDescent="0.2">
      <c r="F180" s="31"/>
    </row>
    <row r="181" spans="6:6" x14ac:dyDescent="0.2">
      <c r="F181" s="31"/>
    </row>
    <row r="182" spans="6:6" x14ac:dyDescent="0.2">
      <c r="F182" s="31"/>
    </row>
    <row r="183" spans="6:6" x14ac:dyDescent="0.2">
      <c r="F183" s="31"/>
    </row>
    <row r="184" spans="6:6" x14ac:dyDescent="0.2">
      <c r="F184" s="31"/>
    </row>
    <row r="185" spans="6:6" x14ac:dyDescent="0.2">
      <c r="F185" s="31"/>
    </row>
    <row r="186" spans="6:6" x14ac:dyDescent="0.2">
      <c r="F186" s="31"/>
    </row>
    <row r="187" spans="6:6" x14ac:dyDescent="0.2">
      <c r="F187" s="31"/>
    </row>
    <row r="188" spans="6:6" x14ac:dyDescent="0.2">
      <c r="F188" s="31"/>
    </row>
    <row r="189" spans="6:6" x14ac:dyDescent="0.2">
      <c r="F189" s="31"/>
    </row>
    <row r="190" spans="6:6" x14ac:dyDescent="0.2">
      <c r="F190" s="31"/>
    </row>
    <row r="191" spans="6:6" x14ac:dyDescent="0.2">
      <c r="F191" s="31"/>
    </row>
    <row r="192" spans="6:6" x14ac:dyDescent="0.2">
      <c r="F192" s="31"/>
    </row>
    <row r="193" spans="6:6" x14ac:dyDescent="0.2">
      <c r="F193" s="31"/>
    </row>
    <row r="194" spans="6:6" x14ac:dyDescent="0.2">
      <c r="F194" s="31"/>
    </row>
    <row r="195" spans="6:6" x14ac:dyDescent="0.2">
      <c r="F195" s="31"/>
    </row>
    <row r="196" spans="6:6" x14ac:dyDescent="0.2">
      <c r="F196" s="31"/>
    </row>
    <row r="197" spans="6:6" x14ac:dyDescent="0.2">
      <c r="F197" s="31"/>
    </row>
    <row r="198" spans="6:6" x14ac:dyDescent="0.2">
      <c r="F198" s="31"/>
    </row>
    <row r="199" spans="6:6" x14ac:dyDescent="0.2">
      <c r="F199" s="31"/>
    </row>
    <row r="200" spans="6:6" x14ac:dyDescent="0.2">
      <c r="F200" s="31"/>
    </row>
    <row r="201" spans="6:6" x14ac:dyDescent="0.2">
      <c r="F201" s="31"/>
    </row>
    <row r="202" spans="6:6" x14ac:dyDescent="0.2">
      <c r="F202" s="31"/>
    </row>
    <row r="203" spans="6:6" x14ac:dyDescent="0.2">
      <c r="F203" s="31"/>
    </row>
    <row r="204" spans="6:6" x14ac:dyDescent="0.2">
      <c r="F204" s="31"/>
    </row>
    <row r="205" spans="6:6" x14ac:dyDescent="0.2">
      <c r="F205" s="31"/>
    </row>
    <row r="206" spans="6:6" x14ac:dyDescent="0.2">
      <c r="F206" s="31"/>
    </row>
    <row r="207" spans="6:6" x14ac:dyDescent="0.2">
      <c r="F207" s="31"/>
    </row>
    <row r="208" spans="6:6" x14ac:dyDescent="0.2">
      <c r="F208" s="31"/>
    </row>
    <row r="209" spans="6:6" x14ac:dyDescent="0.2">
      <c r="F209" s="31"/>
    </row>
    <row r="210" spans="6:6" x14ac:dyDescent="0.2">
      <c r="F210" s="31"/>
    </row>
    <row r="211" spans="6:6" x14ac:dyDescent="0.2">
      <c r="F211" s="31"/>
    </row>
    <row r="212" spans="6:6" x14ac:dyDescent="0.2">
      <c r="F212" s="31"/>
    </row>
    <row r="213" spans="6:6" x14ac:dyDescent="0.2">
      <c r="F213" s="31"/>
    </row>
    <row r="214" spans="6:6" x14ac:dyDescent="0.2">
      <c r="F214" s="31"/>
    </row>
    <row r="215" spans="6:6" x14ac:dyDescent="0.2">
      <c r="F215" s="31"/>
    </row>
    <row r="216" spans="6:6" x14ac:dyDescent="0.2">
      <c r="F216" s="31"/>
    </row>
    <row r="217" spans="6:6" x14ac:dyDescent="0.2">
      <c r="F217" s="31"/>
    </row>
    <row r="218" spans="6:6" x14ac:dyDescent="0.2">
      <c r="F218" s="31"/>
    </row>
    <row r="219" spans="6:6" x14ac:dyDescent="0.2">
      <c r="F219" s="31"/>
    </row>
    <row r="220" spans="6:6" x14ac:dyDescent="0.2">
      <c r="F220" s="31"/>
    </row>
    <row r="221" spans="6:6" x14ac:dyDescent="0.2">
      <c r="F221" s="31"/>
    </row>
    <row r="222" spans="6:6" x14ac:dyDescent="0.2">
      <c r="F222" s="31"/>
    </row>
    <row r="223" spans="6:6" x14ac:dyDescent="0.2">
      <c r="F223" s="31"/>
    </row>
    <row r="224" spans="6:6" x14ac:dyDescent="0.2">
      <c r="F224" s="31"/>
    </row>
    <row r="225" spans="6:6" x14ac:dyDescent="0.2">
      <c r="F225" s="31"/>
    </row>
    <row r="226" spans="6:6" x14ac:dyDescent="0.2">
      <c r="F226" s="31"/>
    </row>
    <row r="227" spans="6:6" x14ac:dyDescent="0.2">
      <c r="F227" s="31"/>
    </row>
    <row r="228" spans="6:6" x14ac:dyDescent="0.2">
      <c r="F228" s="31"/>
    </row>
    <row r="229" spans="6:6" x14ac:dyDescent="0.2">
      <c r="F229" s="31"/>
    </row>
    <row r="230" spans="6:6" x14ac:dyDescent="0.2">
      <c r="F230" s="31"/>
    </row>
    <row r="231" spans="6:6" x14ac:dyDescent="0.2">
      <c r="F231" s="31"/>
    </row>
    <row r="232" spans="6:6" x14ac:dyDescent="0.2">
      <c r="F232" s="31"/>
    </row>
    <row r="233" spans="6:6" x14ac:dyDescent="0.2">
      <c r="F233" s="31"/>
    </row>
    <row r="234" spans="6:6" x14ac:dyDescent="0.2">
      <c r="F234" s="31"/>
    </row>
    <row r="235" spans="6:6" x14ac:dyDescent="0.2">
      <c r="F235" s="31"/>
    </row>
    <row r="236" spans="6:6" x14ac:dyDescent="0.2">
      <c r="F236" s="31"/>
    </row>
    <row r="237" spans="6:6" x14ac:dyDescent="0.2">
      <c r="F237" s="31"/>
    </row>
    <row r="238" spans="6:6" x14ac:dyDescent="0.2">
      <c r="F238" s="31"/>
    </row>
    <row r="239" spans="6:6" x14ac:dyDescent="0.2">
      <c r="F239" s="31"/>
    </row>
    <row r="240" spans="6:6" x14ac:dyDescent="0.2">
      <c r="F240" s="31"/>
    </row>
    <row r="241" spans="6:6" x14ac:dyDescent="0.2">
      <c r="F241" s="31"/>
    </row>
    <row r="242" spans="6:6" x14ac:dyDescent="0.2">
      <c r="F242" s="31"/>
    </row>
    <row r="243" spans="6:6" x14ac:dyDescent="0.2">
      <c r="F243" s="31"/>
    </row>
    <row r="244" spans="6:6" x14ac:dyDescent="0.2">
      <c r="F244" s="31"/>
    </row>
    <row r="245" spans="6:6" x14ac:dyDescent="0.2">
      <c r="F245" s="31"/>
    </row>
    <row r="246" spans="6:6" x14ac:dyDescent="0.2">
      <c r="F246" s="31"/>
    </row>
    <row r="247" spans="6:6" x14ac:dyDescent="0.2">
      <c r="F247" s="31"/>
    </row>
    <row r="248" spans="6:6" x14ac:dyDescent="0.2">
      <c r="F248" s="31"/>
    </row>
    <row r="249" spans="6:6" x14ac:dyDescent="0.2">
      <c r="F249" s="31"/>
    </row>
    <row r="250" spans="6:6" x14ac:dyDescent="0.2">
      <c r="F250" s="31"/>
    </row>
    <row r="251" spans="6:6" x14ac:dyDescent="0.2">
      <c r="F251" s="31"/>
    </row>
    <row r="252" spans="6:6" x14ac:dyDescent="0.2">
      <c r="F252" s="31"/>
    </row>
    <row r="253" spans="6:6" x14ac:dyDescent="0.2">
      <c r="F253" s="31"/>
    </row>
    <row r="254" spans="6:6" x14ac:dyDescent="0.2">
      <c r="F254" s="31"/>
    </row>
    <row r="255" spans="6:6" x14ac:dyDescent="0.2">
      <c r="F255" s="31"/>
    </row>
    <row r="256" spans="6:6" x14ac:dyDescent="0.2">
      <c r="F256" s="31"/>
    </row>
    <row r="257" spans="6:6" x14ac:dyDescent="0.2">
      <c r="F257" s="31"/>
    </row>
    <row r="258" spans="6:6" x14ac:dyDescent="0.2">
      <c r="F258" s="31"/>
    </row>
    <row r="259" spans="6:6" x14ac:dyDescent="0.2">
      <c r="F259" s="31"/>
    </row>
    <row r="260" spans="6:6" x14ac:dyDescent="0.2">
      <c r="F260" s="31"/>
    </row>
    <row r="261" spans="6:6" x14ac:dyDescent="0.2">
      <c r="F261" s="31"/>
    </row>
    <row r="262" spans="6:6" x14ac:dyDescent="0.2">
      <c r="F262" s="31"/>
    </row>
    <row r="263" spans="6:6" x14ac:dyDescent="0.2">
      <c r="F263" s="31"/>
    </row>
    <row r="264" spans="6:6" x14ac:dyDescent="0.2">
      <c r="F264" s="31"/>
    </row>
    <row r="265" spans="6:6" x14ac:dyDescent="0.2">
      <c r="F265" s="31"/>
    </row>
    <row r="266" spans="6:6" x14ac:dyDescent="0.2">
      <c r="F266" s="31"/>
    </row>
    <row r="267" spans="6:6" x14ac:dyDescent="0.2">
      <c r="F267" s="31"/>
    </row>
    <row r="268" spans="6:6" x14ac:dyDescent="0.2">
      <c r="F268" s="31"/>
    </row>
    <row r="269" spans="6:6" x14ac:dyDescent="0.2">
      <c r="F269" s="31"/>
    </row>
    <row r="270" spans="6:6" x14ac:dyDescent="0.2">
      <c r="F270" s="31"/>
    </row>
    <row r="271" spans="6:6" x14ac:dyDescent="0.2">
      <c r="F271" s="31"/>
    </row>
    <row r="272" spans="6:6" x14ac:dyDescent="0.2">
      <c r="F272" s="31"/>
    </row>
    <row r="273" spans="6:6" x14ac:dyDescent="0.2">
      <c r="F273" s="31"/>
    </row>
    <row r="274" spans="6:6" x14ac:dyDescent="0.2">
      <c r="F274" s="31"/>
    </row>
    <row r="275" spans="6:6" x14ac:dyDescent="0.2">
      <c r="F275" s="31"/>
    </row>
    <row r="276" spans="6:6" x14ac:dyDescent="0.2">
      <c r="F276" s="31"/>
    </row>
    <row r="277" spans="6:6" x14ac:dyDescent="0.2">
      <c r="F277" s="31"/>
    </row>
    <row r="278" spans="6:6" x14ac:dyDescent="0.2">
      <c r="F278" s="31"/>
    </row>
    <row r="279" spans="6:6" x14ac:dyDescent="0.2">
      <c r="F279" s="31"/>
    </row>
    <row r="280" spans="6:6" x14ac:dyDescent="0.2">
      <c r="F280" s="31"/>
    </row>
    <row r="281" spans="6:6" x14ac:dyDescent="0.2">
      <c r="F281" s="31"/>
    </row>
    <row r="282" spans="6:6" x14ac:dyDescent="0.2">
      <c r="F282" s="31"/>
    </row>
    <row r="283" spans="6:6" x14ac:dyDescent="0.2">
      <c r="F283" s="31"/>
    </row>
    <row r="284" spans="6:6" x14ac:dyDescent="0.2">
      <c r="F284" s="31"/>
    </row>
    <row r="285" spans="6:6" x14ac:dyDescent="0.2">
      <c r="F285" s="31"/>
    </row>
    <row r="286" spans="6:6" x14ac:dyDescent="0.2">
      <c r="F286" s="31"/>
    </row>
    <row r="287" spans="6:6" x14ac:dyDescent="0.2">
      <c r="F287" s="31"/>
    </row>
    <row r="288" spans="6:6" x14ac:dyDescent="0.2">
      <c r="F288" s="31"/>
    </row>
    <row r="289" spans="6:6" x14ac:dyDescent="0.2">
      <c r="F289" s="31"/>
    </row>
    <row r="290" spans="6:6" x14ac:dyDescent="0.2">
      <c r="F290" s="31"/>
    </row>
    <row r="291" spans="6:6" x14ac:dyDescent="0.2">
      <c r="F291" s="31"/>
    </row>
    <row r="292" spans="6:6" x14ac:dyDescent="0.2">
      <c r="F292" s="31"/>
    </row>
    <row r="293" spans="6:6" x14ac:dyDescent="0.2">
      <c r="F293" s="31"/>
    </row>
    <row r="294" spans="6:6" x14ac:dyDescent="0.2">
      <c r="F294" s="31"/>
    </row>
    <row r="295" spans="6:6" x14ac:dyDescent="0.2">
      <c r="F295" s="31"/>
    </row>
    <row r="296" spans="6:6" x14ac:dyDescent="0.2">
      <c r="F296" s="31"/>
    </row>
    <row r="297" spans="6:6" x14ac:dyDescent="0.2">
      <c r="F297" s="31"/>
    </row>
    <row r="298" spans="6:6" x14ac:dyDescent="0.2">
      <c r="F298" s="31"/>
    </row>
    <row r="299" spans="6:6" x14ac:dyDescent="0.2">
      <c r="F299" s="31"/>
    </row>
    <row r="300" spans="6:6" x14ac:dyDescent="0.2">
      <c r="F300" s="31"/>
    </row>
    <row r="301" spans="6:6" x14ac:dyDescent="0.2">
      <c r="F301" s="31"/>
    </row>
    <row r="302" spans="6:6" x14ac:dyDescent="0.2">
      <c r="F302" s="31"/>
    </row>
    <row r="303" spans="6:6" x14ac:dyDescent="0.2">
      <c r="F303" s="31"/>
    </row>
  </sheetData>
  <mergeCells count="4">
    <mergeCell ref="B1:F1"/>
    <mergeCell ref="B2:F2"/>
    <mergeCell ref="B3:F3"/>
    <mergeCell ref="B4:F4"/>
  </mergeCells>
  <printOptions horizontalCentered="1"/>
  <pageMargins left="0.5" right="0.5" top="0.72" bottom="0.77" header="0.5" footer="0.5"/>
  <pageSetup orientation="landscape" blackAndWhite="1" horizontalDpi="300" verticalDpi="300" r:id="rId1"/>
  <headerFooter alignWithMargins="0">
    <oddFooter>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E33" sqref="E33"/>
    </sheetView>
  </sheetViews>
  <sheetFormatPr defaultRowHeight="12.75" x14ac:dyDescent="0.2"/>
  <sheetData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FF00"/>
  </sheetPr>
  <dimension ref="B1:Q240"/>
  <sheetViews>
    <sheetView zoomScaleNormal="100" workbookViewId="0">
      <pane xSplit="2" ySplit="6" topLeftCell="C16" activePane="bottomRight" state="frozen"/>
      <selection activeCell="E33" sqref="E33"/>
      <selection pane="topRight" activeCell="E33" sqref="E33"/>
      <selection pane="bottomLeft" activeCell="E33" sqref="E33"/>
      <selection pane="bottomRight" activeCell="H40" sqref="H40"/>
    </sheetView>
  </sheetViews>
  <sheetFormatPr defaultRowHeight="12.75" x14ac:dyDescent="0.2"/>
  <cols>
    <col min="1" max="1" width="4.140625" customWidth="1"/>
    <col min="2" max="2" width="42.5703125" customWidth="1"/>
    <col min="3" max="12" width="11.28515625" bestFit="1" customWidth="1"/>
    <col min="13" max="13" width="10.28515625" bestFit="1" customWidth="1"/>
    <col min="14" max="14" width="11.28515625" bestFit="1" customWidth="1"/>
    <col min="15" max="15" width="14.140625" customWidth="1"/>
    <col min="16" max="16" width="5" customWidth="1"/>
    <col min="17" max="17" width="10.28515625" bestFit="1" customWidth="1"/>
  </cols>
  <sheetData>
    <row r="1" spans="2:16" x14ac:dyDescent="0.2">
      <c r="B1" s="847" t="s">
        <v>1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</row>
    <row r="2" spans="2:16" x14ac:dyDescent="0.2">
      <c r="B2" s="847" t="s">
        <v>397</v>
      </c>
      <c r="C2" s="847"/>
      <c r="D2" s="847"/>
      <c r="E2" s="847"/>
      <c r="F2" s="847"/>
      <c r="G2" s="847"/>
      <c r="H2" s="847"/>
      <c r="I2" s="847"/>
      <c r="J2" s="847"/>
      <c r="K2" s="847"/>
      <c r="L2" s="847"/>
      <c r="M2" s="847"/>
      <c r="N2" s="847"/>
      <c r="O2" s="847"/>
    </row>
    <row r="3" spans="2:16" x14ac:dyDescent="0.2">
      <c r="B3" s="847" t="s">
        <v>598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</row>
    <row r="4" spans="2:16" x14ac:dyDescent="0.2">
      <c r="B4" s="846" t="s">
        <v>542</v>
      </c>
      <c r="C4" s="846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</row>
    <row r="5" spans="2:16" x14ac:dyDescent="0.2">
      <c r="O5" s="15"/>
    </row>
    <row r="6" spans="2:16" x14ac:dyDescent="0.2">
      <c r="C6" s="14">
        <v>42917</v>
      </c>
      <c r="D6" s="14">
        <f>EDATE(C6,1)</f>
        <v>42948</v>
      </c>
      <c r="E6" s="14">
        <f t="shared" ref="E6:N6" si="0">EDATE(D6,1)</f>
        <v>42979</v>
      </c>
      <c r="F6" s="14">
        <f t="shared" si="0"/>
        <v>43009</v>
      </c>
      <c r="G6" s="14">
        <f t="shared" si="0"/>
        <v>43040</v>
      </c>
      <c r="H6" s="14">
        <f t="shared" si="0"/>
        <v>43070</v>
      </c>
      <c r="I6" s="14">
        <f t="shared" si="0"/>
        <v>43101</v>
      </c>
      <c r="J6" s="14">
        <f t="shared" si="0"/>
        <v>43132</v>
      </c>
      <c r="K6" s="14">
        <f t="shared" si="0"/>
        <v>43160</v>
      </c>
      <c r="L6" s="14">
        <f t="shared" si="0"/>
        <v>43191</v>
      </c>
      <c r="M6" s="14">
        <f t="shared" si="0"/>
        <v>43221</v>
      </c>
      <c r="N6" s="14">
        <f t="shared" si="0"/>
        <v>43252</v>
      </c>
      <c r="O6" s="13" t="s">
        <v>113</v>
      </c>
    </row>
    <row r="7" spans="2:16" x14ac:dyDescent="0.2">
      <c r="C7" s="705"/>
      <c r="D7" s="705"/>
      <c r="E7" s="705"/>
      <c r="F7" s="705"/>
      <c r="H7" s="705"/>
      <c r="I7" s="705"/>
      <c r="J7" s="705"/>
      <c r="K7" s="705"/>
      <c r="L7" s="705"/>
      <c r="M7" s="705"/>
      <c r="N7" s="705"/>
      <c r="O7" s="706"/>
    </row>
    <row r="8" spans="2:16" ht="15.75" x14ac:dyDescent="0.25">
      <c r="C8" s="705"/>
      <c r="D8" s="705"/>
      <c r="E8" s="705"/>
      <c r="F8" s="701" t="s">
        <v>591</v>
      </c>
      <c r="H8" s="705"/>
      <c r="I8" s="705"/>
      <c r="J8" s="705"/>
      <c r="K8" s="705"/>
      <c r="L8" s="705"/>
      <c r="M8" s="705"/>
      <c r="N8" s="705"/>
      <c r="O8" s="706"/>
    </row>
    <row r="9" spans="2:16" s="30" customFormat="1" x14ac:dyDescent="0.2">
      <c r="B9" s="15" t="s">
        <v>0</v>
      </c>
      <c r="C9"/>
      <c r="D9"/>
      <c r="E9"/>
      <c r="F9"/>
      <c r="G9"/>
      <c r="H9"/>
      <c r="I9"/>
      <c r="J9"/>
      <c r="K9"/>
      <c r="L9"/>
      <c r="M9"/>
      <c r="N9"/>
      <c r="O9"/>
      <c r="P9"/>
    </row>
    <row r="10" spans="2:16" s="30" customFormat="1" x14ac:dyDescent="0.2">
      <c r="B10" s="157" t="s">
        <v>14</v>
      </c>
      <c r="C10" s="178">
        <f>Therms!E30/19</f>
        <v>43.47768421052632</v>
      </c>
      <c r="D10" s="178">
        <f>Therms!F30/19</f>
        <v>43.206684210526319</v>
      </c>
      <c r="E10" s="178">
        <f>Therms!G30/19</f>
        <v>40.764105263157894</v>
      </c>
      <c r="F10" s="178">
        <f>Therms!H30/19</f>
        <v>43.372736842105262</v>
      </c>
      <c r="G10" s="178">
        <f>Therms!I30/19</f>
        <v>41.239421052631577</v>
      </c>
      <c r="H10" s="178">
        <f>Therms!J30/19</f>
        <v>42.110894736842106</v>
      </c>
      <c r="I10" s="178">
        <f>Therms!K30/19</f>
        <v>41.98047368421053</v>
      </c>
      <c r="J10" s="178">
        <f>Therms!L30/19</f>
        <v>38.085421052631581</v>
      </c>
      <c r="K10" s="178">
        <f>Therms!M30/19</f>
        <v>43.992421052631578</v>
      </c>
      <c r="L10" s="178">
        <f>Therms!N30/19</f>
        <v>43.244789473684207</v>
      </c>
      <c r="M10" s="178">
        <f>Therms!O30/19</f>
        <v>43.088157894736838</v>
      </c>
      <c r="N10" s="178">
        <f>Therms!P30/19</f>
        <v>40.281684210526315</v>
      </c>
      <c r="O10" s="22">
        <f>SUM(C10:N10)</f>
        <v>504.84447368421053</v>
      </c>
      <c r="P10"/>
    </row>
    <row r="11" spans="2:16" s="30" customFormat="1" x14ac:dyDescent="0.2">
      <c r="B11" s="105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43"/>
      <c r="P11"/>
    </row>
    <row r="12" spans="2:16" s="30" customFormat="1" x14ac:dyDescent="0.2">
      <c r="B12" s="89" t="s">
        <v>331</v>
      </c>
      <c r="C12"/>
      <c r="D12"/>
      <c r="E12"/>
      <c r="F12"/>
      <c r="G12"/>
      <c r="H12"/>
      <c r="I12"/>
      <c r="J12"/>
      <c r="K12"/>
      <c r="L12"/>
      <c r="M12"/>
      <c r="N12"/>
      <c r="O12"/>
      <c r="P12"/>
    </row>
    <row r="13" spans="2:16" s="30" customFormat="1" x14ac:dyDescent="0.2">
      <c r="B13" s="80">
        <v>23</v>
      </c>
      <c r="C13" s="186">
        <v>791033.10106899915</v>
      </c>
      <c r="D13" s="186">
        <v>799125.72983479116</v>
      </c>
      <c r="E13" s="186">
        <v>753288.30126336252</v>
      </c>
      <c r="F13" s="186">
        <v>788504.85519922257</v>
      </c>
      <c r="G13" s="186">
        <v>754044.3041788144</v>
      </c>
      <c r="H13" s="186">
        <v>778711.52441646787</v>
      </c>
      <c r="I13" s="186">
        <v>781852.52976234653</v>
      </c>
      <c r="J13" s="186">
        <v>710122.15909090906</v>
      </c>
      <c r="K13" s="186">
        <v>810554.56545454555</v>
      </c>
      <c r="L13" s="186">
        <v>796412.53272727272</v>
      </c>
      <c r="M13" s="186">
        <v>800300.15272727271</v>
      </c>
      <c r="N13" s="186">
        <v>765726.25818181818</v>
      </c>
      <c r="O13" s="22">
        <f>SUM(C13:N13)</f>
        <v>9329676.0139058214</v>
      </c>
      <c r="P13"/>
    </row>
    <row r="14" spans="2:16" s="30" customFormat="1" x14ac:dyDescent="0.2">
      <c r="B14" s="80" t="s">
        <v>203</v>
      </c>
      <c r="C14" s="186">
        <v>55936.156343956711</v>
      </c>
      <c r="D14" s="186">
        <v>56724.969933854481</v>
      </c>
      <c r="E14" s="186">
        <v>53454.891160553219</v>
      </c>
      <c r="F14" s="186">
        <v>55802.520745640417</v>
      </c>
      <c r="G14" s="186">
        <v>53601.754359591105</v>
      </c>
      <c r="H14" s="186">
        <v>55562.214992229521</v>
      </c>
      <c r="I14" s="186">
        <v>55587.03296056504</v>
      </c>
      <c r="J14" s="186">
        <v>50550.286933490293</v>
      </c>
      <c r="K14" s="186">
        <v>57714.630076515597</v>
      </c>
      <c r="L14" s="186">
        <v>56418.82960565039</v>
      </c>
      <c r="M14" s="186">
        <v>56698.709888059711</v>
      </c>
      <c r="N14" s="186">
        <v>54030.333644278617</v>
      </c>
      <c r="O14" s="22">
        <f t="shared" ref="O14:O34" si="1">SUM(C14:N14)</f>
        <v>662082.33064438507</v>
      </c>
      <c r="P14"/>
    </row>
    <row r="15" spans="2:16" s="30" customFormat="1" x14ac:dyDescent="0.2">
      <c r="B15" s="80" t="s">
        <v>204</v>
      </c>
      <c r="C15" s="186">
        <v>2342.3767288033673</v>
      </c>
      <c r="D15" s="186">
        <v>2373.6885147324115</v>
      </c>
      <c r="E15" s="186">
        <v>2229.5706554419726</v>
      </c>
      <c r="F15" s="186">
        <v>2333.3463619963923</v>
      </c>
      <c r="G15" s="186">
        <v>2250.1939266386048</v>
      </c>
      <c r="H15" s="186">
        <v>2314.2957372611745</v>
      </c>
      <c r="I15" s="186">
        <v>2323.4841082989997</v>
      </c>
      <c r="J15" s="186">
        <v>2108.1477339611538</v>
      </c>
      <c r="K15" s="186">
        <v>2392.2798705120663</v>
      </c>
      <c r="L15" s="186">
        <v>2357.4690994702769</v>
      </c>
      <c r="M15" s="186">
        <v>2366.1710199004979</v>
      </c>
      <c r="N15" s="186">
        <v>2225.5973258706472</v>
      </c>
      <c r="O15" s="22">
        <f t="shared" si="1"/>
        <v>27616.621082887563</v>
      </c>
      <c r="P15"/>
    </row>
    <row r="16" spans="2:16" s="30" customFormat="1" x14ac:dyDescent="0.2">
      <c r="B16" s="80" t="s">
        <v>385</v>
      </c>
      <c r="C16" s="186">
        <v>2</v>
      </c>
      <c r="D16" s="186">
        <v>2</v>
      </c>
      <c r="E16" s="186">
        <v>2.9999999999999996</v>
      </c>
      <c r="F16" s="186">
        <v>2</v>
      </c>
      <c r="G16" s="186">
        <v>2</v>
      </c>
      <c r="H16" s="186">
        <v>2.000020827694831</v>
      </c>
      <c r="I16" s="186">
        <v>2</v>
      </c>
      <c r="J16" s="186">
        <v>2</v>
      </c>
      <c r="K16" s="186">
        <v>2</v>
      </c>
      <c r="L16" s="186">
        <v>2</v>
      </c>
      <c r="M16" s="186">
        <v>2</v>
      </c>
      <c r="N16" s="186">
        <v>2</v>
      </c>
      <c r="O16" s="22">
        <f t="shared" si="1"/>
        <v>25.000020827694833</v>
      </c>
      <c r="P16"/>
    </row>
    <row r="17" spans="2:16" s="30" customFormat="1" x14ac:dyDescent="0.2">
      <c r="B17" s="80" t="s">
        <v>399</v>
      </c>
      <c r="C17" s="186">
        <v>1</v>
      </c>
      <c r="D17" s="186">
        <v>1</v>
      </c>
      <c r="E17" s="186">
        <v>1</v>
      </c>
      <c r="F17" s="186">
        <v>1</v>
      </c>
      <c r="G17" s="186">
        <v>1</v>
      </c>
      <c r="H17" s="186">
        <v>1.0000104138474155</v>
      </c>
      <c r="I17" s="186">
        <v>1</v>
      </c>
      <c r="J17" s="186">
        <v>1</v>
      </c>
      <c r="K17" s="186">
        <v>1</v>
      </c>
      <c r="L17" s="186">
        <v>1</v>
      </c>
      <c r="M17" s="186">
        <v>1</v>
      </c>
      <c r="N17" s="186">
        <v>1</v>
      </c>
      <c r="O17" s="22">
        <f t="shared" si="1"/>
        <v>12.000010413847416</v>
      </c>
      <c r="P17"/>
    </row>
    <row r="18" spans="2:16" s="30" customFormat="1" x14ac:dyDescent="0.2">
      <c r="B18" s="80" t="s">
        <v>205</v>
      </c>
      <c r="C18" s="186">
        <v>1287.9778656126482</v>
      </c>
      <c r="D18" s="186">
        <v>1316.455248133509</v>
      </c>
      <c r="E18" s="186">
        <v>1244.5072463768115</v>
      </c>
      <c r="F18" s="186">
        <v>1291.2735177865613</v>
      </c>
      <c r="G18" s="186">
        <v>1236.0861660079051</v>
      </c>
      <c r="H18" s="186">
        <v>1293.4686895375128</v>
      </c>
      <c r="I18" s="186">
        <v>1289.8973869259485</v>
      </c>
      <c r="J18" s="186">
        <v>1185.0315131521834</v>
      </c>
      <c r="K18" s="186">
        <v>1331.4759093671325</v>
      </c>
      <c r="L18" s="186">
        <v>1305.7300112857019</v>
      </c>
      <c r="M18" s="186">
        <v>1296.0508315324626</v>
      </c>
      <c r="N18" s="186">
        <v>817.19421215822592</v>
      </c>
      <c r="O18" s="22">
        <f t="shared" si="1"/>
        <v>14895.148597876603</v>
      </c>
      <c r="P18"/>
    </row>
    <row r="19" spans="2:16" s="30" customFormat="1" x14ac:dyDescent="0.2">
      <c r="B19" s="80" t="s">
        <v>206</v>
      </c>
      <c r="C19" s="186">
        <v>80.497848045674132</v>
      </c>
      <c r="D19" s="186">
        <v>80.037417654808962</v>
      </c>
      <c r="E19" s="186">
        <v>76.810803689064556</v>
      </c>
      <c r="F19" s="186">
        <v>78.018093983311388</v>
      </c>
      <c r="G19" s="186">
        <v>73.751075977162927</v>
      </c>
      <c r="H19" s="186">
        <v>76.034583865049214</v>
      </c>
      <c r="I19" s="186">
        <v>73.09532077437278</v>
      </c>
      <c r="J19" s="186">
        <v>69.06155048181266</v>
      </c>
      <c r="K19" s="186">
        <v>74.83974303324942</v>
      </c>
      <c r="L19" s="186">
        <v>74.071099921868225</v>
      </c>
      <c r="M19" s="186">
        <v>74.148642300103347</v>
      </c>
      <c r="N19" s="186">
        <v>31.613924645306774</v>
      </c>
      <c r="O19" s="22">
        <f t="shared" si="1"/>
        <v>861.98010437178436</v>
      </c>
      <c r="P19"/>
    </row>
    <row r="20" spans="2:16" s="30" customFormat="1" x14ac:dyDescent="0.2">
      <c r="B20" s="83" t="s">
        <v>243</v>
      </c>
      <c r="C20" s="186">
        <v>72</v>
      </c>
      <c r="D20" s="186">
        <v>73</v>
      </c>
      <c r="E20" s="186">
        <v>73</v>
      </c>
      <c r="F20" s="186">
        <v>74</v>
      </c>
      <c r="G20" s="186">
        <v>75</v>
      </c>
      <c r="H20" s="186">
        <v>74.999888514211207</v>
      </c>
      <c r="I20" s="186">
        <v>77</v>
      </c>
      <c r="J20" s="186">
        <v>78.999999999999986</v>
      </c>
      <c r="K20" s="186">
        <v>78.999999999999986</v>
      </c>
      <c r="L20" s="186">
        <v>81</v>
      </c>
      <c r="M20" s="186">
        <v>81</v>
      </c>
      <c r="N20" s="186">
        <v>83</v>
      </c>
      <c r="O20" s="22">
        <f t="shared" si="1"/>
        <v>921.99988851421119</v>
      </c>
      <c r="P20"/>
    </row>
    <row r="21" spans="2:16" s="30" customFormat="1" x14ac:dyDescent="0.2">
      <c r="B21" s="83" t="s">
        <v>244</v>
      </c>
      <c r="C21" s="186">
        <v>27</v>
      </c>
      <c r="D21" s="186">
        <v>25.033340924618535</v>
      </c>
      <c r="E21" s="186">
        <v>25</v>
      </c>
      <c r="F21" s="186">
        <v>25</v>
      </c>
      <c r="G21" s="186">
        <v>25</v>
      </c>
      <c r="H21" s="186">
        <v>24.999962838070402</v>
      </c>
      <c r="I21" s="186">
        <v>25</v>
      </c>
      <c r="J21" s="186">
        <v>25.035719108710332</v>
      </c>
      <c r="K21" s="186">
        <v>25</v>
      </c>
      <c r="L21" s="186">
        <v>24</v>
      </c>
      <c r="M21" s="186">
        <v>22</v>
      </c>
      <c r="N21" s="186">
        <v>22</v>
      </c>
      <c r="O21" s="22">
        <f t="shared" si="1"/>
        <v>295.06902287139928</v>
      </c>
      <c r="P21"/>
    </row>
    <row r="22" spans="2:16" x14ac:dyDescent="0.2">
      <c r="B22" s="83">
        <v>53</v>
      </c>
      <c r="C22" s="186">
        <v>1.0145772594752187</v>
      </c>
      <c r="D22" s="186">
        <v>1.0505344995140915</v>
      </c>
      <c r="E22" s="186">
        <v>0.9659863945578232</v>
      </c>
      <c r="F22" s="186">
        <v>1.0174927113702625</v>
      </c>
      <c r="G22" s="186">
        <v>1.0165208940719146</v>
      </c>
      <c r="H22" s="186">
        <v>0.98158582913684955</v>
      </c>
      <c r="I22" s="186">
        <v>1.2354545454545454</v>
      </c>
      <c r="J22" s="186">
        <v>0.25</v>
      </c>
      <c r="K22" s="186">
        <v>0</v>
      </c>
      <c r="L22" s="186">
        <v>0</v>
      </c>
      <c r="M22" s="186">
        <v>0</v>
      </c>
      <c r="N22" s="186">
        <v>0</v>
      </c>
      <c r="O22" s="22">
        <f t="shared" si="1"/>
        <v>7.5321521335807056</v>
      </c>
    </row>
    <row r="23" spans="2:16" x14ac:dyDescent="0.2">
      <c r="B23" s="83" t="s">
        <v>207</v>
      </c>
      <c r="C23" s="186">
        <v>22.642907679399361</v>
      </c>
      <c r="D23" s="186">
        <v>23.143396991165101</v>
      </c>
      <c r="E23" s="186">
        <v>22.896424270523134</v>
      </c>
      <c r="F23" s="186">
        <v>24.089516671707617</v>
      </c>
      <c r="G23" s="186">
        <v>23.905858893995589</v>
      </c>
      <c r="H23" s="186">
        <v>25.340302967426002</v>
      </c>
      <c r="I23" s="186">
        <v>24.117983299847172</v>
      </c>
      <c r="J23" s="186">
        <v>23.37605519083894</v>
      </c>
      <c r="K23" s="186">
        <v>24.507833165654986</v>
      </c>
      <c r="L23" s="186">
        <v>24.002119284044948</v>
      </c>
      <c r="M23" s="186">
        <v>24.086570537944109</v>
      </c>
      <c r="N23" s="186">
        <v>21.373717119054994</v>
      </c>
      <c r="O23" s="22">
        <f t="shared" si="1"/>
        <v>283.4826860716019</v>
      </c>
    </row>
    <row r="24" spans="2:16" x14ac:dyDescent="0.2">
      <c r="B24" s="83" t="s">
        <v>208</v>
      </c>
      <c r="C24" s="186">
        <v>4.0689467709182781</v>
      </c>
      <c r="D24" s="186">
        <v>4.04005372475656</v>
      </c>
      <c r="E24" s="186">
        <v>3.967749156553301</v>
      </c>
      <c r="F24" s="186">
        <v>4.1100078348603315</v>
      </c>
      <c r="G24" s="186">
        <v>3.9844102268911592</v>
      </c>
      <c r="H24" s="186">
        <v>3.9576420884246191</v>
      </c>
      <c r="I24" s="186">
        <v>4.0277920564751035</v>
      </c>
      <c r="J24" s="186">
        <v>3.8663685274665016</v>
      </c>
      <c r="K24" s="186">
        <v>4.0635687604948423</v>
      </c>
      <c r="L24" s="186">
        <v>4.0043178780713475</v>
      </c>
      <c r="M24" s="186">
        <v>4.0188672366334286</v>
      </c>
      <c r="N24" s="186">
        <v>3.9250961591045805</v>
      </c>
      <c r="O24" s="22">
        <f t="shared" si="1"/>
        <v>48.03482042065005</v>
      </c>
    </row>
    <row r="25" spans="2:16" x14ac:dyDescent="0.2">
      <c r="B25" s="83" t="s">
        <v>245</v>
      </c>
      <c r="C25" s="186">
        <v>33</v>
      </c>
      <c r="D25" s="186">
        <v>33</v>
      </c>
      <c r="E25" s="186">
        <v>33</v>
      </c>
      <c r="F25" s="186">
        <v>33</v>
      </c>
      <c r="G25" s="186">
        <v>33</v>
      </c>
      <c r="H25" s="186">
        <v>32.999880693439685</v>
      </c>
      <c r="I25" s="186">
        <v>33</v>
      </c>
      <c r="J25" s="186">
        <v>33</v>
      </c>
      <c r="K25" s="186">
        <v>33</v>
      </c>
      <c r="L25" s="186">
        <v>33.00002141855061</v>
      </c>
      <c r="M25" s="186">
        <v>33</v>
      </c>
      <c r="N25" s="186">
        <v>33</v>
      </c>
      <c r="O25" s="22">
        <f t="shared" si="1"/>
        <v>395.99990211199025</v>
      </c>
    </row>
    <row r="26" spans="2:16" x14ac:dyDescent="0.2">
      <c r="B26" s="83" t="s">
        <v>246</v>
      </c>
      <c r="C26" s="186">
        <v>69.033338330085456</v>
      </c>
      <c r="D26" s="186">
        <v>69.033328336581221</v>
      </c>
      <c r="E26" s="186">
        <v>68.937500624594009</v>
      </c>
      <c r="F26" s="186">
        <v>68.362504372158099</v>
      </c>
      <c r="G26" s="186">
        <v>69.000000000000014</v>
      </c>
      <c r="H26" s="186">
        <v>68.999750540828444</v>
      </c>
      <c r="I26" s="186">
        <v>69</v>
      </c>
      <c r="J26" s="186">
        <v>69</v>
      </c>
      <c r="K26" s="186">
        <v>69</v>
      </c>
      <c r="L26" s="186">
        <v>69.000032127825918</v>
      </c>
      <c r="M26" s="186">
        <v>70</v>
      </c>
      <c r="N26" s="186">
        <v>71</v>
      </c>
      <c r="O26" s="22">
        <f t="shared" si="1"/>
        <v>830.36645433207309</v>
      </c>
    </row>
    <row r="27" spans="2:16" x14ac:dyDescent="0.2">
      <c r="B27" s="83" t="s">
        <v>209</v>
      </c>
      <c r="C27" s="186">
        <v>225.0993511477011</v>
      </c>
      <c r="D27" s="186">
        <v>225.46549919765576</v>
      </c>
      <c r="E27" s="186">
        <v>215.11086304332656</v>
      </c>
      <c r="F27" s="186">
        <v>223.09404869880692</v>
      </c>
      <c r="G27" s="186">
        <v>212.5506174562199</v>
      </c>
      <c r="H27" s="186">
        <v>220.54810202637975</v>
      </c>
      <c r="I27" s="186">
        <v>221.02480064873632</v>
      </c>
      <c r="J27" s="186">
        <v>202.04635761589404</v>
      </c>
      <c r="K27" s="186">
        <v>229.08034869576969</v>
      </c>
      <c r="L27" s="186">
        <v>223.33720773077445</v>
      </c>
      <c r="M27" s="186">
        <v>221.29097301951776</v>
      </c>
      <c r="N27" s="186">
        <v>210.97079506314577</v>
      </c>
      <c r="O27" s="22">
        <f t="shared" si="1"/>
        <v>2629.6189643439284</v>
      </c>
    </row>
    <row r="28" spans="2:16" x14ac:dyDescent="0.2">
      <c r="B28" s="83" t="s">
        <v>210</v>
      </c>
      <c r="C28" s="186">
        <v>4.1890043954510565</v>
      </c>
      <c r="D28" s="186">
        <v>4.0010465359659522</v>
      </c>
      <c r="E28" s="186">
        <v>3.9609990930021626</v>
      </c>
      <c r="F28" s="186">
        <v>4.0724202888439267</v>
      </c>
      <c r="G28" s="186">
        <v>3.9504639642782391</v>
      </c>
      <c r="H28" s="186">
        <v>4.0265456061345182</v>
      </c>
      <c r="I28" s="186">
        <v>4.0333153128801191</v>
      </c>
      <c r="J28" s="186">
        <v>3.8418705230436547</v>
      </c>
      <c r="K28" s="186">
        <v>4.0787944316799569</v>
      </c>
      <c r="L28" s="186">
        <v>4.0183808622786863</v>
      </c>
      <c r="M28" s="186">
        <v>4.0172933409873703</v>
      </c>
      <c r="N28" s="186">
        <v>3.8964552238805967</v>
      </c>
      <c r="O28" s="22">
        <f t="shared" si="1"/>
        <v>48.086589578426235</v>
      </c>
    </row>
    <row r="29" spans="2:16" x14ac:dyDescent="0.2">
      <c r="B29" s="83" t="s">
        <v>324</v>
      </c>
      <c r="C29" s="186">
        <v>4</v>
      </c>
      <c r="D29" s="186">
        <v>4</v>
      </c>
      <c r="E29" s="186">
        <v>4</v>
      </c>
      <c r="F29" s="186">
        <v>4</v>
      </c>
      <c r="G29" s="186">
        <v>2</v>
      </c>
      <c r="H29" s="186">
        <v>1.9999719301096293</v>
      </c>
      <c r="I29" s="186">
        <v>2</v>
      </c>
      <c r="J29" s="186">
        <v>2</v>
      </c>
      <c r="K29" s="186">
        <v>2</v>
      </c>
      <c r="L29" s="186">
        <v>2</v>
      </c>
      <c r="M29" s="186">
        <v>2</v>
      </c>
      <c r="N29" s="186">
        <v>2</v>
      </c>
      <c r="O29" s="22">
        <f t="shared" si="1"/>
        <v>31.999971930109631</v>
      </c>
    </row>
    <row r="30" spans="2:16" x14ac:dyDescent="0.2">
      <c r="B30" s="83" t="s">
        <v>211</v>
      </c>
      <c r="C30" s="186">
        <v>5.0130693501152717</v>
      </c>
      <c r="D30" s="186">
        <v>5.1748862857498912</v>
      </c>
      <c r="E30" s="186">
        <v>4.901177643466883</v>
      </c>
      <c r="F30" s="186">
        <v>4.975668265935572</v>
      </c>
      <c r="G30" s="186">
        <v>5.1083556607888339</v>
      </c>
      <c r="H30" s="186">
        <v>5.1238280397033344</v>
      </c>
      <c r="I30" s="186">
        <v>5.0417959266253032</v>
      </c>
      <c r="J30" s="186">
        <v>4.8582074453736173</v>
      </c>
      <c r="K30" s="186">
        <v>5</v>
      </c>
      <c r="L30" s="186">
        <v>4.9655044510385755</v>
      </c>
      <c r="M30" s="186">
        <v>5.101185884210337</v>
      </c>
      <c r="N30" s="186">
        <v>4.8688171657187969</v>
      </c>
      <c r="O30" s="22">
        <f t="shared" si="1"/>
        <v>60.132496118726415</v>
      </c>
    </row>
    <row r="31" spans="2:16" x14ac:dyDescent="0.2">
      <c r="B31" s="83" t="s">
        <v>212</v>
      </c>
      <c r="C31" s="186">
        <v>0</v>
      </c>
      <c r="D31" s="186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186">
        <v>0</v>
      </c>
      <c r="L31" s="186">
        <v>0</v>
      </c>
      <c r="M31" s="186">
        <v>0</v>
      </c>
      <c r="N31" s="186">
        <v>0</v>
      </c>
      <c r="O31" s="22">
        <f t="shared" si="1"/>
        <v>0</v>
      </c>
    </row>
    <row r="32" spans="2:16" x14ac:dyDescent="0.2">
      <c r="B32" s="83" t="s">
        <v>247</v>
      </c>
      <c r="C32" s="186">
        <v>2.9999999999999996</v>
      </c>
      <c r="D32" s="186">
        <v>2.9999999999999996</v>
      </c>
      <c r="E32" s="186">
        <v>2.9999999999999996</v>
      </c>
      <c r="F32" s="186">
        <v>2.9999999999999996</v>
      </c>
      <c r="G32" s="186">
        <v>2.9999999999999996</v>
      </c>
      <c r="H32" s="186">
        <v>3.0000127913274506</v>
      </c>
      <c r="I32" s="186">
        <v>3</v>
      </c>
      <c r="J32" s="186">
        <v>3</v>
      </c>
      <c r="K32" s="186">
        <v>3</v>
      </c>
      <c r="L32" s="186">
        <v>3</v>
      </c>
      <c r="M32" s="186">
        <v>2.9999999999999996</v>
      </c>
      <c r="N32" s="186">
        <v>2.9999999999999996</v>
      </c>
      <c r="O32" s="22">
        <f t="shared" si="1"/>
        <v>36.00001279132745</v>
      </c>
    </row>
    <row r="33" spans="2:15" x14ac:dyDescent="0.2">
      <c r="B33" s="83" t="s">
        <v>248</v>
      </c>
      <c r="C33" s="186">
        <v>5.9999999999999991</v>
      </c>
      <c r="D33" s="186">
        <v>5.9999999999999991</v>
      </c>
      <c r="E33" s="186">
        <v>5.9999999999999991</v>
      </c>
      <c r="F33" s="186">
        <v>5.9999999999999991</v>
      </c>
      <c r="G33" s="186">
        <v>5.9999999999999991</v>
      </c>
      <c r="H33" s="186">
        <v>6.0000255826549012</v>
      </c>
      <c r="I33" s="186">
        <v>6</v>
      </c>
      <c r="J33" s="186">
        <v>6.7666701791359323</v>
      </c>
      <c r="K33" s="186">
        <v>7</v>
      </c>
      <c r="L33" s="186">
        <v>7</v>
      </c>
      <c r="M33" s="186">
        <v>7</v>
      </c>
      <c r="N33" s="186">
        <v>7</v>
      </c>
      <c r="O33" s="22">
        <f t="shared" si="1"/>
        <v>76.766695761790828</v>
      </c>
    </row>
    <row r="34" spans="2:15" x14ac:dyDescent="0.2">
      <c r="B34" s="80">
        <v>99</v>
      </c>
      <c r="C34" s="854"/>
      <c r="D34" s="855"/>
      <c r="E34" s="855"/>
      <c r="F34" s="855"/>
      <c r="G34" s="855"/>
      <c r="H34" s="857" t="s">
        <v>600</v>
      </c>
      <c r="I34" s="855"/>
      <c r="J34" s="855"/>
      <c r="K34" s="855"/>
      <c r="L34" s="855"/>
      <c r="M34" s="855"/>
      <c r="N34" s="855"/>
      <c r="O34" s="856"/>
    </row>
    <row r="35" spans="2:15" x14ac:dyDescent="0.2">
      <c r="B35" s="80" t="s">
        <v>297</v>
      </c>
      <c r="C35" s="43">
        <f t="shared" ref="C35:O35" si="2">SUM(C13:C34)</f>
        <v>851159.17105035076</v>
      </c>
      <c r="D35" s="43">
        <f t="shared" si="2"/>
        <v>860099.8230356623</v>
      </c>
      <c r="E35" s="43">
        <f t="shared" si="2"/>
        <v>810762.8218296495</v>
      </c>
      <c r="F35" s="43">
        <f t="shared" si="2"/>
        <v>848487.73557747283</v>
      </c>
      <c r="G35" s="43">
        <f t="shared" si="2"/>
        <v>811672.60593412525</v>
      </c>
      <c r="H35" s="43">
        <f t="shared" si="2"/>
        <v>838433.51595005032</v>
      </c>
      <c r="I35" s="43">
        <f t="shared" si="2"/>
        <v>841603.52068070101</v>
      </c>
      <c r="J35" s="43">
        <f t="shared" si="2"/>
        <v>764493.72807058494</v>
      </c>
      <c r="K35" s="43">
        <f t="shared" si="2"/>
        <v>872555.52159902721</v>
      </c>
      <c r="L35" s="43">
        <f t="shared" si="2"/>
        <v>857050.96012735355</v>
      </c>
      <c r="M35" s="43">
        <f t="shared" si="2"/>
        <v>861214.74799908488</v>
      </c>
      <c r="N35" s="43">
        <f t="shared" si="2"/>
        <v>823300.032169502</v>
      </c>
      <c r="O35" s="43">
        <f t="shared" si="2"/>
        <v>10040834.184023565</v>
      </c>
    </row>
    <row r="36" spans="2:15" x14ac:dyDescent="0.2">
      <c r="B36" s="80"/>
    </row>
    <row r="37" spans="2:15" x14ac:dyDescent="0.2"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</row>
    <row r="38" spans="2:15" x14ac:dyDescent="0.2">
      <c r="B38" s="89" t="s">
        <v>302</v>
      </c>
    </row>
    <row r="39" spans="2:15" x14ac:dyDescent="0.2">
      <c r="B39" s="80" t="s">
        <v>205</v>
      </c>
      <c r="C39" s="186">
        <v>299206.70899999997</v>
      </c>
      <c r="D39" s="186">
        <v>286382.19699999999</v>
      </c>
      <c r="E39" s="186">
        <v>273422.99099999998</v>
      </c>
      <c r="F39" s="186">
        <v>280968.92</v>
      </c>
      <c r="G39" s="186">
        <v>269903.56099999999</v>
      </c>
      <c r="H39" s="186">
        <v>284689.35600000003</v>
      </c>
      <c r="I39" s="186">
        <v>289438.478</v>
      </c>
      <c r="J39" s="186">
        <v>267079.92800000001</v>
      </c>
      <c r="K39" s="186">
        <v>290554.50799999997</v>
      </c>
      <c r="L39" s="186">
        <v>287258.95400000003</v>
      </c>
      <c r="M39" s="186">
        <v>285611.61800000002</v>
      </c>
      <c r="N39" s="186">
        <v>338595.58</v>
      </c>
      <c r="O39" s="22">
        <f>SUM(C39:N39)</f>
        <v>3453112.8</v>
      </c>
    </row>
    <row r="40" spans="2:15" x14ac:dyDescent="0.2">
      <c r="B40" s="80" t="s">
        <v>206</v>
      </c>
      <c r="C40" s="186">
        <v>43084.084999999999</v>
      </c>
      <c r="D40" s="186">
        <v>40720.915000000001</v>
      </c>
      <c r="E40" s="186">
        <v>39251.000999999997</v>
      </c>
      <c r="F40" s="186">
        <v>41478.165000000001</v>
      </c>
      <c r="G40" s="186">
        <v>35383.019</v>
      </c>
      <c r="H40" s="186">
        <v>34661.311000000002</v>
      </c>
      <c r="I40" s="186">
        <v>35039.822</v>
      </c>
      <c r="J40" s="186">
        <v>32922.214999999997</v>
      </c>
      <c r="K40" s="186">
        <v>35515.919000000002</v>
      </c>
      <c r="L40" s="186">
        <v>35497.504000000001</v>
      </c>
      <c r="M40" s="186">
        <v>34267.963000000003</v>
      </c>
      <c r="N40" s="186">
        <v>41493.053999999996</v>
      </c>
      <c r="O40" s="22">
        <f t="shared" ref="O40:O54" si="3">SUM(C40:N40)</f>
        <v>449314.97299999994</v>
      </c>
    </row>
    <row r="41" spans="2:15" x14ac:dyDescent="0.2">
      <c r="B41" s="80" t="s">
        <v>243</v>
      </c>
      <c r="C41" s="186">
        <v>57061</v>
      </c>
      <c r="D41" s="186">
        <v>58602</v>
      </c>
      <c r="E41" s="186">
        <v>58602</v>
      </c>
      <c r="F41" s="186">
        <v>59080</v>
      </c>
      <c r="G41" s="186">
        <v>75440</v>
      </c>
      <c r="H41" s="186">
        <v>65691</v>
      </c>
      <c r="I41" s="186">
        <v>61510.601000000002</v>
      </c>
      <c r="J41" s="186">
        <v>60748</v>
      </c>
      <c r="K41" s="186">
        <v>60798</v>
      </c>
      <c r="L41" s="186">
        <v>62130</v>
      </c>
      <c r="M41" s="186">
        <v>59713</v>
      </c>
      <c r="N41" s="186">
        <v>55707</v>
      </c>
      <c r="O41" s="22">
        <f t="shared" si="3"/>
        <v>735082.60100000002</v>
      </c>
    </row>
    <row r="42" spans="2:15" x14ac:dyDescent="0.2">
      <c r="B42" s="80" t="s">
        <v>244</v>
      </c>
      <c r="C42" s="186">
        <v>42638</v>
      </c>
      <c r="D42" s="186">
        <v>37406</v>
      </c>
      <c r="E42" s="186">
        <v>37406</v>
      </c>
      <c r="F42" s="186">
        <v>37406</v>
      </c>
      <c r="G42" s="186">
        <v>37406</v>
      </c>
      <c r="H42" s="186">
        <v>40095.934000000001</v>
      </c>
      <c r="I42" s="186">
        <v>37443.966999999997</v>
      </c>
      <c r="J42" s="186">
        <v>37406</v>
      </c>
      <c r="K42" s="186">
        <v>37406</v>
      </c>
      <c r="L42" s="186">
        <v>36530</v>
      </c>
      <c r="M42" s="186">
        <v>26585</v>
      </c>
      <c r="N42" s="186">
        <v>26585</v>
      </c>
      <c r="O42" s="22">
        <f t="shared" si="3"/>
        <v>434313.90100000001</v>
      </c>
    </row>
    <row r="43" spans="2:15" x14ac:dyDescent="0.2">
      <c r="B43" s="83" t="s">
        <v>207</v>
      </c>
      <c r="C43" s="186">
        <v>7096.2839999999997</v>
      </c>
      <c r="D43" s="186">
        <v>6845.4089999999997</v>
      </c>
      <c r="E43" s="186">
        <v>6460.2240000000002</v>
      </c>
      <c r="F43" s="186">
        <v>6808.3670000000002</v>
      </c>
      <c r="G43" s="186">
        <v>6825.1880000000001</v>
      </c>
      <c r="H43" s="186">
        <v>6726.2070000000003</v>
      </c>
      <c r="I43" s="186">
        <v>6664.5640000000003</v>
      </c>
      <c r="J43" s="186">
        <v>6315.9459999999999</v>
      </c>
      <c r="K43" s="186">
        <v>6780.259</v>
      </c>
      <c r="L43" s="186">
        <v>6617.7579999999998</v>
      </c>
      <c r="M43" s="186">
        <v>6800.5619999999999</v>
      </c>
      <c r="N43" s="186">
        <v>4462.2240000000002</v>
      </c>
      <c r="O43" s="22">
        <f t="shared" si="3"/>
        <v>78402.991999999998</v>
      </c>
    </row>
    <row r="44" spans="2:15" x14ac:dyDescent="0.2">
      <c r="B44" s="83" t="s">
        <v>208</v>
      </c>
      <c r="C44" s="186">
        <v>518.69000000000005</v>
      </c>
      <c r="D44" s="186">
        <v>510.01299999999998</v>
      </c>
      <c r="E44" s="186">
        <v>488.32299999999998</v>
      </c>
      <c r="F44" s="186">
        <v>513.17600000000004</v>
      </c>
      <c r="G44" s="186">
        <v>495.04300000000001</v>
      </c>
      <c r="H44" s="186">
        <v>490.26099999999997</v>
      </c>
      <c r="I44" s="186">
        <v>497.79899999999998</v>
      </c>
      <c r="J44" s="186">
        <v>465.29399999999998</v>
      </c>
      <c r="K44" s="186">
        <v>518.226</v>
      </c>
      <c r="L44" s="186">
        <v>498.14</v>
      </c>
      <c r="M44" s="186">
        <v>499.85300000000001</v>
      </c>
      <c r="N44" s="186">
        <v>498.16500000000002</v>
      </c>
      <c r="O44" s="22">
        <f t="shared" si="3"/>
        <v>5992.9830000000002</v>
      </c>
    </row>
    <row r="45" spans="2:15" x14ac:dyDescent="0.2">
      <c r="B45" s="80" t="s">
        <v>245</v>
      </c>
      <c r="C45" s="186">
        <v>10775</v>
      </c>
      <c r="D45" s="186">
        <v>10775</v>
      </c>
      <c r="E45" s="186">
        <v>10775</v>
      </c>
      <c r="F45" s="186">
        <v>10775</v>
      </c>
      <c r="G45" s="186">
        <v>10775</v>
      </c>
      <c r="H45" s="186">
        <v>10775</v>
      </c>
      <c r="I45" s="186">
        <v>10775</v>
      </c>
      <c r="J45" s="186">
        <v>10775</v>
      </c>
      <c r="K45" s="186">
        <v>10775</v>
      </c>
      <c r="L45" s="186">
        <v>10775</v>
      </c>
      <c r="M45" s="186">
        <v>12175</v>
      </c>
      <c r="N45" s="186">
        <v>10775</v>
      </c>
      <c r="O45" s="22">
        <f t="shared" si="3"/>
        <v>130700</v>
      </c>
    </row>
    <row r="46" spans="2:15" x14ac:dyDescent="0.2">
      <c r="B46" s="80" t="s">
        <v>246</v>
      </c>
      <c r="C46" s="186">
        <v>45698</v>
      </c>
      <c r="D46" s="186">
        <v>43998</v>
      </c>
      <c r="E46" s="186">
        <v>44998</v>
      </c>
      <c r="F46" s="186">
        <v>47143.334000000003</v>
      </c>
      <c r="G46" s="186">
        <v>49840</v>
      </c>
      <c r="H46" s="186">
        <v>45913</v>
      </c>
      <c r="I46" s="186">
        <v>45863</v>
      </c>
      <c r="J46" s="186">
        <v>45976</v>
      </c>
      <c r="K46" s="186">
        <v>47273</v>
      </c>
      <c r="L46" s="186">
        <v>46772</v>
      </c>
      <c r="M46" s="186">
        <v>46208</v>
      </c>
      <c r="N46" s="186">
        <v>45894</v>
      </c>
      <c r="O46" s="22">
        <f t="shared" si="3"/>
        <v>555576.33400000003</v>
      </c>
    </row>
    <row r="47" spans="2:15" x14ac:dyDescent="0.2">
      <c r="B47" s="83" t="s">
        <v>209</v>
      </c>
      <c r="C47" s="186">
        <v>6653.8180000000002</v>
      </c>
      <c r="D47" s="186">
        <v>6722.4350000000004</v>
      </c>
      <c r="E47" s="186">
        <v>6371.8159999999998</v>
      </c>
      <c r="F47" s="186">
        <v>6929.2560000000003</v>
      </c>
      <c r="G47" s="186">
        <v>6788.3680000000004</v>
      </c>
      <c r="H47" s="186">
        <v>6850.5789999999997</v>
      </c>
      <c r="I47" s="186">
        <v>6691.5240000000003</v>
      </c>
      <c r="J47" s="186">
        <v>6174.0619999999999</v>
      </c>
      <c r="K47" s="186">
        <v>7285.4610000000002</v>
      </c>
      <c r="L47" s="186">
        <v>6868.29</v>
      </c>
      <c r="M47" s="186">
        <v>6677.3860000000004</v>
      </c>
      <c r="N47" s="186">
        <v>6560.8559999999998</v>
      </c>
      <c r="O47" s="22">
        <f t="shared" si="3"/>
        <v>80573.850999999995</v>
      </c>
    </row>
    <row r="48" spans="2:15" x14ac:dyDescent="0.2">
      <c r="B48" s="83" t="s">
        <v>210</v>
      </c>
      <c r="C48" s="186">
        <v>138.94300000000001</v>
      </c>
      <c r="D48" s="186">
        <v>132.232</v>
      </c>
      <c r="E48" s="186">
        <v>128.99199999999999</v>
      </c>
      <c r="F48" s="186">
        <v>139.04499999999999</v>
      </c>
      <c r="G48" s="186">
        <v>127.645</v>
      </c>
      <c r="H48" s="186">
        <v>133.49100000000001</v>
      </c>
      <c r="I48" s="186">
        <v>136.14599999999999</v>
      </c>
      <c r="J48" s="186">
        <v>118.42700000000001</v>
      </c>
      <c r="K48" s="186">
        <v>135.71199999999999</v>
      </c>
      <c r="L48" s="186">
        <v>136.22900000000001</v>
      </c>
      <c r="M48" s="186">
        <v>132.31299999999999</v>
      </c>
      <c r="N48" s="186">
        <v>128.92699999999999</v>
      </c>
      <c r="O48" s="22">
        <f t="shared" si="3"/>
        <v>1588.1019999999996</v>
      </c>
    </row>
    <row r="49" spans="2:16" x14ac:dyDescent="0.2">
      <c r="B49" s="83" t="s">
        <v>324</v>
      </c>
      <c r="C49" s="186">
        <v>750</v>
      </c>
      <c r="D49" s="186">
        <v>750</v>
      </c>
      <c r="E49" s="186">
        <v>750</v>
      </c>
      <c r="F49" s="186">
        <v>750</v>
      </c>
      <c r="G49" s="186">
        <v>750</v>
      </c>
      <c r="H49" s="186">
        <v>750</v>
      </c>
      <c r="I49" s="186">
        <v>750</v>
      </c>
      <c r="J49" s="186">
        <v>750</v>
      </c>
      <c r="K49" s="186">
        <v>750</v>
      </c>
      <c r="L49" s="186">
        <v>750</v>
      </c>
      <c r="M49" s="186">
        <v>1500</v>
      </c>
      <c r="N49" s="186">
        <v>750</v>
      </c>
      <c r="O49" s="22">
        <f t="shared" si="3"/>
        <v>9750</v>
      </c>
    </row>
    <row r="50" spans="2:16" x14ac:dyDescent="0.2">
      <c r="B50" s="83" t="s">
        <v>211</v>
      </c>
      <c r="C50" s="186">
        <v>0</v>
      </c>
      <c r="D50" s="186">
        <v>0</v>
      </c>
      <c r="E50" s="186">
        <v>0</v>
      </c>
      <c r="F50" s="186">
        <v>0</v>
      </c>
      <c r="G50" s="186">
        <v>0</v>
      </c>
      <c r="H50" s="186">
        <v>0</v>
      </c>
      <c r="I50" s="186">
        <v>0</v>
      </c>
      <c r="J50" s="186">
        <v>0</v>
      </c>
      <c r="K50" s="186">
        <v>0</v>
      </c>
      <c r="L50" s="186">
        <v>0</v>
      </c>
      <c r="M50" s="186">
        <v>0</v>
      </c>
      <c r="N50" s="186">
        <v>0</v>
      </c>
      <c r="O50" s="22">
        <f t="shared" si="3"/>
        <v>0</v>
      </c>
    </row>
    <row r="51" spans="2:16" x14ac:dyDescent="0.2">
      <c r="B51" s="83" t="s">
        <v>212</v>
      </c>
      <c r="C51" s="186">
        <v>0</v>
      </c>
      <c r="D51" s="186">
        <v>0</v>
      </c>
      <c r="E51" s="186">
        <v>0</v>
      </c>
      <c r="F51" s="186">
        <v>0</v>
      </c>
      <c r="G51" s="186">
        <v>0</v>
      </c>
      <c r="H51" s="186">
        <v>0</v>
      </c>
      <c r="I51" s="186">
        <v>0</v>
      </c>
      <c r="J51" s="186">
        <v>0</v>
      </c>
      <c r="K51" s="186">
        <v>0</v>
      </c>
      <c r="L51" s="186">
        <v>0</v>
      </c>
      <c r="M51" s="186">
        <v>0</v>
      </c>
      <c r="N51" s="186">
        <v>0</v>
      </c>
      <c r="O51" s="22">
        <f t="shared" si="3"/>
        <v>0</v>
      </c>
    </row>
    <row r="52" spans="2:16" x14ac:dyDescent="0.2">
      <c r="B52" s="80" t="s">
        <v>247</v>
      </c>
      <c r="C52" s="186">
        <v>4</v>
      </c>
      <c r="D52" s="186">
        <v>4</v>
      </c>
      <c r="E52" s="186">
        <v>4</v>
      </c>
      <c r="F52" s="186">
        <v>4</v>
      </c>
      <c r="G52" s="186">
        <v>6</v>
      </c>
      <c r="H52" s="186">
        <v>6</v>
      </c>
      <c r="I52" s="186">
        <v>4</v>
      </c>
      <c r="J52" s="186">
        <v>4</v>
      </c>
      <c r="K52" s="186">
        <v>4</v>
      </c>
      <c r="L52" s="186">
        <v>4</v>
      </c>
      <c r="M52" s="186">
        <v>4</v>
      </c>
      <c r="N52" s="186">
        <v>4</v>
      </c>
      <c r="O52" s="22">
        <f t="shared" si="3"/>
        <v>52</v>
      </c>
    </row>
    <row r="53" spans="2:16" x14ac:dyDescent="0.2">
      <c r="B53" s="80" t="s">
        <v>248</v>
      </c>
      <c r="C53" s="186">
        <v>23930</v>
      </c>
      <c r="D53" s="186">
        <v>23930</v>
      </c>
      <c r="E53" s="186">
        <v>23930</v>
      </c>
      <c r="F53" s="186">
        <v>24030</v>
      </c>
      <c r="G53" s="186">
        <v>24030</v>
      </c>
      <c r="H53" s="186">
        <v>23930</v>
      </c>
      <c r="I53" s="186">
        <v>23930</v>
      </c>
      <c r="J53" s="186">
        <v>23930</v>
      </c>
      <c r="K53" s="186">
        <v>23930</v>
      </c>
      <c r="L53" s="186">
        <v>23930</v>
      </c>
      <c r="M53" s="186">
        <v>23930</v>
      </c>
      <c r="N53" s="186">
        <v>23930</v>
      </c>
      <c r="O53" s="22">
        <f t="shared" si="3"/>
        <v>287360</v>
      </c>
    </row>
    <row r="54" spans="2:16" x14ac:dyDescent="0.2">
      <c r="B54" s="80">
        <v>99</v>
      </c>
      <c r="C54" s="854"/>
      <c r="D54" s="855"/>
      <c r="E54" s="855"/>
      <c r="F54" s="855"/>
      <c r="G54" s="855"/>
      <c r="H54" s="857" t="s">
        <v>600</v>
      </c>
      <c r="I54" s="855"/>
      <c r="J54" s="855"/>
      <c r="K54" s="855"/>
      <c r="L54" s="855"/>
      <c r="M54" s="855"/>
      <c r="N54" s="855"/>
      <c r="O54" s="856"/>
    </row>
    <row r="55" spans="2:16" x14ac:dyDescent="0.2">
      <c r="B55" s="80" t="s">
        <v>113</v>
      </c>
      <c r="C55" s="43">
        <f t="shared" ref="C55:H55" si="4">SUM(C39:C54)</f>
        <v>537554.5290000001</v>
      </c>
      <c r="D55" s="43">
        <f t="shared" si="4"/>
        <v>516778.20099999994</v>
      </c>
      <c r="E55" s="43">
        <f t="shared" si="4"/>
        <v>502588.34699999995</v>
      </c>
      <c r="F55" s="43">
        <f t="shared" si="4"/>
        <v>516025.26299999992</v>
      </c>
      <c r="G55" s="43">
        <f t="shared" si="4"/>
        <v>517769.82400000002</v>
      </c>
      <c r="H55" s="43">
        <f t="shared" si="4"/>
        <v>520712.13900000002</v>
      </c>
      <c r="I55" s="43">
        <f>SUM(I39:I54)</f>
        <v>518744.90100000001</v>
      </c>
      <c r="J55" s="43">
        <f>SUM(J39:J54)</f>
        <v>492664.87200000003</v>
      </c>
      <c r="K55" s="43">
        <f>SUM(K39:K54)</f>
        <v>521726.08500000002</v>
      </c>
      <c r="L55" s="43">
        <f t="shared" ref="L55:N55" si="5">SUM(L39:L54)</f>
        <v>517767.875</v>
      </c>
      <c r="M55" s="43">
        <f t="shared" si="5"/>
        <v>504104.69500000001</v>
      </c>
      <c r="N55" s="43">
        <f t="shared" si="5"/>
        <v>555383.80599999998</v>
      </c>
      <c r="O55" s="43">
        <f>SUM(O39:O54)</f>
        <v>6221820.5369999986</v>
      </c>
    </row>
    <row r="56" spans="2:16" s="30" customFormat="1" x14ac:dyDescent="0.2">
      <c r="B56" s="80"/>
      <c r="C56"/>
      <c r="D56"/>
      <c r="E56"/>
      <c r="F56"/>
      <c r="G56"/>
      <c r="H56"/>
      <c r="I56"/>
      <c r="J56"/>
      <c r="K56"/>
      <c r="L56"/>
      <c r="M56"/>
      <c r="N56"/>
      <c r="O56" s="22"/>
      <c r="P56"/>
    </row>
    <row r="57" spans="2:16" x14ac:dyDescent="0.2"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</row>
    <row r="58" spans="2:16" x14ac:dyDescent="0.2">
      <c r="B58" s="95" t="s">
        <v>296</v>
      </c>
    </row>
    <row r="59" spans="2:16" x14ac:dyDescent="0.2">
      <c r="B59" t="s">
        <v>207</v>
      </c>
      <c r="C59" s="187">
        <v>0</v>
      </c>
      <c r="D59" s="187">
        <v>0</v>
      </c>
      <c r="E59" s="187">
        <v>0</v>
      </c>
      <c r="F59" s="187">
        <v>0</v>
      </c>
      <c r="G59" s="187">
        <v>0</v>
      </c>
      <c r="H59" s="187">
        <v>0</v>
      </c>
      <c r="I59" s="187">
        <v>0</v>
      </c>
      <c r="J59" s="187">
        <v>0</v>
      </c>
      <c r="K59" s="187">
        <v>0</v>
      </c>
      <c r="L59" s="187">
        <v>0</v>
      </c>
      <c r="M59" s="187">
        <v>0</v>
      </c>
      <c r="N59" s="187">
        <v>0</v>
      </c>
      <c r="O59" s="23">
        <f>SUM(C59:N59)</f>
        <v>0</v>
      </c>
    </row>
    <row r="60" spans="2:16" x14ac:dyDescent="0.2">
      <c r="B60" t="s">
        <v>208</v>
      </c>
      <c r="C60" s="187"/>
      <c r="D60" s="187">
        <v>0</v>
      </c>
      <c r="E60" s="187"/>
      <c r="F60" s="187">
        <v>0</v>
      </c>
      <c r="G60" s="187">
        <v>0</v>
      </c>
      <c r="H60" s="187">
        <v>0</v>
      </c>
      <c r="I60" s="187">
        <v>0</v>
      </c>
      <c r="J60" s="187"/>
      <c r="K60" s="187"/>
      <c r="L60" s="187"/>
      <c r="M60" s="187"/>
      <c r="N60" s="187"/>
      <c r="O60" s="23">
        <f t="shared" ref="O60:O68" si="6">SUM(C60:N60)</f>
        <v>0</v>
      </c>
    </row>
    <row r="61" spans="2:16" x14ac:dyDescent="0.2">
      <c r="B61" t="s">
        <v>245</v>
      </c>
      <c r="C61" s="187">
        <v>0</v>
      </c>
      <c r="D61" s="187">
        <v>0</v>
      </c>
      <c r="E61" s="187">
        <v>0</v>
      </c>
      <c r="F61" s="187">
        <v>0</v>
      </c>
      <c r="G61" s="187">
        <v>0</v>
      </c>
      <c r="H61" s="187"/>
      <c r="I61" s="187"/>
      <c r="J61" s="187">
        <v>0</v>
      </c>
      <c r="K61" s="187">
        <v>0</v>
      </c>
      <c r="L61" s="187"/>
      <c r="M61" s="187">
        <v>0</v>
      </c>
      <c r="N61" s="187">
        <v>0</v>
      </c>
      <c r="O61" s="23">
        <f t="shared" si="6"/>
        <v>0</v>
      </c>
    </row>
    <row r="62" spans="2:16" x14ac:dyDescent="0.2">
      <c r="B62" t="s">
        <v>246</v>
      </c>
      <c r="C62" s="187">
        <v>0</v>
      </c>
      <c r="D62" s="187">
        <v>4811.83</v>
      </c>
      <c r="E62" s="187">
        <v>0</v>
      </c>
      <c r="F62" s="187">
        <v>0</v>
      </c>
      <c r="G62" s="187">
        <v>0</v>
      </c>
      <c r="H62" s="187">
        <v>0</v>
      </c>
      <c r="I62" s="187">
        <v>0</v>
      </c>
      <c r="J62" s="187">
        <v>0</v>
      </c>
      <c r="K62" s="187">
        <v>0</v>
      </c>
      <c r="L62" s="187">
        <v>7750.42</v>
      </c>
      <c r="M62" s="187">
        <v>0</v>
      </c>
      <c r="N62" s="187">
        <v>0</v>
      </c>
      <c r="O62" s="23">
        <f t="shared" si="6"/>
        <v>12562.25</v>
      </c>
    </row>
    <row r="63" spans="2:16" x14ac:dyDescent="0.2">
      <c r="B63" t="s">
        <v>209</v>
      </c>
      <c r="C63" s="187">
        <v>615.7399999999999</v>
      </c>
      <c r="D63" s="187">
        <v>17079.060000000001</v>
      </c>
      <c r="E63" s="187">
        <v>10533.02</v>
      </c>
      <c r="F63" s="187">
        <v>152.78</v>
      </c>
      <c r="G63" s="187"/>
      <c r="H63" s="187">
        <v>0</v>
      </c>
      <c r="I63" s="187">
        <v>0</v>
      </c>
      <c r="J63" s="187">
        <v>0</v>
      </c>
      <c r="K63" s="187">
        <v>0</v>
      </c>
      <c r="L63" s="187">
        <v>0</v>
      </c>
      <c r="M63" s="187">
        <v>0</v>
      </c>
      <c r="N63" s="187">
        <v>0</v>
      </c>
      <c r="O63" s="23">
        <f t="shared" si="6"/>
        <v>28380.600000000002</v>
      </c>
    </row>
    <row r="64" spans="2:16" x14ac:dyDescent="0.2">
      <c r="B64" t="s">
        <v>210</v>
      </c>
      <c r="C64" s="187">
        <v>265.83999999999997</v>
      </c>
      <c r="D64" s="187">
        <v>67.319999999999993</v>
      </c>
      <c r="E64" s="187">
        <v>0</v>
      </c>
      <c r="F64" s="187"/>
      <c r="G64" s="187"/>
      <c r="H64" s="187"/>
      <c r="I64" s="187"/>
      <c r="J64" s="187"/>
      <c r="K64" s="187"/>
      <c r="L64" s="187"/>
      <c r="M64" s="187"/>
      <c r="N64" s="187"/>
      <c r="O64" s="23">
        <f t="shared" si="6"/>
        <v>333.15999999999997</v>
      </c>
    </row>
    <row r="65" spans="2:16" x14ac:dyDescent="0.2">
      <c r="B65" t="s">
        <v>324</v>
      </c>
      <c r="C65" s="187">
        <v>2626.2999999999997</v>
      </c>
      <c r="D65" s="187"/>
      <c r="E65" s="187">
        <v>2626.2999999999997</v>
      </c>
      <c r="F65" s="187">
        <v>3270.99</v>
      </c>
      <c r="G65" s="187"/>
      <c r="H65" s="187"/>
      <c r="I65" s="187"/>
      <c r="J65" s="187"/>
      <c r="K65" s="187"/>
      <c r="L65" s="187"/>
      <c r="M65" s="187"/>
      <c r="N65" s="187"/>
      <c r="O65" s="23">
        <f t="shared" si="6"/>
        <v>8523.59</v>
      </c>
    </row>
    <row r="66" spans="2:16" x14ac:dyDescent="0.2">
      <c r="B66" t="s">
        <v>211</v>
      </c>
      <c r="C66" s="187"/>
      <c r="D66" s="187">
        <v>0</v>
      </c>
      <c r="E66" s="187">
        <v>42191.22</v>
      </c>
      <c r="F66" s="187">
        <v>0</v>
      </c>
      <c r="G66" s="187"/>
      <c r="H66" s="187"/>
      <c r="I66" s="187"/>
      <c r="J66" s="187"/>
      <c r="K66" s="187"/>
      <c r="L66" s="187"/>
      <c r="M66" s="187"/>
      <c r="N66" s="187"/>
      <c r="O66" s="23">
        <f t="shared" si="6"/>
        <v>42191.22</v>
      </c>
    </row>
    <row r="67" spans="2:16" x14ac:dyDescent="0.2">
      <c r="B67" t="s">
        <v>247</v>
      </c>
      <c r="C67" s="187"/>
      <c r="D67" s="187"/>
      <c r="E67" s="187"/>
      <c r="F67" s="187">
        <v>0</v>
      </c>
      <c r="G67" s="187">
        <v>0</v>
      </c>
      <c r="H67" s="187"/>
      <c r="I67" s="187">
        <v>0</v>
      </c>
      <c r="J67" s="187"/>
      <c r="K67" s="187"/>
      <c r="L67" s="187"/>
      <c r="M67" s="187"/>
      <c r="N67" s="187"/>
      <c r="O67" s="23">
        <f t="shared" si="6"/>
        <v>0</v>
      </c>
    </row>
    <row r="68" spans="2:16" x14ac:dyDescent="0.2">
      <c r="B68" t="s">
        <v>248</v>
      </c>
      <c r="C68" s="187">
        <v>0</v>
      </c>
      <c r="D68" s="187"/>
      <c r="E68" s="187"/>
      <c r="F68" s="187"/>
      <c r="G68" s="187">
        <v>0</v>
      </c>
      <c r="H68" s="187">
        <v>0</v>
      </c>
      <c r="I68" s="187">
        <v>0</v>
      </c>
      <c r="J68" s="187"/>
      <c r="K68" s="187"/>
      <c r="L68" s="187">
        <v>0</v>
      </c>
      <c r="M68" s="187"/>
      <c r="N68" s="187"/>
      <c r="O68" s="23">
        <f t="shared" si="6"/>
        <v>0</v>
      </c>
    </row>
    <row r="69" spans="2:16" x14ac:dyDescent="0.2">
      <c r="B69" t="s">
        <v>113</v>
      </c>
      <c r="C69" s="24">
        <f t="shared" ref="C69:O69" si="7">SUM(C59:C68)</f>
        <v>3507.8799999999997</v>
      </c>
      <c r="D69" s="24">
        <f t="shared" si="7"/>
        <v>21958.21</v>
      </c>
      <c r="E69" s="24">
        <f t="shared" si="7"/>
        <v>55350.54</v>
      </c>
      <c r="F69" s="24">
        <f t="shared" si="7"/>
        <v>3423.77</v>
      </c>
      <c r="G69" s="24">
        <f t="shared" si="7"/>
        <v>0</v>
      </c>
      <c r="H69" s="24">
        <f t="shared" si="7"/>
        <v>0</v>
      </c>
      <c r="I69" s="24">
        <f t="shared" si="7"/>
        <v>0</v>
      </c>
      <c r="J69" s="24">
        <f t="shared" si="7"/>
        <v>0</v>
      </c>
      <c r="K69" s="24">
        <f t="shared" si="7"/>
        <v>0</v>
      </c>
      <c r="L69" s="24">
        <f t="shared" si="7"/>
        <v>7750.42</v>
      </c>
      <c r="M69" s="24">
        <f t="shared" si="7"/>
        <v>0</v>
      </c>
      <c r="N69" s="24">
        <f t="shared" si="7"/>
        <v>0</v>
      </c>
      <c r="O69" s="24">
        <f t="shared" si="7"/>
        <v>91990.82</v>
      </c>
    </row>
    <row r="72" spans="2:16" x14ac:dyDescent="0.2">
      <c r="B72" t="s">
        <v>545</v>
      </c>
    </row>
    <row r="73" spans="2:16" x14ac:dyDescent="0.2"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</row>
    <row r="74" spans="2:16" s="30" customFormat="1" x14ac:dyDescent="0.2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</row>
    <row r="75" spans="2:16" s="30" customFormat="1" x14ac:dyDescent="0.2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</row>
    <row r="76" spans="2:16" s="30" customFormat="1" x14ac:dyDescent="0.2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</row>
    <row r="77" spans="2:16" s="30" customFormat="1" x14ac:dyDescent="0.2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</row>
    <row r="78" spans="2:16" s="30" customFormat="1" x14ac:dyDescent="0.2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</row>
    <row r="79" spans="2:16" s="30" customFormat="1" x14ac:dyDescent="0.2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</row>
    <row r="80" spans="2:16" s="30" customFormat="1" x14ac:dyDescent="0.2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</row>
    <row r="81" spans="2:16" s="30" customFormat="1" x14ac:dyDescent="0.2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2:16" s="30" customFormat="1" x14ac:dyDescent="0.2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2:16" s="30" customFormat="1" x14ac:dyDescent="0.2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2:16" s="30" customFormat="1" x14ac:dyDescent="0.2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2:16" s="30" customFormat="1" x14ac:dyDescent="0.2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</row>
    <row r="86" spans="2:16" s="30" customFormat="1" x14ac:dyDescent="0.2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</row>
    <row r="87" spans="2:16" s="30" customFormat="1" x14ac:dyDescent="0.2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</row>
    <row r="88" spans="2:16" s="30" customFormat="1" x14ac:dyDescent="0.2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</row>
    <row r="89" spans="2:16" s="30" customFormat="1" x14ac:dyDescent="0.2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</row>
    <row r="90" spans="2:16" s="30" customFormat="1" x14ac:dyDescent="0.2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</row>
    <row r="91" spans="2:16" s="30" customFormat="1" x14ac:dyDescent="0.2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</row>
    <row r="111" spans="17:17" x14ac:dyDescent="0.2">
      <c r="Q111" s="17"/>
    </row>
    <row r="112" spans="17:17" x14ac:dyDescent="0.2">
      <c r="Q112" s="185"/>
    </row>
    <row r="199" spans="2:16" s="30" customFormat="1" x14ac:dyDescent="0.2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</row>
    <row r="200" spans="2:16" s="30" customFormat="1" x14ac:dyDescent="0.2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</row>
    <row r="201" spans="2:16" s="30" customFormat="1" x14ac:dyDescent="0.2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</row>
    <row r="202" spans="2:16" s="30" customFormat="1" x14ac:dyDescent="0.2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</row>
    <row r="203" spans="2:16" s="30" customFormat="1" x14ac:dyDescent="0.2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</row>
    <row r="204" spans="2:16" s="30" customFormat="1" x14ac:dyDescent="0.2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</row>
    <row r="205" spans="2:16" s="30" customFormat="1" x14ac:dyDescent="0.2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</row>
    <row r="206" spans="2:16" s="30" customFormat="1" x14ac:dyDescent="0.2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</row>
    <row r="207" spans="2:16" s="30" customFormat="1" x14ac:dyDescent="0.2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</row>
    <row r="208" spans="2:16" s="30" customFormat="1" x14ac:dyDescent="0.2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</row>
    <row r="209" spans="2:16" s="30" customFormat="1" x14ac:dyDescent="0.2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2:16" s="30" customFormat="1" x14ac:dyDescent="0.2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</row>
    <row r="211" spans="2:16" s="30" customFormat="1" x14ac:dyDescent="0.2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</row>
    <row r="212" spans="2:16" s="30" customFormat="1" x14ac:dyDescent="0.2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</row>
    <row r="240" ht="13.5" customHeight="1" x14ac:dyDescent="0.2"/>
  </sheetData>
  <mergeCells count="4">
    <mergeCell ref="B1:O1"/>
    <mergeCell ref="B4:O4"/>
    <mergeCell ref="B2:O2"/>
    <mergeCell ref="B3:O3"/>
  </mergeCells>
  <phoneticPr fontId="9" type="noConversion"/>
  <printOptions horizontalCentered="1"/>
  <pageMargins left="0.42" right="0.45" top="0.68" bottom="0.73" header="0.5" footer="0.5"/>
  <pageSetup scale="69" fitToHeight="2" orientation="landscape" horizontalDpi="300" verticalDpi="300" r:id="rId1"/>
  <headerFooter alignWithMargins="0">
    <oddFooter>&amp;L&amp;F  
&amp;A&amp;C&amp;P&amp;R&amp;D</oddFooter>
  </headerFooter>
  <rowBreaks count="1" manualBreakCount="1">
    <brk id="56" min="1" max="1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zoomScaleNormal="100" workbookViewId="0">
      <pane ySplit="6" topLeftCell="A22" activePane="bottomLeft" state="frozen"/>
      <selection activeCell="E33" sqref="E33"/>
      <selection pane="bottomLeft" activeCell="F71" sqref="F71"/>
    </sheetView>
  </sheetViews>
  <sheetFormatPr defaultColWidth="9.140625" defaultRowHeight="12.75" x14ac:dyDescent="0.2"/>
  <cols>
    <col min="1" max="1" width="5.42578125" style="133" customWidth="1"/>
    <col min="2" max="2" width="17.85546875" style="135" customWidth="1"/>
    <col min="3" max="3" width="50.42578125" style="133" bestFit="1" customWidth="1"/>
    <col min="4" max="4" width="7" style="135" customWidth="1"/>
    <col min="5" max="16" width="11.42578125" style="133" customWidth="1"/>
    <col min="17" max="17" width="12.42578125" style="133" customWidth="1"/>
    <col min="18" max="18" width="9.140625" style="135"/>
    <col min="19" max="19" width="12" style="135" bestFit="1" customWidth="1"/>
    <col min="20" max="16384" width="9.140625" style="135"/>
  </cols>
  <sheetData>
    <row r="1" spans="1:21" x14ac:dyDescent="0.2">
      <c r="B1" s="848" t="s">
        <v>1</v>
      </c>
      <c r="C1" s="848"/>
      <c r="D1" s="848"/>
      <c r="E1" s="848"/>
      <c r="F1" s="848"/>
      <c r="G1" s="848"/>
      <c r="H1" s="848"/>
      <c r="I1" s="848"/>
      <c r="J1" s="848"/>
      <c r="K1" s="848"/>
      <c r="L1" s="848"/>
      <c r="M1" s="848"/>
      <c r="N1" s="848"/>
      <c r="O1" s="848"/>
      <c r="P1" s="848"/>
      <c r="Q1" s="848"/>
    </row>
    <row r="2" spans="1:21" x14ac:dyDescent="0.2">
      <c r="B2" s="848" t="s">
        <v>397</v>
      </c>
      <c r="C2" s="848"/>
      <c r="D2" s="848"/>
      <c r="E2" s="848"/>
      <c r="F2" s="848"/>
      <c r="G2" s="848"/>
      <c r="H2" s="848"/>
      <c r="I2" s="848"/>
      <c r="J2" s="848"/>
      <c r="K2" s="848"/>
      <c r="L2" s="848"/>
      <c r="M2" s="848"/>
      <c r="N2" s="848"/>
      <c r="O2" s="848"/>
      <c r="P2" s="848"/>
      <c r="Q2" s="848"/>
    </row>
    <row r="3" spans="1:21" x14ac:dyDescent="0.2">
      <c r="B3" s="848" t="s">
        <v>398</v>
      </c>
      <c r="C3" s="848"/>
      <c r="D3" s="848"/>
      <c r="E3" s="848"/>
      <c r="F3" s="848"/>
      <c r="G3" s="848"/>
      <c r="H3" s="848"/>
      <c r="I3" s="848"/>
      <c r="J3" s="848"/>
      <c r="K3" s="848"/>
      <c r="L3" s="848"/>
      <c r="M3" s="848"/>
      <c r="N3" s="848"/>
      <c r="O3" s="848"/>
      <c r="P3" s="848"/>
      <c r="Q3" s="848"/>
    </row>
    <row r="4" spans="1:21" x14ac:dyDescent="0.2">
      <c r="B4" s="847" t="s">
        <v>542</v>
      </c>
      <c r="C4" s="847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847"/>
      <c r="O4" s="847"/>
      <c r="P4" s="847"/>
      <c r="Q4" s="847"/>
    </row>
    <row r="5" spans="1:21" x14ac:dyDescent="0.2">
      <c r="C5" s="134"/>
      <c r="D5" s="136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</row>
    <row r="6" spans="1:21" s="141" customFormat="1" x14ac:dyDescent="0.2">
      <c r="A6" s="137"/>
      <c r="B6" s="138" t="s">
        <v>116</v>
      </c>
      <c r="C6" s="139" t="s">
        <v>140</v>
      </c>
      <c r="D6" s="138" t="s">
        <v>141</v>
      </c>
      <c r="E6" s="14">
        <v>42917</v>
      </c>
      <c r="F6" s="14">
        <f>EDATE(E6,1)</f>
        <v>42948</v>
      </c>
      <c r="G6" s="14">
        <f t="shared" ref="G6:P6" si="0">EDATE(F6,1)</f>
        <v>42979</v>
      </c>
      <c r="H6" s="14">
        <f t="shared" si="0"/>
        <v>43009</v>
      </c>
      <c r="I6" s="14">
        <f t="shared" si="0"/>
        <v>43040</v>
      </c>
      <c r="J6" s="14">
        <f t="shared" si="0"/>
        <v>43070</v>
      </c>
      <c r="K6" s="14">
        <f t="shared" si="0"/>
        <v>43101</v>
      </c>
      <c r="L6" s="14">
        <f t="shared" si="0"/>
        <v>43132</v>
      </c>
      <c r="M6" s="14">
        <f t="shared" si="0"/>
        <v>43160</v>
      </c>
      <c r="N6" s="14">
        <f t="shared" si="0"/>
        <v>43191</v>
      </c>
      <c r="O6" s="14">
        <f t="shared" si="0"/>
        <v>43221</v>
      </c>
      <c r="P6" s="14">
        <f t="shared" si="0"/>
        <v>43252</v>
      </c>
      <c r="Q6" s="140" t="s">
        <v>113</v>
      </c>
    </row>
    <row r="7" spans="1:21" x14ac:dyDescent="0.2">
      <c r="A7" s="142" t="s">
        <v>332</v>
      </c>
      <c r="B7" s="142" t="s">
        <v>192</v>
      </c>
      <c r="C7" s="176" t="s">
        <v>349</v>
      </c>
      <c r="D7" s="143" t="s">
        <v>396</v>
      </c>
      <c r="E7" s="147">
        <v>7628079.7920000004</v>
      </c>
      <c r="F7" s="147">
        <v>7453085.6330000004</v>
      </c>
      <c r="G7" s="147">
        <v>9048012.2430000007</v>
      </c>
      <c r="H7" s="147">
        <v>15986076.433</v>
      </c>
      <c r="I7" s="147">
        <v>23305718.149999999</v>
      </c>
      <c r="J7" s="147">
        <v>30383409.791000001</v>
      </c>
      <c r="K7" s="147">
        <v>28408420.164999999</v>
      </c>
      <c r="L7" s="147">
        <v>26930271.664999999</v>
      </c>
      <c r="M7" s="148">
        <v>25549762.872000001</v>
      </c>
      <c r="N7" s="148">
        <v>17553561.793000001</v>
      </c>
      <c r="O7" s="148">
        <v>10844495.560000001</v>
      </c>
      <c r="P7" s="148">
        <v>8894243.5490000006</v>
      </c>
      <c r="Q7" s="146">
        <f>SUM(E7:P7)</f>
        <v>211985137.646</v>
      </c>
      <c r="U7" s="192"/>
    </row>
    <row r="8" spans="1:21" x14ac:dyDescent="0.2">
      <c r="A8" s="142" t="s">
        <v>333</v>
      </c>
      <c r="B8" s="142" t="s">
        <v>192</v>
      </c>
      <c r="C8" s="176" t="s">
        <v>350</v>
      </c>
      <c r="D8" s="143" t="s">
        <v>396</v>
      </c>
      <c r="E8" s="147">
        <v>2436691.1039999998</v>
      </c>
      <c r="F8" s="147">
        <v>2305053.4160000002</v>
      </c>
      <c r="G8" s="147">
        <v>2781084.9019999998</v>
      </c>
      <c r="H8" s="147">
        <v>4458896.4029999999</v>
      </c>
      <c r="I8" s="147">
        <v>5661872.9620000003</v>
      </c>
      <c r="J8" s="147">
        <v>6994015.2349999994</v>
      </c>
      <c r="K8" s="147">
        <v>6582985.9359999998</v>
      </c>
      <c r="L8" s="147">
        <v>6376722.0830000006</v>
      </c>
      <c r="M8" s="148">
        <v>6234660.6830000002</v>
      </c>
      <c r="N8" s="148">
        <v>4788918.1710000001</v>
      </c>
      <c r="O8" s="148">
        <v>3300949.523</v>
      </c>
      <c r="P8" s="148">
        <v>1563898.8959999999</v>
      </c>
      <c r="Q8" s="146">
        <f t="shared" ref="Q8:Q65" si="1">SUM(E8:P8)</f>
        <v>53485749.313999996</v>
      </c>
      <c r="U8" s="192"/>
    </row>
    <row r="9" spans="1:21" x14ac:dyDescent="0.2">
      <c r="A9" s="149" t="s">
        <v>236</v>
      </c>
      <c r="B9" s="142" t="s">
        <v>192</v>
      </c>
      <c r="C9" s="142" t="s">
        <v>351</v>
      </c>
      <c r="D9" s="143" t="s">
        <v>396</v>
      </c>
      <c r="E9" s="144">
        <v>842278.49</v>
      </c>
      <c r="F9" s="144">
        <v>919204.60000000009</v>
      </c>
      <c r="G9" s="144">
        <v>874618.36</v>
      </c>
      <c r="H9" s="144">
        <v>1039536.68</v>
      </c>
      <c r="I9" s="144">
        <v>1141129.2390000001</v>
      </c>
      <c r="J9" s="144">
        <v>1249368.6400000001</v>
      </c>
      <c r="K9" s="147">
        <v>1255972.3900000001</v>
      </c>
      <c r="L9" s="147">
        <v>1219491.01</v>
      </c>
      <c r="M9" s="148">
        <v>1249375.8599999999</v>
      </c>
      <c r="N9" s="148">
        <v>1121319.93</v>
      </c>
      <c r="O9" s="148">
        <v>997442.22</v>
      </c>
      <c r="P9" s="148">
        <v>813156.53</v>
      </c>
      <c r="Q9" s="146">
        <f t="shared" si="1"/>
        <v>12722893.949000001</v>
      </c>
      <c r="U9" s="192"/>
    </row>
    <row r="10" spans="1:21" x14ac:dyDescent="0.2">
      <c r="A10" s="142" t="s">
        <v>387</v>
      </c>
      <c r="B10" s="142" t="s">
        <v>192</v>
      </c>
      <c r="C10" s="176" t="s">
        <v>352</v>
      </c>
      <c r="D10" s="143" t="s">
        <v>396</v>
      </c>
      <c r="E10" s="147">
        <v>833.33</v>
      </c>
      <c r="F10" s="147">
        <v>852.46</v>
      </c>
      <c r="G10" s="147">
        <v>1004.34</v>
      </c>
      <c r="H10" s="147">
        <v>1858.11</v>
      </c>
      <c r="I10" s="147">
        <v>2420.34</v>
      </c>
      <c r="J10" s="147">
        <v>3639.8599999999997</v>
      </c>
      <c r="K10" s="147">
        <v>2356.8000000000002</v>
      </c>
      <c r="L10" s="147">
        <v>2713.47</v>
      </c>
      <c r="M10" s="148">
        <v>2240.84</v>
      </c>
      <c r="N10" s="148">
        <v>1514.91</v>
      </c>
      <c r="O10" s="148">
        <v>975.42</v>
      </c>
      <c r="P10" s="148">
        <v>955</v>
      </c>
      <c r="Q10" s="146">
        <f t="shared" si="1"/>
        <v>21364.879999999994</v>
      </c>
      <c r="U10" s="192"/>
    </row>
    <row r="11" spans="1:21" x14ac:dyDescent="0.2">
      <c r="A11" s="142" t="s">
        <v>334</v>
      </c>
      <c r="B11" s="142" t="s">
        <v>192</v>
      </c>
      <c r="C11" s="177" t="s">
        <v>353</v>
      </c>
      <c r="D11" s="143" t="s">
        <v>396</v>
      </c>
      <c r="E11" s="147">
        <v>718072.78200000001</v>
      </c>
      <c r="F11" s="147">
        <v>664389.50499999989</v>
      </c>
      <c r="G11" s="147">
        <v>792053.55200000003</v>
      </c>
      <c r="H11" s="147">
        <v>1250756.3330000001</v>
      </c>
      <c r="I11" s="147">
        <v>1551311.9750000001</v>
      </c>
      <c r="J11" s="147">
        <v>1866442.2080000001</v>
      </c>
      <c r="K11" s="147">
        <v>1710515.939</v>
      </c>
      <c r="L11" s="147">
        <v>1579736.5380000002</v>
      </c>
      <c r="M11" s="148">
        <v>1642259.1359999999</v>
      </c>
      <c r="N11" s="148">
        <v>1243655.1359999999</v>
      </c>
      <c r="O11" s="148">
        <v>920234.88600000006</v>
      </c>
      <c r="P11" s="148">
        <v>709740.74400000006</v>
      </c>
      <c r="Q11" s="146">
        <f t="shared" si="1"/>
        <v>14649168.734000001</v>
      </c>
      <c r="U11" s="192"/>
    </row>
    <row r="12" spans="1:21" x14ac:dyDescent="0.2">
      <c r="A12" s="149" t="s">
        <v>231</v>
      </c>
      <c r="B12" s="142" t="s">
        <v>192</v>
      </c>
      <c r="C12" s="177" t="s">
        <v>354</v>
      </c>
      <c r="D12" s="143" t="s">
        <v>396</v>
      </c>
      <c r="E12" s="147">
        <v>1570935.13</v>
      </c>
      <c r="F12" s="147">
        <v>1652500.78</v>
      </c>
      <c r="G12" s="147">
        <v>1563451.74</v>
      </c>
      <c r="H12" s="147">
        <v>1823153.78</v>
      </c>
      <c r="I12" s="147">
        <v>1960693.12</v>
      </c>
      <c r="J12" s="147">
        <v>2174610.2800000003</v>
      </c>
      <c r="K12" s="147">
        <v>2118211.92</v>
      </c>
      <c r="L12" s="147">
        <v>2005289.4500000002</v>
      </c>
      <c r="M12" s="148">
        <v>2104200.58</v>
      </c>
      <c r="N12" s="148">
        <v>1832042.1</v>
      </c>
      <c r="O12" s="148">
        <v>1801033.12</v>
      </c>
      <c r="P12" s="148">
        <v>1732174.3499999999</v>
      </c>
      <c r="Q12" s="146">
        <f t="shared" si="1"/>
        <v>22338296.350000005</v>
      </c>
      <c r="U12" s="192"/>
    </row>
    <row r="13" spans="1:21" x14ac:dyDescent="0.2">
      <c r="A13" s="142" t="s">
        <v>335</v>
      </c>
      <c r="B13" s="142" t="s">
        <v>192</v>
      </c>
      <c r="C13" s="142" t="s">
        <v>355</v>
      </c>
      <c r="D13" s="143" t="s">
        <v>396</v>
      </c>
      <c r="E13" s="147">
        <v>208746.55599999998</v>
      </c>
      <c r="F13" s="147">
        <v>193052.79699999999</v>
      </c>
      <c r="G13" s="147">
        <v>320287.72700000001</v>
      </c>
      <c r="H13" s="147">
        <v>752339.98400000005</v>
      </c>
      <c r="I13" s="147">
        <v>1027027.388</v>
      </c>
      <c r="J13" s="147">
        <v>1282526.0389999999</v>
      </c>
      <c r="K13" s="147">
        <v>1186743.409</v>
      </c>
      <c r="L13" s="147">
        <v>1096745.9580000001</v>
      </c>
      <c r="M13" s="148">
        <v>1108771.162</v>
      </c>
      <c r="N13" s="148">
        <v>838893.72800000012</v>
      </c>
      <c r="O13" s="148">
        <v>477239.02300000004</v>
      </c>
      <c r="P13" s="148">
        <v>307851.304</v>
      </c>
      <c r="Q13" s="146">
        <f t="shared" si="1"/>
        <v>8800225.0750000011</v>
      </c>
      <c r="U13" s="192"/>
    </row>
    <row r="14" spans="1:21" x14ac:dyDescent="0.2">
      <c r="A14" s="142" t="s">
        <v>336</v>
      </c>
      <c r="B14" s="142" t="s">
        <v>192</v>
      </c>
      <c r="C14" s="177" t="s">
        <v>356</v>
      </c>
      <c r="D14" s="143" t="s">
        <v>396</v>
      </c>
      <c r="E14" s="147">
        <v>1205163.1340000001</v>
      </c>
      <c r="F14" s="147">
        <v>1191232.98</v>
      </c>
      <c r="G14" s="147">
        <v>1297454.0249999999</v>
      </c>
      <c r="H14" s="147">
        <v>1958326.8969999999</v>
      </c>
      <c r="I14" s="147">
        <v>2341872.3509999998</v>
      </c>
      <c r="J14" s="147">
        <v>2817477.4819999998</v>
      </c>
      <c r="K14" s="147">
        <v>2488073.4070000001</v>
      </c>
      <c r="L14" s="147">
        <v>2506045.7620000001</v>
      </c>
      <c r="M14" s="148">
        <v>2429944.3769999999</v>
      </c>
      <c r="N14" s="148">
        <v>2066250.916</v>
      </c>
      <c r="O14" s="148">
        <v>1485710.202</v>
      </c>
      <c r="P14" s="148">
        <v>1430551.095</v>
      </c>
      <c r="Q14" s="146">
        <f t="shared" si="1"/>
        <v>23218102.627999999</v>
      </c>
      <c r="U14" s="192"/>
    </row>
    <row r="15" spans="1:21" x14ac:dyDescent="0.2">
      <c r="A15" s="149" t="s">
        <v>232</v>
      </c>
      <c r="B15" s="142" t="s">
        <v>192</v>
      </c>
      <c r="C15" s="177" t="s">
        <v>357</v>
      </c>
      <c r="D15" s="143" t="s">
        <v>396</v>
      </c>
      <c r="E15" s="147">
        <v>1084131.21</v>
      </c>
      <c r="F15" s="147">
        <v>1076261.75</v>
      </c>
      <c r="G15" s="147">
        <v>1104327.17</v>
      </c>
      <c r="H15" s="147">
        <v>1494217.02</v>
      </c>
      <c r="I15" s="147">
        <v>1811392.06</v>
      </c>
      <c r="J15" s="147">
        <v>2114674.64</v>
      </c>
      <c r="K15" s="147">
        <v>1951459.87</v>
      </c>
      <c r="L15" s="147">
        <v>1961093.9500000002</v>
      </c>
      <c r="M15" s="148">
        <v>1857442.65</v>
      </c>
      <c r="N15" s="148">
        <v>1599860.8800000001</v>
      </c>
      <c r="O15" s="148">
        <v>1278689.8499999999</v>
      </c>
      <c r="P15" s="148">
        <v>1168040.95</v>
      </c>
      <c r="Q15" s="146">
        <f t="shared" si="1"/>
        <v>18501592.000000004</v>
      </c>
      <c r="U15" s="192"/>
    </row>
    <row r="16" spans="1:21" x14ac:dyDescent="0.2">
      <c r="C16" s="150"/>
      <c r="D16" s="142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46">
        <f t="shared" si="1"/>
        <v>0</v>
      </c>
      <c r="U16" s="192"/>
    </row>
    <row r="17" spans="1:21" x14ac:dyDescent="0.2">
      <c r="A17" s="142" t="s">
        <v>332</v>
      </c>
      <c r="B17" s="142" t="s">
        <v>195</v>
      </c>
      <c r="C17" s="142" t="s">
        <v>358</v>
      </c>
      <c r="D17" s="143" t="s">
        <v>396</v>
      </c>
      <c r="E17" s="147">
        <v>395133.00599999999</v>
      </c>
      <c r="F17" s="147">
        <v>415618.07</v>
      </c>
      <c r="G17" s="147">
        <v>500846.97600000002</v>
      </c>
      <c r="H17" s="147">
        <v>1006993.794</v>
      </c>
      <c r="I17" s="147">
        <v>1528407.077</v>
      </c>
      <c r="J17" s="147">
        <v>2041098.7910000002</v>
      </c>
      <c r="K17" s="147">
        <v>1964791.37</v>
      </c>
      <c r="L17" s="147">
        <v>1882934.0430000001</v>
      </c>
      <c r="M17" s="148">
        <v>1682660.3740000001</v>
      </c>
      <c r="N17" s="148">
        <v>1063918.2120000001</v>
      </c>
      <c r="O17" s="148">
        <v>559791.22699999996</v>
      </c>
      <c r="P17" s="148">
        <v>429753.88400000002</v>
      </c>
      <c r="Q17" s="146">
        <f t="shared" si="1"/>
        <v>13471946.823999999</v>
      </c>
      <c r="U17" s="192"/>
    </row>
    <row r="18" spans="1:21" x14ac:dyDescent="0.2">
      <c r="A18" s="12" t="s">
        <v>387</v>
      </c>
      <c r="B18" s="12" t="s">
        <v>195</v>
      </c>
      <c r="C18" s="12" t="s">
        <v>400</v>
      </c>
      <c r="D18" s="143" t="s">
        <v>396</v>
      </c>
      <c r="E18" s="147">
        <v>76.98</v>
      </c>
      <c r="F18" s="147">
        <v>27.25</v>
      </c>
      <c r="G18" s="147">
        <v>218.87</v>
      </c>
      <c r="H18" s="147">
        <v>1982.63</v>
      </c>
      <c r="I18" s="147">
        <v>3323.76</v>
      </c>
      <c r="J18" s="147">
        <v>4410.21</v>
      </c>
      <c r="K18" s="147">
        <v>2530.87</v>
      </c>
      <c r="L18" s="147">
        <v>3905.98</v>
      </c>
      <c r="M18" s="148">
        <v>2821.34</v>
      </c>
      <c r="N18" s="148">
        <v>1980.65</v>
      </c>
      <c r="O18" s="148">
        <v>595.91</v>
      </c>
      <c r="P18" s="148">
        <v>27.44</v>
      </c>
      <c r="Q18" s="146">
        <f t="shared" si="1"/>
        <v>21901.89</v>
      </c>
      <c r="U18" s="192"/>
    </row>
    <row r="19" spans="1:21" x14ac:dyDescent="0.2">
      <c r="A19" s="142" t="s">
        <v>333</v>
      </c>
      <c r="B19" s="142" t="s">
        <v>195</v>
      </c>
      <c r="C19" s="142" t="s">
        <v>359</v>
      </c>
      <c r="D19" s="143" t="s">
        <v>396</v>
      </c>
      <c r="E19" s="147">
        <v>715686.64599999995</v>
      </c>
      <c r="F19" s="147">
        <v>723322.54399999999</v>
      </c>
      <c r="G19" s="147">
        <v>721587.85899999994</v>
      </c>
      <c r="H19" s="147">
        <v>895018.30300000007</v>
      </c>
      <c r="I19" s="147">
        <v>893863.43400000012</v>
      </c>
      <c r="J19" s="147">
        <v>978320.95299999998</v>
      </c>
      <c r="K19" s="147">
        <v>946435.92099999997</v>
      </c>
      <c r="L19" s="147">
        <v>901078.02300000004</v>
      </c>
      <c r="M19" s="148">
        <v>919254.62699999998</v>
      </c>
      <c r="N19" s="148">
        <v>811446.06</v>
      </c>
      <c r="O19" s="148">
        <v>700117.15899999999</v>
      </c>
      <c r="P19" s="148">
        <v>208689.174</v>
      </c>
      <c r="Q19" s="146">
        <f t="shared" si="1"/>
        <v>9414820.7030000016</v>
      </c>
      <c r="U19" s="192"/>
    </row>
    <row r="20" spans="1:21" x14ac:dyDescent="0.2">
      <c r="A20" s="149" t="s">
        <v>236</v>
      </c>
      <c r="B20" s="142" t="s">
        <v>195</v>
      </c>
      <c r="C20" s="142" t="s">
        <v>360</v>
      </c>
      <c r="D20" s="143" t="s">
        <v>396</v>
      </c>
      <c r="E20" s="147">
        <v>566917.64</v>
      </c>
      <c r="F20" s="147">
        <v>536778.17999999993</v>
      </c>
      <c r="G20" s="147">
        <v>501521.2</v>
      </c>
      <c r="H20" s="147">
        <v>548774.43999999994</v>
      </c>
      <c r="I20" s="147">
        <v>530865.47</v>
      </c>
      <c r="J20" s="147">
        <v>502356.32999999996</v>
      </c>
      <c r="K20" s="147">
        <v>587041.71</v>
      </c>
      <c r="L20" s="147">
        <v>560063.15999999992</v>
      </c>
      <c r="M20" s="148">
        <v>653291.67999999993</v>
      </c>
      <c r="N20" s="148">
        <v>562059.31000000006</v>
      </c>
      <c r="O20" s="148">
        <v>465111.51</v>
      </c>
      <c r="P20" s="148">
        <v>456972.94</v>
      </c>
      <c r="Q20" s="146">
        <f t="shared" si="1"/>
        <v>6471753.5699999994</v>
      </c>
      <c r="U20" s="192"/>
    </row>
    <row r="21" spans="1:21" x14ac:dyDescent="0.2">
      <c r="A21" s="142" t="s">
        <v>334</v>
      </c>
      <c r="B21" s="142" t="s">
        <v>195</v>
      </c>
      <c r="C21" s="142" t="s">
        <v>361</v>
      </c>
      <c r="D21" s="143" t="s">
        <v>396</v>
      </c>
      <c r="E21" s="147">
        <v>118216.663</v>
      </c>
      <c r="F21" s="147">
        <v>108078.61899999999</v>
      </c>
      <c r="G21" s="147">
        <v>117621.26699999999</v>
      </c>
      <c r="H21" s="147">
        <v>132658.54500000001</v>
      </c>
      <c r="I21" s="147">
        <v>150576.024</v>
      </c>
      <c r="J21" s="147">
        <v>162942.16400000002</v>
      </c>
      <c r="K21" s="147">
        <v>152783.32999999999</v>
      </c>
      <c r="L21" s="147">
        <v>144144.49599999998</v>
      </c>
      <c r="M21" s="148">
        <v>145396.611</v>
      </c>
      <c r="N21" s="148">
        <v>149688.77699999997</v>
      </c>
      <c r="O21" s="148">
        <v>126713.5</v>
      </c>
      <c r="P21" s="148">
        <v>112017.696</v>
      </c>
      <c r="Q21" s="146">
        <f t="shared" si="1"/>
        <v>1620837.692</v>
      </c>
      <c r="U21" s="192"/>
    </row>
    <row r="22" spans="1:21" x14ac:dyDescent="0.2">
      <c r="A22" s="149" t="s">
        <v>231</v>
      </c>
      <c r="B22" s="142" t="s">
        <v>195</v>
      </c>
      <c r="C22" s="142" t="s">
        <v>362</v>
      </c>
      <c r="D22" s="143" t="s">
        <v>396</v>
      </c>
      <c r="E22" s="147">
        <v>4280828.5600000005</v>
      </c>
      <c r="F22" s="147">
        <v>4715349.79</v>
      </c>
      <c r="G22" s="147">
        <v>4631320.07</v>
      </c>
      <c r="H22" s="147">
        <v>5126915.4399999995</v>
      </c>
      <c r="I22" s="147">
        <v>4478198.82</v>
      </c>
      <c r="J22" s="147">
        <v>4595260.34</v>
      </c>
      <c r="K22" s="147">
        <v>4463633.12</v>
      </c>
      <c r="L22" s="147">
        <v>4116771.16</v>
      </c>
      <c r="M22" s="148">
        <v>4871480.7699999996</v>
      </c>
      <c r="N22" s="148">
        <v>4319936.82</v>
      </c>
      <c r="O22" s="148">
        <v>4256767.37</v>
      </c>
      <c r="P22" s="148">
        <v>4233782.51</v>
      </c>
      <c r="Q22" s="146">
        <f t="shared" si="1"/>
        <v>54090244.769999988</v>
      </c>
      <c r="U22" s="192"/>
    </row>
    <row r="23" spans="1:21" x14ac:dyDescent="0.2">
      <c r="A23" s="142" t="s">
        <v>335</v>
      </c>
      <c r="B23" s="142" t="s">
        <v>195</v>
      </c>
      <c r="C23" s="142" t="s">
        <v>363</v>
      </c>
      <c r="D23" s="143" t="s">
        <v>396</v>
      </c>
      <c r="E23" s="147">
        <v>7050.719000000001</v>
      </c>
      <c r="F23" s="147">
        <v>6990.4639999999999</v>
      </c>
      <c r="G23" s="147">
        <v>59473.29</v>
      </c>
      <c r="H23" s="147">
        <v>65278.603999999999</v>
      </c>
      <c r="I23" s="147">
        <v>18252.848999999998</v>
      </c>
      <c r="J23" s="147">
        <v>18496.313999999998</v>
      </c>
      <c r="K23" s="147">
        <v>17702.267</v>
      </c>
      <c r="L23" s="147">
        <v>18723.310999999998</v>
      </c>
      <c r="M23" s="148">
        <v>17030.457000000002</v>
      </c>
      <c r="N23" s="148">
        <v>21970.927</v>
      </c>
      <c r="O23" s="148">
        <v>11131.916000000001</v>
      </c>
      <c r="P23" s="148">
        <v>8571.3490000000002</v>
      </c>
      <c r="Q23" s="146">
        <f t="shared" si="1"/>
        <v>270672.46699999995</v>
      </c>
      <c r="U23" s="192"/>
    </row>
    <row r="24" spans="1:21" x14ac:dyDescent="0.2">
      <c r="A24" s="142" t="s">
        <v>298</v>
      </c>
      <c r="B24" s="142" t="s">
        <v>195</v>
      </c>
      <c r="C24" s="152" t="s">
        <v>364</v>
      </c>
      <c r="D24" s="143" t="s">
        <v>396</v>
      </c>
      <c r="E24" s="144">
        <v>24835.61</v>
      </c>
      <c r="F24" s="144">
        <v>18950.099999999999</v>
      </c>
      <c r="G24" s="144">
        <v>14249</v>
      </c>
      <c r="H24" s="144">
        <v>31358.14</v>
      </c>
      <c r="I24" s="144">
        <v>28587.62</v>
      </c>
      <c r="J24" s="144">
        <v>29791.48</v>
      </c>
      <c r="K24" s="144">
        <v>49343.94</v>
      </c>
      <c r="L24" s="144">
        <v>52603.87</v>
      </c>
      <c r="M24" s="145">
        <v>40825.67</v>
      </c>
      <c r="N24" s="145">
        <v>24785.5</v>
      </c>
      <c r="O24" s="145">
        <v>18363.18</v>
      </c>
      <c r="P24" s="145">
        <v>20942.59</v>
      </c>
      <c r="Q24" s="146">
        <f t="shared" si="1"/>
        <v>354636.7</v>
      </c>
      <c r="U24" s="192"/>
    </row>
    <row r="25" spans="1:21" x14ac:dyDescent="0.2">
      <c r="A25" s="142" t="s">
        <v>336</v>
      </c>
      <c r="B25" s="142" t="s">
        <v>195</v>
      </c>
      <c r="C25" s="142" t="s">
        <v>365</v>
      </c>
      <c r="D25" s="143" t="s">
        <v>396</v>
      </c>
      <c r="E25" s="147">
        <v>0</v>
      </c>
      <c r="F25" s="147">
        <v>0</v>
      </c>
      <c r="G25" s="147">
        <v>0</v>
      </c>
      <c r="H25" s="147">
        <v>0</v>
      </c>
      <c r="I25" s="147">
        <v>0</v>
      </c>
      <c r="J25" s="147">
        <v>0</v>
      </c>
      <c r="K25" s="147">
        <v>0</v>
      </c>
      <c r="L25" s="147">
        <v>0</v>
      </c>
      <c r="M25" s="148">
        <v>0</v>
      </c>
      <c r="N25" s="148">
        <v>0</v>
      </c>
      <c r="O25" s="148">
        <v>0</v>
      </c>
      <c r="P25" s="148">
        <v>0</v>
      </c>
      <c r="Q25" s="146">
        <f t="shared" si="1"/>
        <v>0</v>
      </c>
      <c r="U25" s="192"/>
    </row>
    <row r="26" spans="1:21" x14ac:dyDescent="0.2">
      <c r="A26" s="149" t="s">
        <v>232</v>
      </c>
      <c r="B26" s="142" t="s">
        <v>195</v>
      </c>
      <c r="C26" s="142" t="s">
        <v>366</v>
      </c>
      <c r="D26" s="143" t="s">
        <v>396</v>
      </c>
      <c r="E26" s="147">
        <v>7598296.1299999999</v>
      </c>
      <c r="F26" s="147">
        <v>7734935.3200000003</v>
      </c>
      <c r="G26" s="147">
        <v>7364818.1600000001</v>
      </c>
      <c r="H26" s="147">
        <v>7444983.4000000004</v>
      </c>
      <c r="I26" s="147">
        <v>6267312.4800000004</v>
      </c>
      <c r="J26" s="147">
        <v>7766997.3499999996</v>
      </c>
      <c r="K26" s="147">
        <v>6317281.6500000004</v>
      </c>
      <c r="L26" s="147">
        <v>6906246.4400000004</v>
      </c>
      <c r="M26" s="148">
        <v>7685171.5099999998</v>
      </c>
      <c r="N26" s="148">
        <v>6615627.5999999996</v>
      </c>
      <c r="O26" s="148">
        <v>6953514.0099999998</v>
      </c>
      <c r="P26" s="148">
        <v>6482373.2000000002</v>
      </c>
      <c r="Q26" s="146">
        <f t="shared" si="1"/>
        <v>85137557.25</v>
      </c>
      <c r="U26" s="192"/>
    </row>
    <row r="27" spans="1:21" x14ac:dyDescent="0.2">
      <c r="A27" s="168" t="s">
        <v>346</v>
      </c>
      <c r="B27" s="142" t="s">
        <v>195</v>
      </c>
      <c r="C27" s="142" t="s">
        <v>367</v>
      </c>
      <c r="D27" s="143" t="s">
        <v>396</v>
      </c>
      <c r="E27" s="702">
        <v>1921334.9100000001</v>
      </c>
      <c r="F27" s="702">
        <v>1869187.75</v>
      </c>
      <c r="G27" s="702">
        <v>1943193.99</v>
      </c>
      <c r="H27" s="702">
        <v>3014511.56</v>
      </c>
      <c r="I27" s="702">
        <v>3745262.62</v>
      </c>
      <c r="J27" s="702">
        <v>4436578.41</v>
      </c>
      <c r="K27" s="702">
        <v>4032427.7399999998</v>
      </c>
      <c r="L27" s="702">
        <v>4114898.2699999996</v>
      </c>
      <c r="M27" s="702">
        <v>3806410.93</v>
      </c>
      <c r="N27" s="702">
        <v>3156368.4099999997</v>
      </c>
      <c r="O27" s="702">
        <v>2317402.04</v>
      </c>
      <c r="P27" s="702">
        <v>2136885.0499999998</v>
      </c>
      <c r="Q27" s="703">
        <f t="shared" si="1"/>
        <v>36494461.68</v>
      </c>
      <c r="U27" s="192"/>
    </row>
    <row r="28" spans="1:21" x14ac:dyDescent="0.2">
      <c r="B28" s="142"/>
      <c r="C28" s="150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46"/>
      <c r="U28" s="192"/>
    </row>
    <row r="29" spans="1:21" x14ac:dyDescent="0.2">
      <c r="A29" s="133" t="str">
        <f>LEFT(C29,2)</f>
        <v>16</v>
      </c>
      <c r="B29" s="135" t="s">
        <v>142</v>
      </c>
      <c r="C29" s="153" t="s">
        <v>199</v>
      </c>
      <c r="D29" s="143" t="s">
        <v>396</v>
      </c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46"/>
      <c r="U29" s="192"/>
    </row>
    <row r="30" spans="1:21" x14ac:dyDescent="0.2">
      <c r="A30" s="133" t="str">
        <f>LEFT(C30,2)</f>
        <v>16</v>
      </c>
      <c r="B30" s="135" t="s">
        <v>142</v>
      </c>
      <c r="C30" s="153" t="s">
        <v>200</v>
      </c>
      <c r="D30" s="143" t="s">
        <v>396</v>
      </c>
      <c r="E30" s="151">
        <v>826.07600000000002</v>
      </c>
      <c r="F30" s="151">
        <v>820.92700000000002</v>
      </c>
      <c r="G30" s="151">
        <v>774.51800000000003</v>
      </c>
      <c r="H30" s="151">
        <v>824.08199999999999</v>
      </c>
      <c r="I30" s="151">
        <v>783.54899999999998</v>
      </c>
      <c r="J30" s="151">
        <v>800.10699999999997</v>
      </c>
      <c r="K30" s="151">
        <v>797.62900000000002</v>
      </c>
      <c r="L30" s="151">
        <v>723.62300000000005</v>
      </c>
      <c r="M30" s="151">
        <v>835.85599999999999</v>
      </c>
      <c r="N30" s="151">
        <v>821.65099999999995</v>
      </c>
      <c r="O30" s="151">
        <v>818.67499999999995</v>
      </c>
      <c r="P30" s="151">
        <v>765.35199999999998</v>
      </c>
      <c r="Q30" s="146">
        <f>SUM(E30:P30)</f>
        <v>9592.0450000000001</v>
      </c>
      <c r="U30" s="192"/>
    </row>
    <row r="31" spans="1:21" x14ac:dyDescent="0.2">
      <c r="C31" s="153"/>
      <c r="D31" s="142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46"/>
      <c r="U31" s="192"/>
    </row>
    <row r="32" spans="1:21" x14ac:dyDescent="0.2">
      <c r="A32" s="142" t="s">
        <v>337</v>
      </c>
      <c r="B32" s="142" t="s">
        <v>201</v>
      </c>
      <c r="C32" s="142" t="s">
        <v>368</v>
      </c>
      <c r="D32" s="143" t="s">
        <v>396</v>
      </c>
      <c r="E32" s="148">
        <v>13443846.632999999</v>
      </c>
      <c r="F32" s="147">
        <v>12736009.979</v>
      </c>
      <c r="G32" s="147">
        <v>19953051.936999999</v>
      </c>
      <c r="H32" s="147">
        <v>46428765.25</v>
      </c>
      <c r="I32" s="147">
        <v>70958837.160999998</v>
      </c>
      <c r="J32" s="147">
        <v>92223262.627000004</v>
      </c>
      <c r="K32" s="147">
        <v>85100009.343999997</v>
      </c>
      <c r="L32" s="147">
        <v>80982698.152999997</v>
      </c>
      <c r="M32" s="148">
        <v>75370532.385000005</v>
      </c>
      <c r="N32" s="148">
        <v>47861731.055</v>
      </c>
      <c r="O32" s="148">
        <v>24077760.546</v>
      </c>
      <c r="P32" s="148">
        <v>17715113.866999999</v>
      </c>
      <c r="Q32" s="146">
        <f t="shared" si="1"/>
        <v>586851618.93699992</v>
      </c>
      <c r="U32" s="192"/>
    </row>
    <row r="33" spans="1:21" x14ac:dyDescent="0.2">
      <c r="A33" s="142" t="s">
        <v>338</v>
      </c>
      <c r="B33" s="142" t="s">
        <v>201</v>
      </c>
      <c r="C33" s="142" t="s">
        <v>369</v>
      </c>
      <c r="D33" s="143" t="s">
        <v>396</v>
      </c>
      <c r="E33" s="148">
        <v>9.0079999999999991</v>
      </c>
      <c r="F33" s="147">
        <v>9.2899999999999991</v>
      </c>
      <c r="G33" s="147">
        <v>23.614000000000001</v>
      </c>
      <c r="H33" s="147">
        <v>52.81</v>
      </c>
      <c r="I33" s="147">
        <v>67.945999999999998</v>
      </c>
      <c r="J33" s="147">
        <v>68.12700000000001</v>
      </c>
      <c r="K33" s="147">
        <v>56.914999999999999</v>
      </c>
      <c r="L33" s="147">
        <v>7.5629999999999997</v>
      </c>
      <c r="M33" s="148">
        <v>0</v>
      </c>
      <c r="N33" s="148">
        <v>0</v>
      </c>
      <c r="O33" s="148">
        <v>0</v>
      </c>
      <c r="P33" s="148">
        <v>0</v>
      </c>
      <c r="Q33" s="146">
        <f t="shared" si="1"/>
        <v>295.27300000000002</v>
      </c>
      <c r="U33" s="192"/>
    </row>
    <row r="34" spans="1:21" x14ac:dyDescent="0.2">
      <c r="C34" s="150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</row>
    <row r="35" spans="1:21" x14ac:dyDescent="0.2">
      <c r="B35" s="136" t="s">
        <v>144</v>
      </c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</row>
    <row r="36" spans="1:21" x14ac:dyDescent="0.2">
      <c r="B36" s="136" t="s">
        <v>72</v>
      </c>
      <c r="Q36" s="146"/>
    </row>
    <row r="37" spans="1:21" x14ac:dyDescent="0.2">
      <c r="C37" s="133">
        <v>16</v>
      </c>
      <c r="E37" s="146">
        <f>SUM(E29:E30)</f>
        <v>826.07600000000002</v>
      </c>
      <c r="F37" s="146">
        <f t="shared" ref="F37:M37" si="2">SUM(F29:F30)</f>
        <v>820.92700000000002</v>
      </c>
      <c r="G37" s="146">
        <f t="shared" si="2"/>
        <v>774.51800000000003</v>
      </c>
      <c r="H37" s="146">
        <f t="shared" si="2"/>
        <v>824.08199999999999</v>
      </c>
      <c r="I37" s="146">
        <f t="shared" si="2"/>
        <v>783.54899999999998</v>
      </c>
      <c r="J37" s="146">
        <f t="shared" si="2"/>
        <v>800.10699999999997</v>
      </c>
      <c r="K37" s="146">
        <f t="shared" si="2"/>
        <v>797.62900000000002</v>
      </c>
      <c r="L37" s="146">
        <f t="shared" si="2"/>
        <v>723.62300000000005</v>
      </c>
      <c r="M37" s="146">
        <f t="shared" si="2"/>
        <v>835.85599999999999</v>
      </c>
      <c r="N37" s="146">
        <f t="shared" ref="N37:P37" si="3">SUM(N29:N30)</f>
        <v>821.65099999999995</v>
      </c>
      <c r="O37" s="146">
        <f t="shared" si="3"/>
        <v>818.67499999999995</v>
      </c>
      <c r="P37" s="146">
        <f t="shared" si="3"/>
        <v>765.35199999999998</v>
      </c>
      <c r="Q37" s="146">
        <f t="shared" si="1"/>
        <v>9592.0450000000001</v>
      </c>
    </row>
    <row r="38" spans="1:21" x14ac:dyDescent="0.2">
      <c r="C38" s="133">
        <v>23</v>
      </c>
      <c r="E38" s="146">
        <f t="shared" ref="E38:P39" si="4">SUMIF($A$32:$A$33,$C38,E$32:E$33)</f>
        <v>13443846.632999999</v>
      </c>
      <c r="F38" s="146">
        <f t="shared" si="4"/>
        <v>12736009.979</v>
      </c>
      <c r="G38" s="146">
        <f t="shared" si="4"/>
        <v>19953051.936999999</v>
      </c>
      <c r="H38" s="146">
        <f t="shared" si="4"/>
        <v>46428765.25</v>
      </c>
      <c r="I38" s="146">
        <f t="shared" si="4"/>
        <v>70958837.160999998</v>
      </c>
      <c r="J38" s="146">
        <f t="shared" si="4"/>
        <v>92223262.627000004</v>
      </c>
      <c r="K38" s="146">
        <f t="shared" si="4"/>
        <v>85100009.343999997</v>
      </c>
      <c r="L38" s="146">
        <f t="shared" si="4"/>
        <v>80982698.152999997</v>
      </c>
      <c r="M38" s="146">
        <f t="shared" si="4"/>
        <v>75370532.385000005</v>
      </c>
      <c r="N38" s="146">
        <f t="shared" si="4"/>
        <v>47861731.055</v>
      </c>
      <c r="O38" s="146">
        <f t="shared" si="4"/>
        <v>24077760.546</v>
      </c>
      <c r="P38" s="146">
        <f t="shared" si="4"/>
        <v>17715113.866999999</v>
      </c>
      <c r="Q38" s="146">
        <f t="shared" si="1"/>
        <v>586851618.93699992</v>
      </c>
    </row>
    <row r="39" spans="1:21" x14ac:dyDescent="0.2">
      <c r="C39" s="133">
        <v>53</v>
      </c>
      <c r="E39" s="146">
        <f t="shared" si="4"/>
        <v>9.0079999999999991</v>
      </c>
      <c r="F39" s="146">
        <f t="shared" si="4"/>
        <v>9.2899999999999991</v>
      </c>
      <c r="G39" s="146">
        <f t="shared" si="4"/>
        <v>23.614000000000001</v>
      </c>
      <c r="H39" s="146">
        <f t="shared" si="4"/>
        <v>52.81</v>
      </c>
      <c r="I39" s="146">
        <f t="shared" si="4"/>
        <v>67.945999999999998</v>
      </c>
      <c r="J39" s="146">
        <f t="shared" si="4"/>
        <v>68.12700000000001</v>
      </c>
      <c r="K39" s="146">
        <f t="shared" si="4"/>
        <v>56.914999999999999</v>
      </c>
      <c r="L39" s="146">
        <f t="shared" si="4"/>
        <v>7.5629999999999997</v>
      </c>
      <c r="M39" s="146">
        <f t="shared" si="4"/>
        <v>0</v>
      </c>
      <c r="N39" s="146">
        <f t="shared" si="4"/>
        <v>0</v>
      </c>
      <c r="O39" s="146">
        <f t="shared" si="4"/>
        <v>0</v>
      </c>
      <c r="P39" s="146">
        <f t="shared" si="4"/>
        <v>0</v>
      </c>
      <c r="Q39" s="146">
        <f t="shared" si="1"/>
        <v>295.27300000000002</v>
      </c>
    </row>
    <row r="40" spans="1:21" x14ac:dyDescent="0.2">
      <c r="Q40" s="146">
        <f t="shared" si="1"/>
        <v>0</v>
      </c>
    </row>
    <row r="41" spans="1:21" x14ac:dyDescent="0.2">
      <c r="B41" s="136" t="s">
        <v>131</v>
      </c>
      <c r="C41" s="154"/>
      <c r="Q41" s="146"/>
    </row>
    <row r="42" spans="1:21" x14ac:dyDescent="0.2">
      <c r="C42" s="154">
        <v>31</v>
      </c>
      <c r="E42" s="155">
        <f t="shared" ref="E42:P50" si="5">SUMIF($A$7:$A$15,$C42,E$7:E$15)</f>
        <v>7628079.7920000004</v>
      </c>
      <c r="F42" s="155">
        <f t="shared" si="5"/>
        <v>7453085.6330000004</v>
      </c>
      <c r="G42" s="155">
        <f t="shared" si="5"/>
        <v>9048012.2430000007</v>
      </c>
      <c r="H42" s="155">
        <f t="shared" si="5"/>
        <v>15986076.433</v>
      </c>
      <c r="I42" s="155">
        <f t="shared" si="5"/>
        <v>23305718.149999999</v>
      </c>
      <c r="J42" s="155">
        <f t="shared" si="5"/>
        <v>30383409.791000001</v>
      </c>
      <c r="K42" s="155">
        <f t="shared" si="5"/>
        <v>28408420.164999999</v>
      </c>
      <c r="L42" s="155">
        <f t="shared" si="5"/>
        <v>26930271.664999999</v>
      </c>
      <c r="M42" s="155">
        <f t="shared" si="5"/>
        <v>25549762.872000001</v>
      </c>
      <c r="N42" s="155">
        <f t="shared" si="5"/>
        <v>17553561.793000001</v>
      </c>
      <c r="O42" s="155">
        <f t="shared" si="5"/>
        <v>10844495.560000001</v>
      </c>
      <c r="P42" s="155">
        <f t="shared" si="5"/>
        <v>8894243.5490000006</v>
      </c>
      <c r="Q42" s="146">
        <f t="shared" si="1"/>
        <v>211985137.646</v>
      </c>
    </row>
    <row r="43" spans="1:21" x14ac:dyDescent="0.2">
      <c r="C43" s="154" t="s">
        <v>387</v>
      </c>
      <c r="E43" s="155">
        <f t="shared" ref="E43:P45" si="6">SUMIF($A$7:$A$15,$C43,E$7:E$15)</f>
        <v>833.33</v>
      </c>
      <c r="F43" s="155">
        <f t="shared" si="6"/>
        <v>852.46</v>
      </c>
      <c r="G43" s="155">
        <f t="shared" si="6"/>
        <v>1004.34</v>
      </c>
      <c r="H43" s="155">
        <f t="shared" si="6"/>
        <v>1858.11</v>
      </c>
      <c r="I43" s="155">
        <f t="shared" si="6"/>
        <v>2420.34</v>
      </c>
      <c r="J43" s="155">
        <f t="shared" si="6"/>
        <v>3639.8599999999997</v>
      </c>
      <c r="K43" s="155">
        <f t="shared" si="6"/>
        <v>2356.8000000000002</v>
      </c>
      <c r="L43" s="155">
        <f t="shared" si="6"/>
        <v>2713.47</v>
      </c>
      <c r="M43" s="155">
        <f t="shared" si="6"/>
        <v>2240.84</v>
      </c>
      <c r="N43" s="155">
        <f t="shared" si="6"/>
        <v>1514.91</v>
      </c>
      <c r="O43" s="155">
        <f t="shared" si="6"/>
        <v>975.42</v>
      </c>
      <c r="P43" s="155">
        <f t="shared" si="6"/>
        <v>955</v>
      </c>
      <c r="Q43" s="146">
        <f>SUM(E43:P43)</f>
        <v>21364.879999999994</v>
      </c>
    </row>
    <row r="44" spans="1:21" ht="12" customHeight="1" x14ac:dyDescent="0.2">
      <c r="C44" s="154">
        <v>41</v>
      </c>
      <c r="E44" s="155">
        <f t="shared" si="6"/>
        <v>2436691.1039999998</v>
      </c>
      <c r="F44" s="155">
        <f t="shared" si="6"/>
        <v>2305053.4160000002</v>
      </c>
      <c r="G44" s="155">
        <f t="shared" si="6"/>
        <v>2781084.9019999998</v>
      </c>
      <c r="H44" s="155">
        <f t="shared" si="6"/>
        <v>4458896.4029999999</v>
      </c>
      <c r="I44" s="155">
        <f t="shared" si="6"/>
        <v>5661872.9620000003</v>
      </c>
      <c r="J44" s="155">
        <f t="shared" si="6"/>
        <v>6994015.2349999994</v>
      </c>
      <c r="K44" s="155">
        <f t="shared" si="6"/>
        <v>6582985.9359999998</v>
      </c>
      <c r="L44" s="155">
        <f t="shared" si="6"/>
        <v>6376722.0830000006</v>
      </c>
      <c r="M44" s="155">
        <f t="shared" si="6"/>
        <v>6234660.6830000002</v>
      </c>
      <c r="N44" s="155">
        <f t="shared" si="6"/>
        <v>4788918.1710000001</v>
      </c>
      <c r="O44" s="155">
        <f t="shared" si="6"/>
        <v>3300949.523</v>
      </c>
      <c r="P44" s="155">
        <f t="shared" si="6"/>
        <v>1563898.8959999999</v>
      </c>
      <c r="Q44" s="146">
        <f>SUM(E44:P44)</f>
        <v>53485749.313999996</v>
      </c>
    </row>
    <row r="45" spans="1:21" x14ac:dyDescent="0.2">
      <c r="C45" s="154" t="s">
        <v>236</v>
      </c>
      <c r="E45" s="155">
        <f t="shared" si="6"/>
        <v>842278.49</v>
      </c>
      <c r="F45" s="155">
        <f t="shared" si="6"/>
        <v>919204.60000000009</v>
      </c>
      <c r="G45" s="155">
        <f t="shared" si="6"/>
        <v>874618.36</v>
      </c>
      <c r="H45" s="155">
        <f t="shared" si="6"/>
        <v>1039536.68</v>
      </c>
      <c r="I45" s="155">
        <f t="shared" si="6"/>
        <v>1141129.2390000001</v>
      </c>
      <c r="J45" s="155">
        <f t="shared" si="6"/>
        <v>1249368.6400000001</v>
      </c>
      <c r="K45" s="155">
        <f t="shared" si="6"/>
        <v>1255972.3900000001</v>
      </c>
      <c r="L45" s="155">
        <f t="shared" si="6"/>
        <v>1219491.01</v>
      </c>
      <c r="M45" s="155">
        <f t="shared" si="6"/>
        <v>1249375.8599999999</v>
      </c>
      <c r="N45" s="155">
        <f t="shared" si="6"/>
        <v>1121319.93</v>
      </c>
      <c r="O45" s="155">
        <f t="shared" si="6"/>
        <v>997442.22</v>
      </c>
      <c r="P45" s="155">
        <f t="shared" si="6"/>
        <v>813156.53</v>
      </c>
      <c r="Q45" s="146">
        <f>SUM(E45:P45)</f>
        <v>12722893.949000001</v>
      </c>
    </row>
    <row r="46" spans="1:21" x14ac:dyDescent="0.2">
      <c r="C46" s="154">
        <v>85</v>
      </c>
      <c r="E46" s="155">
        <f t="shared" si="5"/>
        <v>718072.78200000001</v>
      </c>
      <c r="F46" s="155">
        <f t="shared" si="5"/>
        <v>664389.50499999989</v>
      </c>
      <c r="G46" s="155">
        <f t="shared" si="5"/>
        <v>792053.55200000003</v>
      </c>
      <c r="H46" s="155">
        <f t="shared" si="5"/>
        <v>1250756.3330000001</v>
      </c>
      <c r="I46" s="155">
        <f t="shared" si="5"/>
        <v>1551311.9750000001</v>
      </c>
      <c r="J46" s="155">
        <f t="shared" si="5"/>
        <v>1866442.2080000001</v>
      </c>
      <c r="K46" s="155">
        <f t="shared" si="5"/>
        <v>1710515.939</v>
      </c>
      <c r="L46" s="155">
        <f t="shared" si="5"/>
        <v>1579736.5380000002</v>
      </c>
      <c r="M46" s="155">
        <f t="shared" si="5"/>
        <v>1642259.1359999999</v>
      </c>
      <c r="N46" s="155">
        <f t="shared" si="5"/>
        <v>1243655.1359999999</v>
      </c>
      <c r="O46" s="155">
        <f t="shared" si="5"/>
        <v>920234.88600000006</v>
      </c>
      <c r="P46" s="155">
        <f t="shared" si="5"/>
        <v>709740.74400000006</v>
      </c>
      <c r="Q46" s="146">
        <f t="shared" si="1"/>
        <v>14649168.734000001</v>
      </c>
    </row>
    <row r="47" spans="1:21" x14ac:dyDescent="0.2">
      <c r="C47" s="154" t="s">
        <v>231</v>
      </c>
      <c r="E47" s="155">
        <f t="shared" si="5"/>
        <v>1570935.13</v>
      </c>
      <c r="F47" s="155">
        <f t="shared" si="5"/>
        <v>1652500.78</v>
      </c>
      <c r="G47" s="155">
        <f t="shared" si="5"/>
        <v>1563451.74</v>
      </c>
      <c r="H47" s="155">
        <f t="shared" si="5"/>
        <v>1823153.78</v>
      </c>
      <c r="I47" s="155">
        <f t="shared" si="5"/>
        <v>1960693.12</v>
      </c>
      <c r="J47" s="155">
        <f t="shared" si="5"/>
        <v>2174610.2800000003</v>
      </c>
      <c r="K47" s="155">
        <f t="shared" si="5"/>
        <v>2118211.92</v>
      </c>
      <c r="L47" s="155">
        <f t="shared" si="5"/>
        <v>2005289.4500000002</v>
      </c>
      <c r="M47" s="155">
        <f t="shared" si="5"/>
        <v>2104200.58</v>
      </c>
      <c r="N47" s="155">
        <f t="shared" si="5"/>
        <v>1832042.1</v>
      </c>
      <c r="O47" s="155">
        <f t="shared" si="5"/>
        <v>1801033.12</v>
      </c>
      <c r="P47" s="155">
        <f t="shared" si="5"/>
        <v>1732174.3499999999</v>
      </c>
      <c r="Q47" s="146">
        <f t="shared" si="1"/>
        <v>22338296.350000005</v>
      </c>
    </row>
    <row r="48" spans="1:21" x14ac:dyDescent="0.2">
      <c r="C48" s="154">
        <v>86</v>
      </c>
      <c r="E48" s="155">
        <f t="shared" si="5"/>
        <v>208746.55599999998</v>
      </c>
      <c r="F48" s="155">
        <f t="shared" si="5"/>
        <v>193052.79699999999</v>
      </c>
      <c r="G48" s="155">
        <f t="shared" si="5"/>
        <v>320287.72700000001</v>
      </c>
      <c r="H48" s="155">
        <f t="shared" si="5"/>
        <v>752339.98400000005</v>
      </c>
      <c r="I48" s="155">
        <f t="shared" si="5"/>
        <v>1027027.388</v>
      </c>
      <c r="J48" s="155">
        <f t="shared" si="5"/>
        <v>1282526.0389999999</v>
      </c>
      <c r="K48" s="155">
        <f t="shared" si="5"/>
        <v>1186743.409</v>
      </c>
      <c r="L48" s="155">
        <f t="shared" si="5"/>
        <v>1096745.9580000001</v>
      </c>
      <c r="M48" s="155">
        <f t="shared" si="5"/>
        <v>1108771.162</v>
      </c>
      <c r="N48" s="155">
        <f t="shared" si="5"/>
        <v>838893.72800000012</v>
      </c>
      <c r="O48" s="155">
        <f t="shared" si="5"/>
        <v>477239.02300000004</v>
      </c>
      <c r="P48" s="155">
        <f t="shared" si="5"/>
        <v>307851.304</v>
      </c>
      <c r="Q48" s="146">
        <f t="shared" si="1"/>
        <v>8800225.0750000011</v>
      </c>
    </row>
    <row r="49" spans="2:17" x14ac:dyDescent="0.2">
      <c r="C49" s="154">
        <v>87</v>
      </c>
      <c r="E49" s="155">
        <f t="shared" si="5"/>
        <v>1205163.1340000001</v>
      </c>
      <c r="F49" s="155">
        <f t="shared" si="5"/>
        <v>1191232.98</v>
      </c>
      <c r="G49" s="155">
        <f t="shared" si="5"/>
        <v>1297454.0249999999</v>
      </c>
      <c r="H49" s="155">
        <f t="shared" si="5"/>
        <v>1958326.8969999999</v>
      </c>
      <c r="I49" s="155">
        <f t="shared" si="5"/>
        <v>2341872.3509999998</v>
      </c>
      <c r="J49" s="155">
        <f t="shared" si="5"/>
        <v>2817477.4819999998</v>
      </c>
      <c r="K49" s="155">
        <f t="shared" si="5"/>
        <v>2488073.4070000001</v>
      </c>
      <c r="L49" s="155">
        <f t="shared" si="5"/>
        <v>2506045.7620000001</v>
      </c>
      <c r="M49" s="155">
        <f t="shared" si="5"/>
        <v>2429944.3769999999</v>
      </c>
      <c r="N49" s="155">
        <f t="shared" si="5"/>
        <v>2066250.916</v>
      </c>
      <c r="O49" s="155">
        <f t="shared" si="5"/>
        <v>1485710.202</v>
      </c>
      <c r="P49" s="155">
        <f t="shared" si="5"/>
        <v>1430551.095</v>
      </c>
      <c r="Q49" s="146">
        <f t="shared" si="1"/>
        <v>23218102.627999999</v>
      </c>
    </row>
    <row r="50" spans="2:17" x14ac:dyDescent="0.2">
      <c r="C50" s="154" t="s">
        <v>232</v>
      </c>
      <c r="E50" s="155">
        <f t="shared" si="5"/>
        <v>1084131.21</v>
      </c>
      <c r="F50" s="155">
        <f t="shared" si="5"/>
        <v>1076261.75</v>
      </c>
      <c r="G50" s="155">
        <f t="shared" si="5"/>
        <v>1104327.17</v>
      </c>
      <c r="H50" s="155">
        <f t="shared" si="5"/>
        <v>1494217.02</v>
      </c>
      <c r="I50" s="155">
        <f t="shared" si="5"/>
        <v>1811392.06</v>
      </c>
      <c r="J50" s="155">
        <f t="shared" si="5"/>
        <v>2114674.64</v>
      </c>
      <c r="K50" s="155">
        <f t="shared" si="5"/>
        <v>1951459.87</v>
      </c>
      <c r="L50" s="155">
        <f t="shared" si="5"/>
        <v>1961093.9500000002</v>
      </c>
      <c r="M50" s="155">
        <f t="shared" si="5"/>
        <v>1857442.65</v>
      </c>
      <c r="N50" s="155">
        <f t="shared" si="5"/>
        <v>1599860.8800000001</v>
      </c>
      <c r="O50" s="155">
        <f t="shared" si="5"/>
        <v>1278689.8499999999</v>
      </c>
      <c r="P50" s="155">
        <f t="shared" si="5"/>
        <v>1168040.95</v>
      </c>
      <c r="Q50" s="146">
        <f t="shared" si="1"/>
        <v>18501592.000000004</v>
      </c>
    </row>
    <row r="51" spans="2:17" x14ac:dyDescent="0.2">
      <c r="C51" s="154"/>
      <c r="Q51" s="146"/>
    </row>
    <row r="52" spans="2:17" x14ac:dyDescent="0.2">
      <c r="B52" s="136" t="s">
        <v>132</v>
      </c>
      <c r="C52" s="154"/>
      <c r="Q52" s="146"/>
    </row>
    <row r="53" spans="2:17" x14ac:dyDescent="0.2">
      <c r="C53" s="154">
        <v>31</v>
      </c>
      <c r="E53" s="155">
        <f t="shared" ref="E53:P53" si="7">SUMIF($A$17:$A$27,$C53,E$17:E$27)</f>
        <v>395133.00599999999</v>
      </c>
      <c r="F53" s="155">
        <f t="shared" si="7"/>
        <v>415618.07</v>
      </c>
      <c r="G53" s="155">
        <f t="shared" si="7"/>
        <v>500846.97600000002</v>
      </c>
      <c r="H53" s="155">
        <f t="shared" si="7"/>
        <v>1006993.794</v>
      </c>
      <c r="I53" s="155">
        <f t="shared" si="7"/>
        <v>1528407.077</v>
      </c>
      <c r="J53" s="155">
        <f t="shared" si="7"/>
        <v>2041098.7910000002</v>
      </c>
      <c r="K53" s="155">
        <f t="shared" si="7"/>
        <v>1964791.37</v>
      </c>
      <c r="L53" s="155">
        <f t="shared" si="7"/>
        <v>1882934.0430000001</v>
      </c>
      <c r="M53" s="155">
        <f t="shared" si="7"/>
        <v>1682660.3740000001</v>
      </c>
      <c r="N53" s="155">
        <f t="shared" si="7"/>
        <v>1063918.2120000001</v>
      </c>
      <c r="O53" s="155">
        <f t="shared" si="7"/>
        <v>559791.22699999996</v>
      </c>
      <c r="P53" s="155">
        <f t="shared" si="7"/>
        <v>429753.88400000002</v>
      </c>
      <c r="Q53" s="146">
        <f t="shared" si="1"/>
        <v>13471946.823999999</v>
      </c>
    </row>
    <row r="54" spans="2:17" x14ac:dyDescent="0.2">
      <c r="C54" s="167" t="s">
        <v>387</v>
      </c>
      <c r="E54" s="155">
        <f t="shared" ref="E54:E63" si="8">SUMIF($A$17:$A$27,$C54,E$17:E$27)</f>
        <v>76.98</v>
      </c>
      <c r="F54" s="155">
        <f t="shared" ref="F54:P54" si="9">SUMIF($A$17:$A$27,$C54,F$17:F$27)</f>
        <v>27.25</v>
      </c>
      <c r="G54" s="155">
        <f t="shared" si="9"/>
        <v>218.87</v>
      </c>
      <c r="H54" s="155">
        <f t="shared" si="9"/>
        <v>1982.63</v>
      </c>
      <c r="I54" s="155">
        <f t="shared" si="9"/>
        <v>3323.76</v>
      </c>
      <c r="J54" s="155">
        <f t="shared" si="9"/>
        <v>4410.21</v>
      </c>
      <c r="K54" s="155">
        <f t="shared" si="9"/>
        <v>2530.87</v>
      </c>
      <c r="L54" s="155">
        <f t="shared" si="9"/>
        <v>3905.98</v>
      </c>
      <c r="M54" s="155">
        <f t="shared" si="9"/>
        <v>2821.34</v>
      </c>
      <c r="N54" s="155">
        <f t="shared" si="9"/>
        <v>1980.65</v>
      </c>
      <c r="O54" s="155">
        <f t="shared" si="9"/>
        <v>595.91</v>
      </c>
      <c r="P54" s="155">
        <f t="shared" si="9"/>
        <v>27.44</v>
      </c>
      <c r="Q54" s="146">
        <f t="shared" si="1"/>
        <v>21901.89</v>
      </c>
    </row>
    <row r="55" spans="2:17" x14ac:dyDescent="0.2">
      <c r="C55" s="154">
        <v>41</v>
      </c>
      <c r="E55" s="155">
        <f t="shared" si="8"/>
        <v>715686.64599999995</v>
      </c>
      <c r="F55" s="155">
        <f t="shared" ref="F55:P63" si="10">SUMIF($A$17:$A$27,$C55,F$17:F$27)</f>
        <v>723322.54399999999</v>
      </c>
      <c r="G55" s="155">
        <f t="shared" si="10"/>
        <v>721587.85899999994</v>
      </c>
      <c r="H55" s="155">
        <f t="shared" si="10"/>
        <v>895018.30300000007</v>
      </c>
      <c r="I55" s="155">
        <f t="shared" si="10"/>
        <v>893863.43400000012</v>
      </c>
      <c r="J55" s="155">
        <f t="shared" si="10"/>
        <v>978320.95299999998</v>
      </c>
      <c r="K55" s="155">
        <f t="shared" si="10"/>
        <v>946435.92099999997</v>
      </c>
      <c r="L55" s="155">
        <f t="shared" si="10"/>
        <v>901078.02300000004</v>
      </c>
      <c r="M55" s="155">
        <f t="shared" si="10"/>
        <v>919254.62699999998</v>
      </c>
      <c r="N55" s="155">
        <f t="shared" si="10"/>
        <v>811446.06</v>
      </c>
      <c r="O55" s="155">
        <f t="shared" si="10"/>
        <v>700117.15899999999</v>
      </c>
      <c r="P55" s="155">
        <f t="shared" si="10"/>
        <v>208689.174</v>
      </c>
      <c r="Q55" s="146">
        <f t="shared" si="1"/>
        <v>9414820.7030000016</v>
      </c>
    </row>
    <row r="56" spans="2:17" x14ac:dyDescent="0.2">
      <c r="C56" s="154" t="s">
        <v>236</v>
      </c>
      <c r="E56" s="155">
        <f t="shared" si="8"/>
        <v>566917.64</v>
      </c>
      <c r="F56" s="155">
        <f t="shared" si="10"/>
        <v>536778.17999999993</v>
      </c>
      <c r="G56" s="155">
        <f t="shared" si="10"/>
        <v>501521.2</v>
      </c>
      <c r="H56" s="155">
        <f t="shared" si="10"/>
        <v>548774.43999999994</v>
      </c>
      <c r="I56" s="155">
        <f t="shared" si="10"/>
        <v>530865.47</v>
      </c>
      <c r="J56" s="155">
        <f t="shared" si="10"/>
        <v>502356.32999999996</v>
      </c>
      <c r="K56" s="155">
        <f t="shared" si="10"/>
        <v>587041.71</v>
      </c>
      <c r="L56" s="155">
        <f t="shared" si="10"/>
        <v>560063.15999999992</v>
      </c>
      <c r="M56" s="155">
        <f t="shared" si="10"/>
        <v>653291.67999999993</v>
      </c>
      <c r="N56" s="155">
        <f t="shared" si="10"/>
        <v>562059.31000000006</v>
      </c>
      <c r="O56" s="155">
        <f t="shared" si="10"/>
        <v>465111.51</v>
      </c>
      <c r="P56" s="155">
        <f t="shared" si="10"/>
        <v>456972.94</v>
      </c>
      <c r="Q56" s="146">
        <f t="shared" si="1"/>
        <v>6471753.5699999994</v>
      </c>
    </row>
    <row r="57" spans="2:17" x14ac:dyDescent="0.2">
      <c r="C57" s="154">
        <v>85</v>
      </c>
      <c r="E57" s="155">
        <f t="shared" si="8"/>
        <v>118216.663</v>
      </c>
      <c r="F57" s="155">
        <f t="shared" si="10"/>
        <v>108078.61899999999</v>
      </c>
      <c r="G57" s="155">
        <f t="shared" si="10"/>
        <v>117621.26699999999</v>
      </c>
      <c r="H57" s="155">
        <f t="shared" si="10"/>
        <v>132658.54500000001</v>
      </c>
      <c r="I57" s="155">
        <f t="shared" si="10"/>
        <v>150576.024</v>
      </c>
      <c r="J57" s="155">
        <f t="shared" si="10"/>
        <v>162942.16400000002</v>
      </c>
      <c r="K57" s="155">
        <f t="shared" si="10"/>
        <v>152783.32999999999</v>
      </c>
      <c r="L57" s="155">
        <f t="shared" si="10"/>
        <v>144144.49599999998</v>
      </c>
      <c r="M57" s="155">
        <f t="shared" si="10"/>
        <v>145396.611</v>
      </c>
      <c r="N57" s="155">
        <f t="shared" si="10"/>
        <v>149688.77699999997</v>
      </c>
      <c r="O57" s="155">
        <f t="shared" si="10"/>
        <v>126713.5</v>
      </c>
      <c r="P57" s="155">
        <f t="shared" si="10"/>
        <v>112017.696</v>
      </c>
      <c r="Q57" s="146">
        <f t="shared" si="1"/>
        <v>1620837.692</v>
      </c>
    </row>
    <row r="58" spans="2:17" x14ac:dyDescent="0.2">
      <c r="C58" s="154" t="s">
        <v>231</v>
      </c>
      <c r="E58" s="155">
        <f t="shared" si="8"/>
        <v>4280828.5600000005</v>
      </c>
      <c r="F58" s="155">
        <f t="shared" si="10"/>
        <v>4715349.79</v>
      </c>
      <c r="G58" s="155">
        <f t="shared" si="10"/>
        <v>4631320.07</v>
      </c>
      <c r="H58" s="155">
        <f t="shared" si="10"/>
        <v>5126915.4399999995</v>
      </c>
      <c r="I58" s="155">
        <f t="shared" si="10"/>
        <v>4478198.82</v>
      </c>
      <c r="J58" s="155">
        <f t="shared" si="10"/>
        <v>4595260.34</v>
      </c>
      <c r="K58" s="155">
        <f t="shared" si="10"/>
        <v>4463633.12</v>
      </c>
      <c r="L58" s="155">
        <f t="shared" si="10"/>
        <v>4116771.16</v>
      </c>
      <c r="M58" s="155">
        <f t="shared" si="10"/>
        <v>4871480.7699999996</v>
      </c>
      <c r="N58" s="155">
        <f t="shared" si="10"/>
        <v>4319936.82</v>
      </c>
      <c r="O58" s="155">
        <f t="shared" si="10"/>
        <v>4256767.37</v>
      </c>
      <c r="P58" s="155">
        <f t="shared" si="10"/>
        <v>4233782.51</v>
      </c>
      <c r="Q58" s="146">
        <f t="shared" si="1"/>
        <v>54090244.769999988</v>
      </c>
    </row>
    <row r="59" spans="2:17" x14ac:dyDescent="0.2">
      <c r="C59" s="154">
        <v>86</v>
      </c>
      <c r="E59" s="155">
        <f t="shared" si="8"/>
        <v>7050.719000000001</v>
      </c>
      <c r="F59" s="155">
        <f t="shared" si="10"/>
        <v>6990.4639999999999</v>
      </c>
      <c r="G59" s="155">
        <f t="shared" si="10"/>
        <v>59473.29</v>
      </c>
      <c r="H59" s="155">
        <f t="shared" si="10"/>
        <v>65278.603999999999</v>
      </c>
      <c r="I59" s="155">
        <f t="shared" si="10"/>
        <v>18252.848999999998</v>
      </c>
      <c r="J59" s="155">
        <f t="shared" si="10"/>
        <v>18496.313999999998</v>
      </c>
      <c r="K59" s="155">
        <f t="shared" si="10"/>
        <v>17702.267</v>
      </c>
      <c r="L59" s="155">
        <f t="shared" si="10"/>
        <v>18723.310999999998</v>
      </c>
      <c r="M59" s="155">
        <f t="shared" si="10"/>
        <v>17030.457000000002</v>
      </c>
      <c r="N59" s="155">
        <f t="shared" si="10"/>
        <v>21970.927</v>
      </c>
      <c r="O59" s="155">
        <f t="shared" si="10"/>
        <v>11131.916000000001</v>
      </c>
      <c r="P59" s="155">
        <f t="shared" si="10"/>
        <v>8571.3490000000002</v>
      </c>
      <c r="Q59" s="146">
        <f t="shared" si="1"/>
        <v>270672.46699999995</v>
      </c>
    </row>
    <row r="60" spans="2:17" x14ac:dyDescent="0.2">
      <c r="C60" s="154" t="s">
        <v>298</v>
      </c>
      <c r="E60" s="155">
        <f t="shared" si="8"/>
        <v>24835.61</v>
      </c>
      <c r="F60" s="155">
        <f t="shared" si="10"/>
        <v>18950.099999999999</v>
      </c>
      <c r="G60" s="155">
        <f t="shared" si="10"/>
        <v>14249</v>
      </c>
      <c r="H60" s="155">
        <f t="shared" si="10"/>
        <v>31358.14</v>
      </c>
      <c r="I60" s="155">
        <f t="shared" si="10"/>
        <v>28587.62</v>
      </c>
      <c r="J60" s="155">
        <f t="shared" si="10"/>
        <v>29791.48</v>
      </c>
      <c r="K60" s="155">
        <f t="shared" si="10"/>
        <v>49343.94</v>
      </c>
      <c r="L60" s="155">
        <f t="shared" si="10"/>
        <v>52603.87</v>
      </c>
      <c r="M60" s="155">
        <f t="shared" si="10"/>
        <v>40825.67</v>
      </c>
      <c r="N60" s="155">
        <f t="shared" si="10"/>
        <v>24785.5</v>
      </c>
      <c r="O60" s="155">
        <f t="shared" si="10"/>
        <v>18363.18</v>
      </c>
      <c r="P60" s="155">
        <f t="shared" si="10"/>
        <v>20942.59</v>
      </c>
      <c r="Q60" s="146">
        <f t="shared" si="1"/>
        <v>354636.7</v>
      </c>
    </row>
    <row r="61" spans="2:17" x14ac:dyDescent="0.2">
      <c r="C61" s="154">
        <v>87</v>
      </c>
      <c r="E61" s="155">
        <f t="shared" si="8"/>
        <v>0</v>
      </c>
      <c r="F61" s="155">
        <f t="shared" si="10"/>
        <v>0</v>
      </c>
      <c r="G61" s="155">
        <f t="shared" si="10"/>
        <v>0</v>
      </c>
      <c r="H61" s="155">
        <f t="shared" si="10"/>
        <v>0</v>
      </c>
      <c r="I61" s="155">
        <f t="shared" si="10"/>
        <v>0</v>
      </c>
      <c r="J61" s="155">
        <f t="shared" si="10"/>
        <v>0</v>
      </c>
      <c r="K61" s="155">
        <f t="shared" si="10"/>
        <v>0</v>
      </c>
      <c r="L61" s="155">
        <f t="shared" si="10"/>
        <v>0</v>
      </c>
      <c r="M61" s="155">
        <f t="shared" si="10"/>
        <v>0</v>
      </c>
      <c r="N61" s="155">
        <f t="shared" si="10"/>
        <v>0</v>
      </c>
      <c r="O61" s="155">
        <f t="shared" si="10"/>
        <v>0</v>
      </c>
      <c r="P61" s="155">
        <f t="shared" si="10"/>
        <v>0</v>
      </c>
      <c r="Q61" s="146">
        <f t="shared" si="1"/>
        <v>0</v>
      </c>
    </row>
    <row r="62" spans="2:17" x14ac:dyDescent="0.2">
      <c r="C62" s="154" t="s">
        <v>232</v>
      </c>
      <c r="E62" s="155">
        <f t="shared" si="8"/>
        <v>7598296.1299999999</v>
      </c>
      <c r="F62" s="155">
        <f t="shared" si="10"/>
        <v>7734935.3200000003</v>
      </c>
      <c r="G62" s="155">
        <f t="shared" si="10"/>
        <v>7364818.1600000001</v>
      </c>
      <c r="H62" s="155">
        <f t="shared" si="10"/>
        <v>7444983.4000000004</v>
      </c>
      <c r="I62" s="155">
        <f t="shared" si="10"/>
        <v>6267312.4800000004</v>
      </c>
      <c r="J62" s="155">
        <f t="shared" si="10"/>
        <v>7766997.3499999996</v>
      </c>
      <c r="K62" s="155">
        <f t="shared" si="10"/>
        <v>6317281.6500000004</v>
      </c>
      <c r="L62" s="155">
        <f t="shared" si="10"/>
        <v>6906246.4400000004</v>
      </c>
      <c r="M62" s="155">
        <f t="shared" si="10"/>
        <v>7685171.5099999998</v>
      </c>
      <c r="N62" s="155">
        <f t="shared" si="10"/>
        <v>6615627.5999999996</v>
      </c>
      <c r="O62" s="155">
        <f t="shared" si="10"/>
        <v>6953514.0099999998</v>
      </c>
      <c r="P62" s="155">
        <f t="shared" si="10"/>
        <v>6482373.2000000002</v>
      </c>
      <c r="Q62" s="146">
        <f t="shared" si="1"/>
        <v>85137557.25</v>
      </c>
    </row>
    <row r="63" spans="2:17" x14ac:dyDescent="0.2">
      <c r="C63" s="167" t="s">
        <v>346</v>
      </c>
      <c r="E63" s="704">
        <f t="shared" si="8"/>
        <v>1921334.9100000001</v>
      </c>
      <c r="F63" s="704">
        <f t="shared" si="10"/>
        <v>1869187.75</v>
      </c>
      <c r="G63" s="704">
        <f t="shared" si="10"/>
        <v>1943193.99</v>
      </c>
      <c r="H63" s="704">
        <f t="shared" si="10"/>
        <v>3014511.56</v>
      </c>
      <c r="I63" s="704">
        <f t="shared" si="10"/>
        <v>3745262.62</v>
      </c>
      <c r="J63" s="704">
        <f t="shared" si="10"/>
        <v>4436578.41</v>
      </c>
      <c r="K63" s="704">
        <f t="shared" si="10"/>
        <v>4032427.7399999998</v>
      </c>
      <c r="L63" s="704">
        <f t="shared" si="10"/>
        <v>4114898.2699999996</v>
      </c>
      <c r="M63" s="704">
        <f t="shared" si="10"/>
        <v>3806410.93</v>
      </c>
      <c r="N63" s="704">
        <f t="shared" si="10"/>
        <v>3156368.4099999997</v>
      </c>
      <c r="O63" s="704">
        <f t="shared" si="10"/>
        <v>2317402.04</v>
      </c>
      <c r="P63" s="704">
        <f t="shared" si="10"/>
        <v>2136885.0499999998</v>
      </c>
      <c r="Q63" s="703">
        <f t="shared" si="1"/>
        <v>36494461.68</v>
      </c>
    </row>
    <row r="64" spans="2:17" x14ac:dyDescent="0.2">
      <c r="C64" s="154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46"/>
    </row>
    <row r="65" spans="2:17" x14ac:dyDescent="0.2">
      <c r="B65" s="190" t="s">
        <v>113</v>
      </c>
      <c r="E65" s="146">
        <f>SUM(E37:E39,E42:E50,E53:E63)</f>
        <v>44767990.108999997</v>
      </c>
      <c r="F65" s="146">
        <f t="shared" ref="F65:P65" si="11">SUM(F37:F39,F42:F50,F53:F63)</f>
        <v>44321712.204000004</v>
      </c>
      <c r="G65" s="146">
        <f t="shared" si="11"/>
        <v>53590994.809999995</v>
      </c>
      <c r="H65" s="146">
        <f t="shared" si="11"/>
        <v>93463278.638000011</v>
      </c>
      <c r="I65" s="146">
        <f t="shared" si="11"/>
        <v>127407776.39500003</v>
      </c>
      <c r="J65" s="146">
        <f t="shared" si="11"/>
        <v>161646547.37800002</v>
      </c>
      <c r="K65" s="146">
        <f t="shared" si="11"/>
        <v>149339575.64200005</v>
      </c>
      <c r="L65" s="146">
        <f t="shared" si="11"/>
        <v>143362907.97800002</v>
      </c>
      <c r="M65" s="146">
        <f t="shared" si="11"/>
        <v>137374370.37000003</v>
      </c>
      <c r="N65" s="146">
        <f t="shared" si="11"/>
        <v>95636352.535999969</v>
      </c>
      <c r="O65" s="146">
        <f t="shared" si="11"/>
        <v>60594856.846999995</v>
      </c>
      <c r="P65" s="146">
        <f t="shared" si="11"/>
        <v>48426507.470000006</v>
      </c>
      <c r="Q65" s="146">
        <f t="shared" si="1"/>
        <v>1159932870.3770001</v>
      </c>
    </row>
    <row r="66" spans="2:17" x14ac:dyDescent="0.2">
      <c r="B66" s="135" t="s">
        <v>114</v>
      </c>
      <c r="E66" s="11">
        <f>E65-SUM(E7:E33)</f>
        <v>0</v>
      </c>
      <c r="F66" s="11">
        <f t="shared" ref="F66:P66" si="12">F65-SUM(F7:F33)</f>
        <v>0</v>
      </c>
      <c r="G66" s="11">
        <f t="shared" si="12"/>
        <v>0</v>
      </c>
      <c r="H66" s="11">
        <f t="shared" si="12"/>
        <v>0</v>
      </c>
      <c r="I66" s="11">
        <f t="shared" si="12"/>
        <v>0</v>
      </c>
      <c r="J66" s="11">
        <f t="shared" si="12"/>
        <v>0</v>
      </c>
      <c r="K66" s="11">
        <f t="shared" si="12"/>
        <v>0</v>
      </c>
      <c r="L66" s="11">
        <f t="shared" si="12"/>
        <v>0</v>
      </c>
      <c r="M66" s="11">
        <f t="shared" si="12"/>
        <v>0</v>
      </c>
      <c r="N66" s="11">
        <f t="shared" si="12"/>
        <v>0</v>
      </c>
      <c r="O66" s="11">
        <f t="shared" si="12"/>
        <v>0</v>
      </c>
      <c r="P66" s="11">
        <f t="shared" si="12"/>
        <v>0</v>
      </c>
      <c r="Q66" s="10">
        <f>SUM(E66:P66)</f>
        <v>0</v>
      </c>
    </row>
    <row r="67" spans="2:17" x14ac:dyDescent="0.2"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</row>
    <row r="68" spans="2:17" x14ac:dyDescent="0.2">
      <c r="B68" t="s">
        <v>545</v>
      </c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</row>
  </sheetData>
  <mergeCells count="4">
    <mergeCell ref="B1:Q1"/>
    <mergeCell ref="B2:Q2"/>
    <mergeCell ref="B3:Q3"/>
    <mergeCell ref="B4:Q4"/>
  </mergeCells>
  <printOptions horizontalCentered="1"/>
  <pageMargins left="0.25" right="0.25" top="1" bottom="0.75" header="0.5" footer="0.25"/>
  <pageSetup scale="57" fitToHeight="10" orientation="landscape" blackAndWhite="1" horizontalDpi="300" verticalDpi="300" r:id="rId1"/>
  <headerFooter alignWithMargins="0">
    <oddFooter>&amp;L&amp;F 
&amp;A&amp;C&amp;P&amp;R&amp;D</oddFooter>
  </headerFooter>
  <rowBreaks count="2" manualBreakCount="2">
    <brk id="34" min="1" max="16" man="1"/>
    <brk id="13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135"/>
  <sheetViews>
    <sheetView zoomScaleNormal="100" workbookViewId="0">
      <pane xSplit="1" ySplit="7" topLeftCell="B95" activePane="bottomRight" state="frozen"/>
      <selection activeCell="E33" sqref="E33"/>
      <selection pane="topRight" activeCell="E33" sqref="E33"/>
      <selection pane="bottomLeft" activeCell="E33" sqref="E33"/>
      <selection pane="bottomRight" activeCell="H137" sqref="H137"/>
    </sheetView>
  </sheetViews>
  <sheetFormatPr defaultRowHeight="12.75" x14ac:dyDescent="0.2"/>
  <cols>
    <col min="1" max="1" width="32.7109375" style="9" bestFit="1" customWidth="1"/>
    <col min="2" max="4" width="12.85546875" style="9" bestFit="1" customWidth="1"/>
    <col min="5" max="13" width="12.28515625" style="9" customWidth="1"/>
    <col min="14" max="14" width="14" style="9" bestFit="1" customWidth="1"/>
    <col min="15" max="16" width="9.140625" style="9" customWidth="1"/>
    <col min="17" max="16384" width="9.140625" style="9"/>
  </cols>
  <sheetData>
    <row r="1" spans="1:14" x14ac:dyDescent="0.2">
      <c r="A1" s="847" t="s">
        <v>1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</row>
    <row r="2" spans="1:14" x14ac:dyDescent="0.2">
      <c r="A2" s="847" t="s">
        <v>397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847"/>
      <c r="M2" s="847"/>
      <c r="N2" s="847"/>
    </row>
    <row r="3" spans="1:14" x14ac:dyDescent="0.2">
      <c r="A3" s="847" t="s">
        <v>599</v>
      </c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</row>
    <row r="4" spans="1:14" x14ac:dyDescent="0.2">
      <c r="A4" s="847" t="s">
        <v>542</v>
      </c>
      <c r="B4" s="847"/>
      <c r="C4" s="847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847"/>
    </row>
    <row r="6" spans="1:14" x14ac:dyDescent="0.2">
      <c r="N6" s="8"/>
    </row>
    <row r="7" spans="1:14" x14ac:dyDescent="0.2">
      <c r="A7" s="7" t="s">
        <v>140</v>
      </c>
      <c r="B7" s="198">
        <v>42917</v>
      </c>
      <c r="C7" s="198">
        <f>EDATE(B7,1)</f>
        <v>42948</v>
      </c>
      <c r="D7" s="198">
        <f t="shared" ref="D7:M7" si="0">EDATE(C7,1)</f>
        <v>42979</v>
      </c>
      <c r="E7" s="198">
        <f t="shared" si="0"/>
        <v>43009</v>
      </c>
      <c r="F7" s="198">
        <f t="shared" si="0"/>
        <v>43040</v>
      </c>
      <c r="G7" s="198">
        <f t="shared" si="0"/>
        <v>43070</v>
      </c>
      <c r="H7" s="198">
        <f t="shared" si="0"/>
        <v>43101</v>
      </c>
      <c r="I7" s="198">
        <f t="shared" si="0"/>
        <v>43132</v>
      </c>
      <c r="J7" s="198">
        <f t="shared" si="0"/>
        <v>43160</v>
      </c>
      <c r="K7" s="198">
        <f t="shared" si="0"/>
        <v>43191</v>
      </c>
      <c r="L7" s="198">
        <f t="shared" si="0"/>
        <v>43221</v>
      </c>
      <c r="M7" s="198">
        <f t="shared" si="0"/>
        <v>43252</v>
      </c>
      <c r="N7" s="6" t="s">
        <v>113</v>
      </c>
    </row>
    <row r="8" spans="1:14" ht="15" x14ac:dyDescent="0.25">
      <c r="A8" s="5" t="s">
        <v>193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3"/>
    </row>
    <row r="9" spans="1:14" x14ac:dyDescent="0.2">
      <c r="A9" s="2" t="s">
        <v>377</v>
      </c>
      <c r="B9" s="1">
        <v>886832.65700000001</v>
      </c>
      <c r="C9" s="1">
        <v>884440.07</v>
      </c>
      <c r="D9" s="1">
        <v>973850.66299999994</v>
      </c>
      <c r="E9" s="1">
        <v>1142376.115</v>
      </c>
      <c r="F9" s="1">
        <v>1109547.08</v>
      </c>
      <c r="G9" s="1">
        <v>1160802.577</v>
      </c>
      <c r="H9" s="1">
        <v>1157860.787</v>
      </c>
      <c r="I9" s="1">
        <v>1062897.169</v>
      </c>
      <c r="J9" s="1">
        <v>1190628.3959999999</v>
      </c>
      <c r="K9" s="1">
        <v>1151326.18</v>
      </c>
      <c r="L9" s="1">
        <v>1069778.638</v>
      </c>
      <c r="M9" s="1">
        <v>624301.44700000004</v>
      </c>
      <c r="N9" s="3">
        <f t="shared" ref="N9:N12" si="1">SUM(B9:M9)</f>
        <v>12414641.779000001</v>
      </c>
    </row>
    <row r="10" spans="1:14" x14ac:dyDescent="0.2">
      <c r="A10" s="2" t="s">
        <v>372</v>
      </c>
      <c r="B10" s="1">
        <v>1083303.8770000001</v>
      </c>
      <c r="C10" s="1">
        <v>1035590.325</v>
      </c>
      <c r="D10" s="1">
        <v>1324279.4210000001</v>
      </c>
      <c r="E10" s="1">
        <v>2293452.0189999999</v>
      </c>
      <c r="F10" s="1">
        <v>2912216.0520000001</v>
      </c>
      <c r="G10" s="1">
        <v>3410283.6340000001</v>
      </c>
      <c r="H10" s="1">
        <v>3303141.4559999998</v>
      </c>
      <c r="I10" s="1">
        <v>3137631.9730000002</v>
      </c>
      <c r="J10" s="1">
        <v>3158401.8859999999</v>
      </c>
      <c r="K10" s="1">
        <v>2445650.395</v>
      </c>
      <c r="L10" s="1">
        <v>1621469.713</v>
      </c>
      <c r="M10" s="1">
        <v>790567.19799999997</v>
      </c>
      <c r="N10" s="3">
        <f t="shared" si="1"/>
        <v>26515987.948999997</v>
      </c>
    </row>
    <row r="11" spans="1:14" x14ac:dyDescent="0.2">
      <c r="A11" s="2" t="s">
        <v>373</v>
      </c>
      <c r="B11" s="1">
        <v>466554.57</v>
      </c>
      <c r="C11" s="1">
        <v>385023.02100000001</v>
      </c>
      <c r="D11" s="1">
        <v>482954.81800000003</v>
      </c>
      <c r="E11" s="1">
        <v>1023068.269</v>
      </c>
      <c r="F11" s="1">
        <v>1640109.83</v>
      </c>
      <c r="G11" s="1">
        <v>2422929.0240000002</v>
      </c>
      <c r="H11" s="1">
        <v>2121983.693</v>
      </c>
      <c r="I11" s="1">
        <v>2176192.9410000001</v>
      </c>
      <c r="J11" s="1">
        <v>1885630.4010000001</v>
      </c>
      <c r="K11" s="1">
        <v>1191941.5959999999</v>
      </c>
      <c r="L11" s="1">
        <v>609701.17200000002</v>
      </c>
      <c r="M11" s="1">
        <v>149030.25099999999</v>
      </c>
      <c r="N11" s="3">
        <f t="shared" si="1"/>
        <v>14555119.585999999</v>
      </c>
    </row>
    <row r="12" spans="1:14" s="3" customFormat="1" ht="15" x14ac:dyDescent="0.25">
      <c r="A12" s="2" t="s">
        <v>113</v>
      </c>
      <c r="B12" s="4">
        <f t="shared" ref="B12:M12" si="2">SUM(B9:B11)</f>
        <v>2436691.1039999998</v>
      </c>
      <c r="C12" s="4">
        <f t="shared" si="2"/>
        <v>2305053.4160000002</v>
      </c>
      <c r="D12" s="4">
        <f t="shared" si="2"/>
        <v>2781084.9019999998</v>
      </c>
      <c r="E12" s="4">
        <f t="shared" si="2"/>
        <v>4458896.4029999999</v>
      </c>
      <c r="F12" s="4">
        <f t="shared" si="2"/>
        <v>5661872.9620000003</v>
      </c>
      <c r="G12" s="4">
        <f t="shared" si="2"/>
        <v>6994015.2350000003</v>
      </c>
      <c r="H12" s="4">
        <f t="shared" si="2"/>
        <v>6582985.9359999998</v>
      </c>
      <c r="I12" s="4">
        <f t="shared" si="2"/>
        <v>6376722.0830000006</v>
      </c>
      <c r="J12" s="4">
        <f t="shared" si="2"/>
        <v>6234660.6830000002</v>
      </c>
      <c r="K12" s="4">
        <f t="shared" si="2"/>
        <v>4788918.1710000001</v>
      </c>
      <c r="L12" s="4">
        <f t="shared" si="2"/>
        <v>3300949.523</v>
      </c>
      <c r="M12" s="4">
        <f t="shared" si="2"/>
        <v>1563898.8959999999</v>
      </c>
      <c r="N12" s="3">
        <f t="shared" si="1"/>
        <v>53485749.313999996</v>
      </c>
    </row>
    <row r="13" spans="1:14" ht="15" x14ac:dyDescent="0.25">
      <c r="A13" s="2" t="s">
        <v>114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</row>
    <row r="14" spans="1:14" ht="15" x14ac:dyDescent="0.25">
      <c r="A14" s="2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3"/>
    </row>
    <row r="15" spans="1:14" ht="15" x14ac:dyDescent="0.25">
      <c r="A15" s="5" t="s">
        <v>196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3"/>
    </row>
    <row r="16" spans="1:14" x14ac:dyDescent="0.2">
      <c r="A16" s="2" t="s">
        <v>377</v>
      </c>
      <c r="B16" s="1">
        <v>66455.850999999995</v>
      </c>
      <c r="C16" s="1">
        <v>65810.383000000002</v>
      </c>
      <c r="D16" s="1">
        <v>65174.857000000004</v>
      </c>
      <c r="E16" s="1">
        <v>68991.076000000001</v>
      </c>
      <c r="F16" s="1">
        <v>65734.865000000005</v>
      </c>
      <c r="G16" s="1">
        <v>68226.277000000002</v>
      </c>
      <c r="H16" s="1">
        <v>65669.274000000005</v>
      </c>
      <c r="I16" s="1">
        <v>62094.766000000003</v>
      </c>
      <c r="J16" s="1">
        <v>67369.051000000007</v>
      </c>
      <c r="K16" s="1">
        <v>65894.456000000006</v>
      </c>
      <c r="L16" s="1">
        <v>64681.207000000002</v>
      </c>
      <c r="M16" s="1">
        <v>28021.076000000001</v>
      </c>
      <c r="N16" s="3">
        <f t="shared" ref="N16:N19" si="3">SUM(B16:M16)</f>
        <v>754123.13899999997</v>
      </c>
    </row>
    <row r="17" spans="1:16" x14ac:dyDescent="0.2">
      <c r="A17" s="2" t="s">
        <v>372</v>
      </c>
      <c r="B17" s="1">
        <v>206546.99400000001</v>
      </c>
      <c r="C17" s="1">
        <v>207953.351</v>
      </c>
      <c r="D17" s="1">
        <v>213176.33499999999</v>
      </c>
      <c r="E17" s="1">
        <v>248447.16800000001</v>
      </c>
      <c r="F17" s="1">
        <v>249445.00899999999</v>
      </c>
      <c r="G17" s="1">
        <v>260066.27799999999</v>
      </c>
      <c r="H17" s="1">
        <v>251095.27799999999</v>
      </c>
      <c r="I17" s="1">
        <v>239327.72</v>
      </c>
      <c r="J17" s="1">
        <v>254583.26</v>
      </c>
      <c r="K17" s="1">
        <v>240732.26</v>
      </c>
      <c r="L17" s="1">
        <v>216637.33</v>
      </c>
      <c r="M17" s="1">
        <v>81984.774000000005</v>
      </c>
      <c r="N17" s="3">
        <f t="shared" si="3"/>
        <v>2669995.7570000002</v>
      </c>
    </row>
    <row r="18" spans="1:16" x14ac:dyDescent="0.2">
      <c r="A18" s="2" t="s">
        <v>373</v>
      </c>
      <c r="B18" s="1">
        <v>442683.80099999998</v>
      </c>
      <c r="C18" s="1">
        <v>449558.81</v>
      </c>
      <c r="D18" s="1">
        <v>443236.66700000002</v>
      </c>
      <c r="E18" s="1">
        <v>577580.05900000001</v>
      </c>
      <c r="F18" s="1">
        <v>578683.56000000006</v>
      </c>
      <c r="G18" s="1">
        <v>650028.39800000004</v>
      </c>
      <c r="H18" s="1">
        <v>629671.36899999995</v>
      </c>
      <c r="I18" s="1">
        <v>599655.53700000001</v>
      </c>
      <c r="J18" s="1">
        <v>597302.31599999999</v>
      </c>
      <c r="K18" s="1">
        <v>504819.34399999998</v>
      </c>
      <c r="L18" s="1">
        <v>418798.62199999997</v>
      </c>
      <c r="M18" s="1">
        <v>98683.323999999993</v>
      </c>
      <c r="N18" s="3">
        <f t="shared" si="3"/>
        <v>5990701.8069999991</v>
      </c>
    </row>
    <row r="19" spans="1:16" s="3" customFormat="1" ht="15" x14ac:dyDescent="0.25">
      <c r="A19" s="2" t="s">
        <v>113</v>
      </c>
      <c r="B19" s="4">
        <f t="shared" ref="B19:M19" si="4">SUM(B16:B18)</f>
        <v>715686.64599999995</v>
      </c>
      <c r="C19" s="4">
        <f t="shared" si="4"/>
        <v>723322.54399999999</v>
      </c>
      <c r="D19" s="4">
        <f t="shared" si="4"/>
        <v>721587.85899999994</v>
      </c>
      <c r="E19" s="4">
        <f t="shared" si="4"/>
        <v>895018.30300000007</v>
      </c>
      <c r="F19" s="4">
        <f t="shared" si="4"/>
        <v>893863.43400000012</v>
      </c>
      <c r="G19" s="4">
        <f t="shared" si="4"/>
        <v>978320.95299999998</v>
      </c>
      <c r="H19" s="4">
        <f t="shared" si="4"/>
        <v>946435.92099999997</v>
      </c>
      <c r="I19" s="4">
        <f t="shared" si="4"/>
        <v>901078.02300000004</v>
      </c>
      <c r="J19" s="4">
        <f t="shared" si="4"/>
        <v>919254.62699999998</v>
      </c>
      <c r="K19" s="4">
        <f t="shared" si="4"/>
        <v>811446.06</v>
      </c>
      <c r="L19" s="4">
        <f t="shared" si="4"/>
        <v>700117.15899999999</v>
      </c>
      <c r="M19" s="4">
        <f t="shared" si="4"/>
        <v>208689.174</v>
      </c>
      <c r="N19" s="3">
        <f t="shared" si="3"/>
        <v>9414820.7030000016</v>
      </c>
    </row>
    <row r="20" spans="1:16" ht="15" x14ac:dyDescent="0.25">
      <c r="A20" s="2" t="s">
        <v>114</v>
      </c>
      <c r="B20" s="4">
        <v>0</v>
      </c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</row>
    <row r="21" spans="1:16" ht="15" x14ac:dyDescent="0.25">
      <c r="A21" s="2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3"/>
      <c r="P21" s="3"/>
    </row>
    <row r="22" spans="1:16" x14ac:dyDescent="0.2">
      <c r="A22" s="2" t="s">
        <v>370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P22" s="3"/>
    </row>
    <row r="23" spans="1:16" x14ac:dyDescent="0.2">
      <c r="A23" s="2" t="s">
        <v>371</v>
      </c>
      <c r="B23" s="1">
        <v>61737.599999999999</v>
      </c>
      <c r="C23" s="1">
        <v>62165.19</v>
      </c>
      <c r="D23" s="1">
        <v>63433.68</v>
      </c>
      <c r="E23" s="1">
        <v>66525.899999999994</v>
      </c>
      <c r="F23" s="1">
        <v>67500</v>
      </c>
      <c r="G23" s="1">
        <v>67334.38</v>
      </c>
      <c r="H23" s="1">
        <v>69360</v>
      </c>
      <c r="I23" s="1">
        <v>70980</v>
      </c>
      <c r="J23" s="1">
        <v>71100</v>
      </c>
      <c r="K23" s="1">
        <v>72000</v>
      </c>
      <c r="L23" s="1">
        <v>70241.990000000005</v>
      </c>
      <c r="M23" s="1">
        <v>70979.11</v>
      </c>
      <c r="N23" s="3">
        <f>SUM(B23:M23)</f>
        <v>813357.85</v>
      </c>
      <c r="P23" s="3"/>
    </row>
    <row r="24" spans="1:16" x14ac:dyDescent="0.2">
      <c r="A24" s="2" t="s">
        <v>372</v>
      </c>
      <c r="B24" s="1">
        <v>190222.91</v>
      </c>
      <c r="C24" s="1">
        <v>188862.49</v>
      </c>
      <c r="D24" s="1">
        <v>196876.2</v>
      </c>
      <c r="E24" s="1">
        <v>241816.23</v>
      </c>
      <c r="F24" s="1">
        <v>260935.1</v>
      </c>
      <c r="G24" s="1">
        <v>276147.83</v>
      </c>
      <c r="H24" s="1">
        <v>278423.61</v>
      </c>
      <c r="I24" s="1">
        <v>284808.07</v>
      </c>
      <c r="J24" s="1">
        <v>280728.15999999997</v>
      </c>
      <c r="K24" s="1">
        <v>264094.78999999998</v>
      </c>
      <c r="L24" s="1">
        <v>232893.8</v>
      </c>
      <c r="M24" s="1">
        <v>224854.84</v>
      </c>
      <c r="N24" s="3">
        <f t="shared" ref="N24:N25" si="5">SUM(B24:M24)</f>
        <v>2920664.03</v>
      </c>
      <c r="P24" s="3"/>
    </row>
    <row r="25" spans="1:16" x14ac:dyDescent="0.2">
      <c r="A25" s="2" t="s">
        <v>373</v>
      </c>
      <c r="B25" s="1">
        <v>590317.98</v>
      </c>
      <c r="C25" s="1">
        <v>668176.92000000004</v>
      </c>
      <c r="D25" s="1">
        <v>614308.48</v>
      </c>
      <c r="E25" s="1">
        <v>731194.55</v>
      </c>
      <c r="F25" s="1">
        <v>812694.13899999997</v>
      </c>
      <c r="G25" s="1">
        <v>905886.43</v>
      </c>
      <c r="H25" s="1">
        <v>908188.78</v>
      </c>
      <c r="I25" s="1">
        <v>863702.94</v>
      </c>
      <c r="J25" s="1">
        <v>897547.7</v>
      </c>
      <c r="K25" s="1">
        <v>785225.14</v>
      </c>
      <c r="L25" s="1">
        <v>694306.43</v>
      </c>
      <c r="M25" s="1">
        <v>517322.58</v>
      </c>
      <c r="N25" s="3">
        <f t="shared" si="5"/>
        <v>8988872.0690000001</v>
      </c>
      <c r="P25" s="3"/>
    </row>
    <row r="26" spans="1:16" ht="15" x14ac:dyDescent="0.25">
      <c r="A26" s="2" t="s">
        <v>113</v>
      </c>
      <c r="B26" s="4">
        <f t="shared" ref="B26:M26" si="6">SUM(B23:B25)</f>
        <v>842278.49</v>
      </c>
      <c r="C26" s="4">
        <f t="shared" si="6"/>
        <v>919204.60000000009</v>
      </c>
      <c r="D26" s="4">
        <f t="shared" si="6"/>
        <v>874618.36</v>
      </c>
      <c r="E26" s="4">
        <f t="shared" si="6"/>
        <v>1039536.68</v>
      </c>
      <c r="F26" s="4">
        <f t="shared" si="6"/>
        <v>1141129.2390000001</v>
      </c>
      <c r="G26" s="4">
        <f t="shared" si="6"/>
        <v>1249368.6400000001</v>
      </c>
      <c r="H26" s="4">
        <f t="shared" si="6"/>
        <v>1255972.3900000001</v>
      </c>
      <c r="I26" s="4">
        <f t="shared" si="6"/>
        <v>1219491.01</v>
      </c>
      <c r="J26" s="4">
        <f t="shared" si="6"/>
        <v>1249375.8599999999</v>
      </c>
      <c r="K26" s="4">
        <f t="shared" si="6"/>
        <v>1121319.93</v>
      </c>
      <c r="L26" s="4">
        <f t="shared" si="6"/>
        <v>997442.22</v>
      </c>
      <c r="M26" s="4">
        <f t="shared" si="6"/>
        <v>813156.53</v>
      </c>
      <c r="N26" s="3">
        <f>SUM(B26:M26)</f>
        <v>12722893.949000001</v>
      </c>
      <c r="P26" s="3"/>
    </row>
    <row r="27" spans="1:16" ht="15" x14ac:dyDescent="0.25">
      <c r="A27" s="3" t="s">
        <v>114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P27" s="3"/>
    </row>
    <row r="28" spans="1:16" ht="15" x14ac:dyDescent="0.25">
      <c r="A28" s="2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3"/>
      <c r="P28" s="3"/>
    </row>
    <row r="29" spans="1:16" ht="15" x14ac:dyDescent="0.25">
      <c r="A29" s="2" t="s">
        <v>374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3"/>
      <c r="P29" s="3"/>
    </row>
    <row r="30" spans="1:16" x14ac:dyDescent="0.2">
      <c r="A30" s="2" t="s">
        <v>371</v>
      </c>
      <c r="B30" s="1">
        <v>24300</v>
      </c>
      <c r="C30" s="1">
        <v>23400</v>
      </c>
      <c r="D30" s="1">
        <v>23400</v>
      </c>
      <c r="E30" s="1">
        <v>23156.81</v>
      </c>
      <c r="F30" s="1">
        <v>23400</v>
      </c>
      <c r="G30" s="1">
        <v>23430</v>
      </c>
      <c r="H30" s="1">
        <v>23430</v>
      </c>
      <c r="I30" s="1">
        <v>23400</v>
      </c>
      <c r="J30" s="1">
        <v>23400</v>
      </c>
      <c r="K30" s="1">
        <v>22500</v>
      </c>
      <c r="L30" s="1">
        <v>19800</v>
      </c>
      <c r="M30" s="1">
        <v>19800</v>
      </c>
      <c r="N30" s="3">
        <f>SUM(B30:M30)</f>
        <v>273416.81</v>
      </c>
      <c r="P30" s="3"/>
    </row>
    <row r="31" spans="1:16" x14ac:dyDescent="0.2">
      <c r="A31" s="2" t="s">
        <v>372</v>
      </c>
      <c r="B31" s="1">
        <v>107260.05</v>
      </c>
      <c r="C31" s="1">
        <v>104230.96</v>
      </c>
      <c r="D31" s="1">
        <v>103865.95</v>
      </c>
      <c r="E31" s="1">
        <v>101005.09</v>
      </c>
      <c r="F31" s="1">
        <v>104060.37</v>
      </c>
      <c r="G31" s="1">
        <v>104997</v>
      </c>
      <c r="H31" s="1">
        <v>105881.71</v>
      </c>
      <c r="I31" s="1">
        <v>104439.87</v>
      </c>
      <c r="J31" s="1">
        <v>104239.07</v>
      </c>
      <c r="K31" s="1">
        <v>100178.73</v>
      </c>
      <c r="L31" s="1">
        <v>87607.43</v>
      </c>
      <c r="M31" s="1">
        <v>85479.8</v>
      </c>
      <c r="N31" s="3">
        <f t="shared" ref="N31:N33" si="7">SUM(B31:M31)</f>
        <v>1213246.03</v>
      </c>
      <c r="P31" s="3"/>
    </row>
    <row r="32" spans="1:16" x14ac:dyDescent="0.2">
      <c r="A32" s="2" t="s">
        <v>373</v>
      </c>
      <c r="B32" s="1">
        <v>435357.59</v>
      </c>
      <c r="C32" s="1">
        <v>409147.22</v>
      </c>
      <c r="D32" s="1">
        <v>374255.25</v>
      </c>
      <c r="E32" s="1">
        <v>424612.54</v>
      </c>
      <c r="F32" s="1">
        <v>403405.1</v>
      </c>
      <c r="G32" s="1">
        <v>373929.33</v>
      </c>
      <c r="H32" s="1">
        <v>457730</v>
      </c>
      <c r="I32" s="1">
        <v>432223.29</v>
      </c>
      <c r="J32" s="1">
        <v>525652.61</v>
      </c>
      <c r="K32" s="1">
        <v>439380.58</v>
      </c>
      <c r="L32" s="1">
        <v>357704.08</v>
      </c>
      <c r="M32" s="1">
        <v>351693.14</v>
      </c>
      <c r="N32" s="3">
        <f t="shared" si="7"/>
        <v>4985090.7299999995</v>
      </c>
      <c r="P32" s="3"/>
    </row>
    <row r="33" spans="1:16" ht="15" x14ac:dyDescent="0.25">
      <c r="A33" s="2" t="s">
        <v>113</v>
      </c>
      <c r="B33" s="4">
        <f t="shared" ref="B33:M33" si="8">SUM(B30:B32)</f>
        <v>566917.64</v>
      </c>
      <c r="C33" s="4">
        <f t="shared" si="8"/>
        <v>536778.17999999993</v>
      </c>
      <c r="D33" s="4">
        <f t="shared" si="8"/>
        <v>501521.2</v>
      </c>
      <c r="E33" s="4">
        <f t="shared" si="8"/>
        <v>548774.43999999994</v>
      </c>
      <c r="F33" s="4">
        <f t="shared" si="8"/>
        <v>530865.47</v>
      </c>
      <c r="G33" s="4">
        <f t="shared" si="8"/>
        <v>502356.33</v>
      </c>
      <c r="H33" s="4">
        <f t="shared" si="8"/>
        <v>587041.71</v>
      </c>
      <c r="I33" s="4">
        <f t="shared" si="8"/>
        <v>560063.15999999992</v>
      </c>
      <c r="J33" s="4">
        <f t="shared" si="8"/>
        <v>653291.67999999993</v>
      </c>
      <c r="K33" s="4">
        <f t="shared" si="8"/>
        <v>562059.31000000006</v>
      </c>
      <c r="L33" s="4">
        <f t="shared" si="8"/>
        <v>465111.51</v>
      </c>
      <c r="M33" s="4">
        <f t="shared" si="8"/>
        <v>456972.94</v>
      </c>
      <c r="N33" s="3">
        <f t="shared" si="7"/>
        <v>6471753.5699999994</v>
      </c>
      <c r="P33" s="3"/>
    </row>
    <row r="34" spans="1:16" ht="15" x14ac:dyDescent="0.25">
      <c r="A34" s="2" t="s">
        <v>114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P34" s="3"/>
    </row>
    <row r="35" spans="1:16" x14ac:dyDescent="0.2">
      <c r="P35" s="3"/>
    </row>
    <row r="36" spans="1:16" ht="15" x14ac:dyDescent="0.25">
      <c r="A36" s="9" t="s">
        <v>250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3"/>
      <c r="P36" s="3"/>
    </row>
    <row r="37" spans="1:16" x14ac:dyDescent="0.2">
      <c r="A37" s="2" t="s">
        <v>31</v>
      </c>
      <c r="B37" s="1">
        <v>477465.83299999998</v>
      </c>
      <c r="C37" s="1">
        <v>455876.00099999999</v>
      </c>
      <c r="D37" s="1">
        <v>475597.31800000003</v>
      </c>
      <c r="E37" s="1">
        <v>585808.54399999999</v>
      </c>
      <c r="F37" s="1">
        <v>609730.79299999995</v>
      </c>
      <c r="G37" s="1">
        <v>627459.95499999996</v>
      </c>
      <c r="H37" s="1">
        <v>619196.05900000001</v>
      </c>
      <c r="I37" s="1">
        <v>596871.32700000005</v>
      </c>
      <c r="J37" s="1">
        <v>628194.80700000003</v>
      </c>
      <c r="K37" s="1">
        <v>590443.04700000002</v>
      </c>
      <c r="L37" s="1">
        <v>535177.755</v>
      </c>
      <c r="M37" s="1">
        <v>453570.95</v>
      </c>
      <c r="N37" s="3">
        <f t="shared" ref="N37:N40" si="9">SUM(B37:M37)</f>
        <v>6655392.3890000004</v>
      </c>
    </row>
    <row r="38" spans="1:16" x14ac:dyDescent="0.2">
      <c r="A38" s="2" t="s">
        <v>32</v>
      </c>
      <c r="B38" s="1">
        <v>207016.51500000001</v>
      </c>
      <c r="C38" s="1">
        <v>190848.08100000001</v>
      </c>
      <c r="D38" s="1">
        <v>227262.685</v>
      </c>
      <c r="E38" s="1">
        <v>328943.587</v>
      </c>
      <c r="F38" s="1">
        <v>390519.83799999999</v>
      </c>
      <c r="G38" s="1">
        <v>478153.67599999998</v>
      </c>
      <c r="H38" s="1">
        <v>453670.63400000002</v>
      </c>
      <c r="I38" s="1">
        <v>395277.45</v>
      </c>
      <c r="J38" s="1">
        <v>414001.36099999998</v>
      </c>
      <c r="K38" s="1">
        <v>295900.73800000001</v>
      </c>
      <c r="L38" s="1">
        <v>251734.97399999999</v>
      </c>
      <c r="M38" s="1">
        <v>208698.899</v>
      </c>
      <c r="N38" s="3">
        <f t="shared" si="9"/>
        <v>3842028.4380000001</v>
      </c>
    </row>
    <row r="39" spans="1:16" x14ac:dyDescent="0.2">
      <c r="A39" s="2" t="s">
        <v>379</v>
      </c>
      <c r="B39" s="1">
        <v>33590.434000000001</v>
      </c>
      <c r="C39" s="1">
        <v>17665.422999999999</v>
      </c>
      <c r="D39" s="1">
        <v>89193.548999999999</v>
      </c>
      <c r="E39" s="1">
        <v>336004.20199999999</v>
      </c>
      <c r="F39" s="1">
        <v>551061.34400000004</v>
      </c>
      <c r="G39" s="1">
        <v>760828.57700000005</v>
      </c>
      <c r="H39" s="1">
        <v>637649.24600000004</v>
      </c>
      <c r="I39" s="1">
        <v>587587.76100000006</v>
      </c>
      <c r="J39" s="1">
        <v>600062.96799999999</v>
      </c>
      <c r="K39" s="1">
        <v>357311.35100000002</v>
      </c>
      <c r="L39" s="1">
        <v>133322.15700000001</v>
      </c>
      <c r="M39" s="1">
        <v>47470.894999999997</v>
      </c>
      <c r="N39" s="3">
        <f t="shared" si="9"/>
        <v>4151747.9070000006</v>
      </c>
    </row>
    <row r="40" spans="1:16" ht="15" x14ac:dyDescent="0.25">
      <c r="A40" s="2" t="s">
        <v>113</v>
      </c>
      <c r="B40" s="4">
        <f t="shared" ref="B40:M40" si="10">SUM(B37:B39)</f>
        <v>718072.78200000001</v>
      </c>
      <c r="C40" s="4">
        <f t="shared" si="10"/>
        <v>664389.50499999989</v>
      </c>
      <c r="D40" s="4">
        <f t="shared" si="10"/>
        <v>792053.55200000003</v>
      </c>
      <c r="E40" s="4">
        <f t="shared" si="10"/>
        <v>1250756.3330000001</v>
      </c>
      <c r="F40" s="4">
        <f t="shared" si="10"/>
        <v>1551311.9750000001</v>
      </c>
      <c r="G40" s="4">
        <f t="shared" si="10"/>
        <v>1866442.2080000001</v>
      </c>
      <c r="H40" s="4">
        <f t="shared" si="10"/>
        <v>1710515.939</v>
      </c>
      <c r="I40" s="4">
        <f t="shared" si="10"/>
        <v>1579736.5380000002</v>
      </c>
      <c r="J40" s="4">
        <f t="shared" si="10"/>
        <v>1642259.1359999999</v>
      </c>
      <c r="K40" s="4">
        <f t="shared" si="10"/>
        <v>1243655.1359999999</v>
      </c>
      <c r="L40" s="4">
        <f t="shared" si="10"/>
        <v>920234.88600000006</v>
      </c>
      <c r="M40" s="4">
        <f t="shared" si="10"/>
        <v>709740.74400000006</v>
      </c>
      <c r="N40" s="3">
        <f t="shared" si="9"/>
        <v>14649168.734000001</v>
      </c>
    </row>
    <row r="41" spans="1:16" ht="15" x14ac:dyDescent="0.25">
      <c r="A41" s="2" t="s">
        <v>114</v>
      </c>
      <c r="B41" s="4">
        <v>0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</row>
    <row r="42" spans="1:16" ht="15" x14ac:dyDescent="0.25">
      <c r="A42" s="2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3"/>
      <c r="P42" s="3"/>
    </row>
    <row r="43" spans="1:16" ht="15" x14ac:dyDescent="0.25">
      <c r="A43" s="9" t="s">
        <v>252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3"/>
      <c r="P43" s="3"/>
    </row>
    <row r="44" spans="1:16" x14ac:dyDescent="0.2">
      <c r="A44" s="2" t="s">
        <v>31</v>
      </c>
      <c r="B44" s="1">
        <v>92736.415999999997</v>
      </c>
      <c r="C44" s="1">
        <v>88705.854999999996</v>
      </c>
      <c r="D44" s="1">
        <v>88846.324999999997</v>
      </c>
      <c r="E44" s="1">
        <v>96948.638000000006</v>
      </c>
      <c r="F44" s="1">
        <v>99609.741999999998</v>
      </c>
      <c r="G44" s="1">
        <v>98942.221999999994</v>
      </c>
      <c r="H44" s="1">
        <v>100694.553</v>
      </c>
      <c r="I44" s="1">
        <v>95970.812999999995</v>
      </c>
      <c r="J44" s="1">
        <v>99781.682000000001</v>
      </c>
      <c r="K44" s="1">
        <v>100107.56</v>
      </c>
      <c r="L44" s="1">
        <v>91522.342999999993</v>
      </c>
      <c r="M44" s="1">
        <v>87325.294999999998</v>
      </c>
      <c r="N44" s="3">
        <f t="shared" ref="N44:N47" si="11">SUM(B44:M44)</f>
        <v>1141191.4439999997</v>
      </c>
      <c r="P44" s="3"/>
    </row>
    <row r="45" spans="1:16" x14ac:dyDescent="0.2">
      <c r="A45" s="2" t="s">
        <v>32</v>
      </c>
      <c r="B45" s="1">
        <v>25480.246999999999</v>
      </c>
      <c r="C45" s="1">
        <v>19372.763999999999</v>
      </c>
      <c r="D45" s="1">
        <v>28774.941999999999</v>
      </c>
      <c r="E45" s="1">
        <v>35709.906999999999</v>
      </c>
      <c r="F45" s="1">
        <v>45196.078000000001</v>
      </c>
      <c r="G45" s="1">
        <v>53216.502999999997</v>
      </c>
      <c r="H45" s="1">
        <v>47232.860999999997</v>
      </c>
      <c r="I45" s="1">
        <v>41418.798999999999</v>
      </c>
      <c r="J45" s="1">
        <v>37198.016000000003</v>
      </c>
      <c r="K45" s="1">
        <v>47052.500999999997</v>
      </c>
      <c r="L45" s="1">
        <v>35115.035000000003</v>
      </c>
      <c r="M45" s="1">
        <v>24692.401000000002</v>
      </c>
      <c r="N45" s="3">
        <f t="shared" si="11"/>
        <v>440460.05400000006</v>
      </c>
      <c r="P45" s="3"/>
    </row>
    <row r="46" spans="1:16" x14ac:dyDescent="0.2">
      <c r="A46" s="2" t="s">
        <v>379</v>
      </c>
      <c r="B46" s="1">
        <v>0</v>
      </c>
      <c r="C46" s="1">
        <v>0</v>
      </c>
      <c r="D46" s="1">
        <v>0</v>
      </c>
      <c r="E46" s="1">
        <v>0</v>
      </c>
      <c r="F46" s="1">
        <v>5770.2039999999997</v>
      </c>
      <c r="G46" s="1">
        <v>10783.439</v>
      </c>
      <c r="H46" s="1">
        <v>4855.9160000000002</v>
      </c>
      <c r="I46" s="1">
        <v>6754.884</v>
      </c>
      <c r="J46" s="1">
        <v>8416.9130000000005</v>
      </c>
      <c r="K46" s="1">
        <v>2528.7159999999999</v>
      </c>
      <c r="L46" s="1">
        <v>76.122</v>
      </c>
      <c r="M46" s="1">
        <v>0</v>
      </c>
      <c r="N46" s="3">
        <f t="shared" si="11"/>
        <v>39186.194000000003</v>
      </c>
      <c r="P46" s="3"/>
    </row>
    <row r="47" spans="1:16" ht="15" x14ac:dyDescent="0.25">
      <c r="A47" s="2" t="s">
        <v>113</v>
      </c>
      <c r="B47" s="4">
        <f t="shared" ref="B47:M47" si="12">SUM(B44:B46)</f>
        <v>118216.663</v>
      </c>
      <c r="C47" s="4">
        <f t="shared" si="12"/>
        <v>108078.61899999999</v>
      </c>
      <c r="D47" s="4">
        <f t="shared" si="12"/>
        <v>117621.26699999999</v>
      </c>
      <c r="E47" s="4">
        <f t="shared" si="12"/>
        <v>132658.54500000001</v>
      </c>
      <c r="F47" s="4">
        <f t="shared" si="12"/>
        <v>150576.024</v>
      </c>
      <c r="G47" s="4">
        <f t="shared" si="12"/>
        <v>162942.16399999999</v>
      </c>
      <c r="H47" s="4">
        <f t="shared" si="12"/>
        <v>152783.32999999999</v>
      </c>
      <c r="I47" s="4">
        <f t="shared" si="12"/>
        <v>144144.49599999998</v>
      </c>
      <c r="J47" s="4">
        <f t="shared" si="12"/>
        <v>145396.611</v>
      </c>
      <c r="K47" s="4">
        <f t="shared" si="12"/>
        <v>149688.77699999997</v>
      </c>
      <c r="L47" s="4">
        <f t="shared" si="12"/>
        <v>126713.5</v>
      </c>
      <c r="M47" s="4">
        <f t="shared" si="12"/>
        <v>112017.696</v>
      </c>
      <c r="N47" s="3">
        <f t="shared" si="11"/>
        <v>1620837.692</v>
      </c>
      <c r="P47" s="3"/>
    </row>
    <row r="48" spans="1:16" ht="15" x14ac:dyDescent="0.25">
      <c r="A48" s="2" t="s">
        <v>114</v>
      </c>
      <c r="B48" s="4">
        <v>0</v>
      </c>
      <c r="C48" s="4">
        <v>0</v>
      </c>
      <c r="D48" s="4"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P48" s="3"/>
    </row>
    <row r="49" spans="1:16" x14ac:dyDescent="0.2">
      <c r="P49" s="3"/>
    </row>
    <row r="50" spans="1:16" ht="15" x14ac:dyDescent="0.25">
      <c r="A50" s="2" t="s">
        <v>378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3"/>
      <c r="P50" s="3"/>
    </row>
    <row r="51" spans="1:16" x14ac:dyDescent="0.2">
      <c r="A51" s="2" t="s">
        <v>31</v>
      </c>
      <c r="B51" s="1">
        <v>766888.77</v>
      </c>
      <c r="C51" s="1">
        <v>765804.68</v>
      </c>
      <c r="D51" s="1">
        <v>768877.91</v>
      </c>
      <c r="E51" s="1">
        <v>786959.22</v>
      </c>
      <c r="F51" s="1">
        <v>782983.73</v>
      </c>
      <c r="G51" s="1">
        <v>806226.5</v>
      </c>
      <c r="H51" s="1">
        <v>795648.58</v>
      </c>
      <c r="I51" s="1">
        <v>769515.8</v>
      </c>
      <c r="J51" s="1">
        <v>788760.82</v>
      </c>
      <c r="K51" s="1">
        <v>775878.28</v>
      </c>
      <c r="L51" s="1">
        <v>779542.12</v>
      </c>
      <c r="M51" s="1">
        <v>782090.09</v>
      </c>
      <c r="N51" s="3">
        <f t="shared" ref="N51:N54" si="13">SUM(B51:M51)</f>
        <v>9369176.5</v>
      </c>
      <c r="P51" s="3"/>
    </row>
    <row r="52" spans="1:16" ht="15" x14ac:dyDescent="0.25">
      <c r="A52" s="2" t="s">
        <v>32</v>
      </c>
      <c r="B52" s="1">
        <v>443250.74</v>
      </c>
      <c r="C52" s="1">
        <v>463829.1</v>
      </c>
      <c r="D52" s="1">
        <v>429032.8</v>
      </c>
      <c r="E52" s="1">
        <v>504504.02</v>
      </c>
      <c r="F52" s="1">
        <v>536322.56000000006</v>
      </c>
      <c r="G52" s="1">
        <v>534661.91</v>
      </c>
      <c r="H52" s="1">
        <v>542927.29</v>
      </c>
      <c r="I52" s="1">
        <v>521896.28</v>
      </c>
      <c r="J52" s="1">
        <v>553130.56999999995</v>
      </c>
      <c r="K52" s="1">
        <v>502540.24</v>
      </c>
      <c r="L52" s="1">
        <v>489533.2</v>
      </c>
      <c r="M52" s="1">
        <v>495352.57</v>
      </c>
      <c r="N52" s="3">
        <f t="shared" si="13"/>
        <v>6016981.2800000012</v>
      </c>
      <c r="O52" s="4"/>
      <c r="P52" s="3"/>
    </row>
    <row r="53" spans="1:16" x14ac:dyDescent="0.2">
      <c r="A53" s="2" t="s">
        <v>379</v>
      </c>
      <c r="B53" s="1">
        <v>360795.62</v>
      </c>
      <c r="C53" s="1">
        <v>422867</v>
      </c>
      <c r="D53" s="1">
        <v>365541.03</v>
      </c>
      <c r="E53" s="1">
        <v>531690.54</v>
      </c>
      <c r="F53" s="1">
        <v>641386.82999999996</v>
      </c>
      <c r="G53" s="1">
        <v>833721.87</v>
      </c>
      <c r="H53" s="1">
        <v>779636.05</v>
      </c>
      <c r="I53" s="1">
        <v>713877.37</v>
      </c>
      <c r="J53" s="1">
        <v>762309.19</v>
      </c>
      <c r="K53" s="1">
        <v>553623.57999999996</v>
      </c>
      <c r="L53" s="1">
        <v>531957.80000000005</v>
      </c>
      <c r="M53" s="1">
        <v>454731.69</v>
      </c>
      <c r="N53" s="3">
        <f t="shared" si="13"/>
        <v>6952138.5700000003</v>
      </c>
      <c r="P53" s="3"/>
    </row>
    <row r="54" spans="1:16" ht="15" x14ac:dyDescent="0.25">
      <c r="A54" s="2" t="s">
        <v>113</v>
      </c>
      <c r="B54" s="4">
        <f t="shared" ref="B54:M54" si="14">SUM(B51:B53)</f>
        <v>1570935.13</v>
      </c>
      <c r="C54" s="4">
        <f t="shared" si="14"/>
        <v>1652500.78</v>
      </c>
      <c r="D54" s="4">
        <f t="shared" si="14"/>
        <v>1563451.74</v>
      </c>
      <c r="E54" s="4">
        <f t="shared" si="14"/>
        <v>1823153.78</v>
      </c>
      <c r="F54" s="4">
        <f t="shared" si="14"/>
        <v>1960693.12</v>
      </c>
      <c r="G54" s="4">
        <f t="shared" si="14"/>
        <v>2174610.2800000003</v>
      </c>
      <c r="H54" s="4">
        <f t="shared" si="14"/>
        <v>2118211.92</v>
      </c>
      <c r="I54" s="4">
        <f t="shared" si="14"/>
        <v>2005289.4500000002</v>
      </c>
      <c r="J54" s="4">
        <f t="shared" si="14"/>
        <v>2104200.58</v>
      </c>
      <c r="K54" s="4">
        <f t="shared" si="14"/>
        <v>1832042.1</v>
      </c>
      <c r="L54" s="4">
        <f t="shared" si="14"/>
        <v>1801033.12</v>
      </c>
      <c r="M54" s="4">
        <f t="shared" si="14"/>
        <v>1732174.3499999999</v>
      </c>
      <c r="N54" s="3">
        <f t="shared" si="13"/>
        <v>22338296.350000005</v>
      </c>
      <c r="P54" s="3"/>
    </row>
    <row r="55" spans="1:16" ht="15" x14ac:dyDescent="0.25">
      <c r="A55" s="2" t="s">
        <v>114</v>
      </c>
      <c r="B55" s="4">
        <v>0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P55" s="3"/>
    </row>
    <row r="56" spans="1:16" ht="15" x14ac:dyDescent="0.25">
      <c r="A56" s="2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3"/>
      <c r="P56" s="3"/>
    </row>
    <row r="57" spans="1:16" ht="15" x14ac:dyDescent="0.25">
      <c r="A57" s="2" t="s">
        <v>380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3"/>
      <c r="P57" s="3"/>
    </row>
    <row r="58" spans="1:16" x14ac:dyDescent="0.2">
      <c r="A58" s="2" t="s">
        <v>31</v>
      </c>
      <c r="B58" s="1">
        <v>1561528.83</v>
      </c>
      <c r="C58" s="1">
        <v>1556380.97</v>
      </c>
      <c r="D58" s="1">
        <v>1598541.33</v>
      </c>
      <c r="E58" s="1">
        <v>1638582.18</v>
      </c>
      <c r="F58" s="1">
        <v>1588806.52</v>
      </c>
      <c r="G58" s="1">
        <v>1505284.1</v>
      </c>
      <c r="H58" s="1">
        <v>1462114.96</v>
      </c>
      <c r="I58" s="1">
        <v>1504173.8</v>
      </c>
      <c r="J58" s="1">
        <v>1601952.22</v>
      </c>
      <c r="K58" s="1">
        <v>1597650.4</v>
      </c>
      <c r="L58" s="1">
        <v>1600042.06</v>
      </c>
      <c r="M58" s="1">
        <v>1608072.67</v>
      </c>
      <c r="N58" s="3">
        <f t="shared" ref="N58:N61" si="15">SUM(B58:M58)</f>
        <v>18823130.039999999</v>
      </c>
      <c r="P58" s="3"/>
    </row>
    <row r="59" spans="1:16" x14ac:dyDescent="0.2">
      <c r="A59" s="2" t="s">
        <v>32</v>
      </c>
      <c r="B59" s="1">
        <v>1105338.79</v>
      </c>
      <c r="C59" s="1">
        <v>1127142.8500000001</v>
      </c>
      <c r="D59" s="1">
        <v>1073013.7</v>
      </c>
      <c r="E59" s="1">
        <v>1212633.3899999999</v>
      </c>
      <c r="F59" s="1">
        <v>1044503.57</v>
      </c>
      <c r="G59" s="1">
        <v>1068403.94</v>
      </c>
      <c r="H59" s="1">
        <v>1038998.88</v>
      </c>
      <c r="I59" s="1">
        <v>947370.73</v>
      </c>
      <c r="J59" s="1">
        <v>1098021.3700000001</v>
      </c>
      <c r="K59" s="1">
        <v>1061605.1299999999</v>
      </c>
      <c r="L59" s="1">
        <v>1159432.25</v>
      </c>
      <c r="M59" s="1">
        <v>1071304.6599999999</v>
      </c>
      <c r="N59" s="3">
        <f t="shared" si="15"/>
        <v>13007769.259999998</v>
      </c>
      <c r="P59" s="3"/>
    </row>
    <row r="60" spans="1:16" x14ac:dyDescent="0.2">
      <c r="A60" s="2" t="s">
        <v>379</v>
      </c>
      <c r="B60" s="1">
        <v>1613960.94</v>
      </c>
      <c r="C60" s="1">
        <v>2031825.97</v>
      </c>
      <c r="D60" s="1">
        <v>1959765.04</v>
      </c>
      <c r="E60" s="1">
        <v>2275699.87</v>
      </c>
      <c r="F60" s="1">
        <v>1844888.73</v>
      </c>
      <c r="G60" s="1">
        <v>2021572.3</v>
      </c>
      <c r="H60" s="1">
        <v>1962519.28</v>
      </c>
      <c r="I60" s="1">
        <v>1665226.63</v>
      </c>
      <c r="J60" s="1">
        <v>2171507.1800000002</v>
      </c>
      <c r="K60" s="1">
        <v>1660681.29</v>
      </c>
      <c r="L60" s="1">
        <v>1497293.06</v>
      </c>
      <c r="M60" s="1">
        <v>1554405.18</v>
      </c>
      <c r="N60" s="3">
        <f t="shared" si="15"/>
        <v>22259345.469999999</v>
      </c>
      <c r="P60" s="3"/>
    </row>
    <row r="61" spans="1:16" s="3" customFormat="1" ht="15" x14ac:dyDescent="0.25">
      <c r="A61" s="2" t="s">
        <v>113</v>
      </c>
      <c r="B61" s="4">
        <f t="shared" ref="B61:M61" si="16">SUM(B58:B60)</f>
        <v>4280828.5600000005</v>
      </c>
      <c r="C61" s="4">
        <f t="shared" si="16"/>
        <v>4715349.79</v>
      </c>
      <c r="D61" s="4">
        <f t="shared" si="16"/>
        <v>4631320.07</v>
      </c>
      <c r="E61" s="4">
        <f t="shared" si="16"/>
        <v>5126915.4399999995</v>
      </c>
      <c r="F61" s="4">
        <f t="shared" si="16"/>
        <v>4478198.82</v>
      </c>
      <c r="G61" s="4">
        <f t="shared" si="16"/>
        <v>4595260.34</v>
      </c>
      <c r="H61" s="4">
        <f t="shared" si="16"/>
        <v>4463633.12</v>
      </c>
      <c r="I61" s="4">
        <f t="shared" si="16"/>
        <v>4116771.16</v>
      </c>
      <c r="J61" s="4">
        <f t="shared" si="16"/>
        <v>4871480.7699999996</v>
      </c>
      <c r="K61" s="4">
        <f t="shared" si="16"/>
        <v>4319936.82</v>
      </c>
      <c r="L61" s="4">
        <f t="shared" si="16"/>
        <v>4256767.37</v>
      </c>
      <c r="M61" s="4">
        <f t="shared" si="16"/>
        <v>4233782.51</v>
      </c>
      <c r="N61" s="3">
        <f t="shared" si="15"/>
        <v>54090244.769999988</v>
      </c>
    </row>
    <row r="62" spans="1:16" ht="15" x14ac:dyDescent="0.25">
      <c r="A62" s="2" t="s">
        <v>114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P62" s="3"/>
    </row>
    <row r="63" spans="1:16" x14ac:dyDescent="0.2">
      <c r="A63" s="2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P63" s="3"/>
    </row>
    <row r="64" spans="1:16" ht="15" x14ac:dyDescent="0.25">
      <c r="A64" s="2" t="s">
        <v>194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3"/>
      <c r="P64" s="3"/>
    </row>
    <row r="65" spans="1:16" x14ac:dyDescent="0.2">
      <c r="A65" s="2" t="s">
        <v>375</v>
      </c>
      <c r="B65" s="1">
        <v>87597.444000000003</v>
      </c>
      <c r="C65" s="1">
        <v>84631.491999999998</v>
      </c>
      <c r="D65" s="1">
        <v>126225.602</v>
      </c>
      <c r="E65" s="1">
        <v>195108.80900000001</v>
      </c>
      <c r="F65" s="1">
        <v>201337.30300000001</v>
      </c>
      <c r="G65" s="1">
        <v>210305.31200000001</v>
      </c>
      <c r="H65" s="1">
        <v>210017.342</v>
      </c>
      <c r="I65" s="1">
        <v>192508.152</v>
      </c>
      <c r="J65" s="1">
        <v>216360.37599999999</v>
      </c>
      <c r="K65" s="1">
        <v>203989.42300000001</v>
      </c>
      <c r="L65" s="1">
        <v>163752.66</v>
      </c>
      <c r="M65" s="1">
        <v>121940.942</v>
      </c>
      <c r="N65" s="3">
        <f t="shared" ref="N65:N67" si="17">SUM(B65:M65)</f>
        <v>2013774.8569999998</v>
      </c>
      <c r="P65" s="3"/>
    </row>
    <row r="66" spans="1:16" x14ac:dyDescent="0.2">
      <c r="A66" s="2" t="s">
        <v>376</v>
      </c>
      <c r="B66" s="1">
        <v>121149.11199999999</v>
      </c>
      <c r="C66" s="1">
        <v>108421.30499999999</v>
      </c>
      <c r="D66" s="1">
        <v>194062.125</v>
      </c>
      <c r="E66" s="1">
        <v>557231.17500000005</v>
      </c>
      <c r="F66" s="1">
        <v>825690.08499999996</v>
      </c>
      <c r="G66" s="1">
        <v>1072220.727</v>
      </c>
      <c r="H66" s="1">
        <v>976726.06700000004</v>
      </c>
      <c r="I66" s="1">
        <v>904237.80599999998</v>
      </c>
      <c r="J66" s="1">
        <v>892410.78599999996</v>
      </c>
      <c r="K66" s="1">
        <v>634904.30500000005</v>
      </c>
      <c r="L66" s="1">
        <v>313486.36300000001</v>
      </c>
      <c r="M66" s="1">
        <v>185910.36199999999</v>
      </c>
      <c r="N66" s="3">
        <f t="shared" si="17"/>
        <v>6786450.2179999994</v>
      </c>
      <c r="P66" s="3"/>
    </row>
    <row r="67" spans="1:16" ht="15" x14ac:dyDescent="0.25">
      <c r="A67" s="2" t="s">
        <v>113</v>
      </c>
      <c r="B67" s="4">
        <f t="shared" ref="B67:M67" si="18">SUM(B65:B66)</f>
        <v>208746.55599999998</v>
      </c>
      <c r="C67" s="4">
        <f t="shared" si="18"/>
        <v>193052.79699999999</v>
      </c>
      <c r="D67" s="4">
        <f t="shared" si="18"/>
        <v>320287.72700000001</v>
      </c>
      <c r="E67" s="4">
        <f t="shared" si="18"/>
        <v>752339.98400000005</v>
      </c>
      <c r="F67" s="4">
        <f t="shared" si="18"/>
        <v>1027027.388</v>
      </c>
      <c r="G67" s="4">
        <f t="shared" si="18"/>
        <v>1282526.0389999999</v>
      </c>
      <c r="H67" s="4">
        <f t="shared" si="18"/>
        <v>1186743.409</v>
      </c>
      <c r="I67" s="4">
        <f t="shared" si="18"/>
        <v>1096745.9580000001</v>
      </c>
      <c r="J67" s="4">
        <f t="shared" si="18"/>
        <v>1108771.162</v>
      </c>
      <c r="K67" s="4">
        <f t="shared" si="18"/>
        <v>838893.72800000012</v>
      </c>
      <c r="L67" s="4">
        <f t="shared" si="18"/>
        <v>477239.02300000004</v>
      </c>
      <c r="M67" s="4">
        <f t="shared" si="18"/>
        <v>307851.304</v>
      </c>
      <c r="N67" s="3">
        <f t="shared" si="17"/>
        <v>8800225.0750000011</v>
      </c>
      <c r="P67" s="3"/>
    </row>
    <row r="68" spans="1:16" s="3" customFormat="1" ht="15" x14ac:dyDescent="0.25">
      <c r="A68" s="2" t="s">
        <v>114</v>
      </c>
      <c r="B68" s="4">
        <v>0</v>
      </c>
      <c r="C68" s="4">
        <v>0</v>
      </c>
      <c r="D68" s="4">
        <v>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</row>
    <row r="69" spans="1:16" ht="15" x14ac:dyDescent="0.25">
      <c r="A69" s="2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3"/>
      <c r="P69" s="3"/>
    </row>
    <row r="70" spans="1:16" ht="15" x14ac:dyDescent="0.25">
      <c r="A70" s="3" t="s">
        <v>197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3"/>
      <c r="P70" s="3"/>
    </row>
    <row r="71" spans="1:16" x14ac:dyDescent="0.2">
      <c r="A71" s="2" t="s">
        <v>375</v>
      </c>
      <c r="B71" s="1">
        <v>2802.0790000000002</v>
      </c>
      <c r="C71" s="1">
        <v>2546.2429999999999</v>
      </c>
      <c r="D71" s="1">
        <v>2989.864</v>
      </c>
      <c r="E71" s="1">
        <v>3829.4369999999999</v>
      </c>
      <c r="F71" s="1">
        <v>4170.4679999999998</v>
      </c>
      <c r="G71" s="1">
        <v>4091.895</v>
      </c>
      <c r="H71" s="1">
        <v>4058.5680000000002</v>
      </c>
      <c r="I71" s="1">
        <v>4688.7169999999996</v>
      </c>
      <c r="J71" s="1">
        <v>5155.1409999999996</v>
      </c>
      <c r="K71" s="1">
        <v>5215.2560000000003</v>
      </c>
      <c r="L71" s="1">
        <v>3869.3560000000002</v>
      </c>
      <c r="M71" s="1">
        <v>3194.134</v>
      </c>
      <c r="N71" s="3">
        <f t="shared" ref="N71:N73" si="19">SUM(B71:M71)</f>
        <v>46611.157999999996</v>
      </c>
      <c r="P71" s="3"/>
    </row>
    <row r="72" spans="1:16" x14ac:dyDescent="0.2">
      <c r="A72" s="2" t="s">
        <v>376</v>
      </c>
      <c r="B72" s="1">
        <v>4248.6400000000003</v>
      </c>
      <c r="C72" s="1">
        <v>4444.2209999999995</v>
      </c>
      <c r="D72" s="1">
        <v>56483.425999999999</v>
      </c>
      <c r="E72" s="1">
        <v>61449.167000000001</v>
      </c>
      <c r="F72" s="1">
        <v>14082.380999999999</v>
      </c>
      <c r="G72" s="1">
        <v>14404.419</v>
      </c>
      <c r="H72" s="1">
        <v>13643.699000000001</v>
      </c>
      <c r="I72" s="1">
        <v>14034.593999999999</v>
      </c>
      <c r="J72" s="1">
        <v>11875.316000000001</v>
      </c>
      <c r="K72" s="1">
        <v>16755.670999999998</v>
      </c>
      <c r="L72" s="1">
        <v>7262.56</v>
      </c>
      <c r="M72" s="1">
        <v>5377.2150000000001</v>
      </c>
      <c r="N72" s="3">
        <f t="shared" si="19"/>
        <v>224061.30899999998</v>
      </c>
      <c r="P72" s="3"/>
    </row>
    <row r="73" spans="1:16" ht="15" x14ac:dyDescent="0.25">
      <c r="A73" s="2" t="s">
        <v>113</v>
      </c>
      <c r="B73" s="4">
        <f t="shared" ref="B73:M73" si="20">SUM(B71:B72)</f>
        <v>7050.719000000001</v>
      </c>
      <c r="C73" s="4">
        <f t="shared" si="20"/>
        <v>6990.4639999999999</v>
      </c>
      <c r="D73" s="4">
        <f t="shared" si="20"/>
        <v>59473.29</v>
      </c>
      <c r="E73" s="4">
        <f t="shared" si="20"/>
        <v>65278.603999999999</v>
      </c>
      <c r="F73" s="4">
        <f t="shared" si="20"/>
        <v>18252.848999999998</v>
      </c>
      <c r="G73" s="4">
        <f t="shared" si="20"/>
        <v>18496.313999999998</v>
      </c>
      <c r="H73" s="4">
        <f t="shared" si="20"/>
        <v>17702.267</v>
      </c>
      <c r="I73" s="4">
        <f t="shared" si="20"/>
        <v>18723.310999999998</v>
      </c>
      <c r="J73" s="4">
        <f t="shared" si="20"/>
        <v>17030.457000000002</v>
      </c>
      <c r="K73" s="4">
        <f t="shared" si="20"/>
        <v>21970.927</v>
      </c>
      <c r="L73" s="4">
        <f t="shared" si="20"/>
        <v>11131.916000000001</v>
      </c>
      <c r="M73" s="4">
        <f t="shared" si="20"/>
        <v>8571.3490000000002</v>
      </c>
      <c r="N73" s="3">
        <f t="shared" si="19"/>
        <v>270672.46699999995</v>
      </c>
      <c r="P73" s="3"/>
    </row>
    <row r="74" spans="1:16" ht="15" x14ac:dyDescent="0.25">
      <c r="A74" s="2" t="s">
        <v>114</v>
      </c>
      <c r="B74" s="4">
        <v>0</v>
      </c>
      <c r="C74" s="4">
        <v>0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P74" s="3"/>
    </row>
    <row r="75" spans="1:16" s="3" customFormat="1" x14ac:dyDescent="0.2"/>
    <row r="76" spans="1:16" ht="15" x14ac:dyDescent="0.25">
      <c r="A76" s="3" t="s">
        <v>320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3"/>
      <c r="P76" s="3"/>
    </row>
    <row r="77" spans="1:16" x14ac:dyDescent="0.2">
      <c r="A77" s="2" t="s">
        <v>375</v>
      </c>
      <c r="B77" s="1">
        <v>2000</v>
      </c>
      <c r="C77" s="1">
        <v>2000</v>
      </c>
      <c r="D77" s="1">
        <v>2000</v>
      </c>
      <c r="E77" s="1">
        <v>2000</v>
      </c>
      <c r="F77" s="1">
        <v>2000</v>
      </c>
      <c r="G77" s="1">
        <v>2000</v>
      </c>
      <c r="H77" s="1">
        <v>2000</v>
      </c>
      <c r="I77" s="1">
        <v>2000</v>
      </c>
      <c r="J77" s="1">
        <v>2000</v>
      </c>
      <c r="K77" s="1">
        <v>2000</v>
      </c>
      <c r="L77" s="1">
        <v>2000</v>
      </c>
      <c r="M77" s="1">
        <v>1930.91</v>
      </c>
      <c r="N77" s="3">
        <f t="shared" ref="N77:N79" si="21">SUM(B77:M77)</f>
        <v>23930.91</v>
      </c>
      <c r="P77" s="3"/>
    </row>
    <row r="78" spans="1:16" x14ac:dyDescent="0.2">
      <c r="A78" s="2" t="s">
        <v>376</v>
      </c>
      <c r="B78" s="1">
        <v>22835.61</v>
      </c>
      <c r="C78" s="1">
        <v>16950.099999999999</v>
      </c>
      <c r="D78" s="1">
        <v>12249</v>
      </c>
      <c r="E78" s="1">
        <v>29358.14</v>
      </c>
      <c r="F78" s="1">
        <v>26587.62</v>
      </c>
      <c r="G78" s="1">
        <v>27791.48</v>
      </c>
      <c r="H78" s="1">
        <v>47343.94</v>
      </c>
      <c r="I78" s="1">
        <v>50603.87</v>
      </c>
      <c r="J78" s="1">
        <v>38825.67</v>
      </c>
      <c r="K78" s="1">
        <v>22785.5</v>
      </c>
      <c r="L78" s="1">
        <v>16363.18</v>
      </c>
      <c r="M78" s="1">
        <v>19011.68</v>
      </c>
      <c r="N78" s="3">
        <f t="shared" si="21"/>
        <v>330705.78999999998</v>
      </c>
      <c r="P78" s="3"/>
    </row>
    <row r="79" spans="1:16" ht="15" x14ac:dyDescent="0.25">
      <c r="A79" s="2" t="s">
        <v>113</v>
      </c>
      <c r="B79" s="4">
        <f t="shared" ref="B79:M79" si="22">SUM(B77:B78)</f>
        <v>24835.61</v>
      </c>
      <c r="C79" s="4">
        <f t="shared" si="22"/>
        <v>18950.099999999999</v>
      </c>
      <c r="D79" s="4">
        <f t="shared" si="22"/>
        <v>14249</v>
      </c>
      <c r="E79" s="4">
        <f t="shared" si="22"/>
        <v>31358.14</v>
      </c>
      <c r="F79" s="4">
        <f t="shared" si="22"/>
        <v>28587.62</v>
      </c>
      <c r="G79" s="4">
        <f t="shared" si="22"/>
        <v>29791.48</v>
      </c>
      <c r="H79" s="4">
        <f t="shared" si="22"/>
        <v>49343.94</v>
      </c>
      <c r="I79" s="4">
        <f t="shared" si="22"/>
        <v>52603.87</v>
      </c>
      <c r="J79" s="4">
        <f t="shared" si="22"/>
        <v>40825.67</v>
      </c>
      <c r="K79" s="4">
        <f t="shared" si="22"/>
        <v>24785.5</v>
      </c>
      <c r="L79" s="4">
        <f t="shared" si="22"/>
        <v>18363.18</v>
      </c>
      <c r="M79" s="4">
        <f t="shared" si="22"/>
        <v>20942.59</v>
      </c>
      <c r="N79" s="3">
        <f t="shared" si="21"/>
        <v>354636.7</v>
      </c>
      <c r="P79" s="3"/>
    </row>
    <row r="80" spans="1:16" ht="15" x14ac:dyDescent="0.25">
      <c r="A80" s="2" t="s">
        <v>114</v>
      </c>
      <c r="B80" s="4">
        <v>0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/>
      <c r="P80" s="3"/>
    </row>
    <row r="81" spans="1:16" x14ac:dyDescent="0.2">
      <c r="P81" s="3"/>
    </row>
    <row r="82" spans="1:16" ht="15" x14ac:dyDescent="0.25">
      <c r="A82" s="9" t="s">
        <v>251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3"/>
      <c r="P82" s="3"/>
    </row>
    <row r="83" spans="1:16" x14ac:dyDescent="0.2">
      <c r="A83" s="2" t="s">
        <v>31</v>
      </c>
      <c r="B83" s="1">
        <v>125326.542</v>
      </c>
      <c r="C83" s="1">
        <v>129371.92</v>
      </c>
      <c r="D83" s="1">
        <v>122529.114</v>
      </c>
      <c r="E83" s="1">
        <v>124392</v>
      </c>
      <c r="F83" s="1">
        <v>127709.428</v>
      </c>
      <c r="G83" s="1">
        <v>128095.38800000001</v>
      </c>
      <c r="H83" s="1">
        <v>126044.556</v>
      </c>
      <c r="I83" s="1">
        <v>121455.628</v>
      </c>
      <c r="J83" s="1">
        <v>125000</v>
      </c>
      <c r="K83" s="1">
        <v>124138</v>
      </c>
      <c r="L83" s="1">
        <v>127528.666</v>
      </c>
      <c r="M83" s="1">
        <v>121720.43</v>
      </c>
      <c r="N83" s="3">
        <f t="shared" ref="N83:N89" si="23">SUM(B83:M83)</f>
        <v>1503311.6719999998</v>
      </c>
      <c r="P83" s="3"/>
    </row>
    <row r="84" spans="1:16" x14ac:dyDescent="0.2">
      <c r="A84" s="2" t="s">
        <v>32</v>
      </c>
      <c r="B84" s="1">
        <v>114592.44500000001</v>
      </c>
      <c r="C84" s="1">
        <v>109307.538</v>
      </c>
      <c r="D84" s="1">
        <v>114463.791</v>
      </c>
      <c r="E84" s="1">
        <v>124390</v>
      </c>
      <c r="F84" s="1">
        <v>127709.428</v>
      </c>
      <c r="G84" s="1">
        <v>128094.939</v>
      </c>
      <c r="H84" s="1">
        <v>126044.005</v>
      </c>
      <c r="I84" s="1">
        <v>121455.628</v>
      </c>
      <c r="J84" s="1">
        <v>125000</v>
      </c>
      <c r="K84" s="1">
        <v>124138</v>
      </c>
      <c r="L84" s="1">
        <v>127528.666</v>
      </c>
      <c r="M84" s="1">
        <v>112863.99</v>
      </c>
      <c r="N84" s="3">
        <f t="shared" si="23"/>
        <v>1455588.43</v>
      </c>
      <c r="P84" s="3"/>
    </row>
    <row r="85" spans="1:16" s="3" customFormat="1" x14ac:dyDescent="0.2">
      <c r="A85" s="2" t="s">
        <v>33</v>
      </c>
      <c r="B85" s="1">
        <v>180356.14300000001</v>
      </c>
      <c r="C85" s="1">
        <v>176480.61199999999</v>
      </c>
      <c r="D85" s="1">
        <v>173372.95800000001</v>
      </c>
      <c r="E85" s="1">
        <v>232697.61600000001</v>
      </c>
      <c r="F85" s="1">
        <v>255418.85800000001</v>
      </c>
      <c r="G85" s="1">
        <v>256190.77499999999</v>
      </c>
      <c r="H85" s="1">
        <v>252089.111</v>
      </c>
      <c r="I85" s="1">
        <v>242911.25599999999</v>
      </c>
      <c r="J85" s="1">
        <v>250000</v>
      </c>
      <c r="K85" s="1">
        <v>248276</v>
      </c>
      <c r="L85" s="1">
        <v>197462.139</v>
      </c>
      <c r="M85" s="1">
        <v>175211.476</v>
      </c>
      <c r="N85" s="3">
        <f t="shared" si="23"/>
        <v>2640466.9439999997</v>
      </c>
    </row>
    <row r="86" spans="1:16" x14ac:dyDescent="0.2">
      <c r="A86" s="2" t="s">
        <v>34</v>
      </c>
      <c r="B86" s="1">
        <v>114768.774</v>
      </c>
      <c r="C86" s="1">
        <v>103785.11</v>
      </c>
      <c r="D86" s="1">
        <v>126069.992</v>
      </c>
      <c r="E86" s="1">
        <v>242950.46100000001</v>
      </c>
      <c r="F86" s="1">
        <v>336625.147</v>
      </c>
      <c r="G86" s="1">
        <v>422860.33600000001</v>
      </c>
      <c r="H86" s="1">
        <v>394483.83799999999</v>
      </c>
      <c r="I86" s="1">
        <v>439683.32199999999</v>
      </c>
      <c r="J86" s="1">
        <v>443482.08899999998</v>
      </c>
      <c r="K86" s="1">
        <v>318372.07799999998</v>
      </c>
      <c r="L86" s="1">
        <v>167686.50099999999</v>
      </c>
      <c r="M86" s="1">
        <v>115520.219</v>
      </c>
      <c r="N86" s="3">
        <f t="shared" si="23"/>
        <v>3226287.8670000001</v>
      </c>
      <c r="P86" s="3"/>
    </row>
    <row r="87" spans="1:16" x14ac:dyDescent="0.2">
      <c r="A87" s="2" t="s">
        <v>382</v>
      </c>
      <c r="B87" s="1">
        <v>300000</v>
      </c>
      <c r="C87" s="1">
        <v>300000</v>
      </c>
      <c r="D87" s="1">
        <v>300000</v>
      </c>
      <c r="E87" s="1">
        <v>300000</v>
      </c>
      <c r="F87" s="1">
        <v>331027.71000000002</v>
      </c>
      <c r="G87" s="1">
        <v>360007.41399999999</v>
      </c>
      <c r="H87" s="1">
        <v>336549.57699999999</v>
      </c>
      <c r="I87" s="1">
        <v>311044.71799999999</v>
      </c>
      <c r="J87" s="1">
        <v>310532.62800000003</v>
      </c>
      <c r="K87" s="1">
        <v>310431.10800000001</v>
      </c>
      <c r="L87" s="1">
        <v>300000</v>
      </c>
      <c r="M87" s="1">
        <v>300000</v>
      </c>
      <c r="N87" s="3">
        <f t="shared" si="23"/>
        <v>3759593.1549999998</v>
      </c>
      <c r="P87" s="3"/>
    </row>
    <row r="88" spans="1:16" x14ac:dyDescent="0.2">
      <c r="A88" s="2" t="s">
        <v>383</v>
      </c>
      <c r="B88" s="1">
        <v>370119.23</v>
      </c>
      <c r="C88" s="1">
        <v>372287.8</v>
      </c>
      <c r="D88" s="1">
        <v>461018.17</v>
      </c>
      <c r="E88" s="1">
        <v>933896.82</v>
      </c>
      <c r="F88" s="1">
        <v>1163381.78</v>
      </c>
      <c r="G88" s="1">
        <v>1522228.63</v>
      </c>
      <c r="H88" s="1">
        <v>1252862.32</v>
      </c>
      <c r="I88" s="1">
        <v>1269495.21</v>
      </c>
      <c r="J88" s="1">
        <v>1175929.6599999999</v>
      </c>
      <c r="K88" s="1">
        <v>940895.73</v>
      </c>
      <c r="L88" s="1">
        <v>565504.23</v>
      </c>
      <c r="M88" s="1">
        <v>605234.98</v>
      </c>
      <c r="N88" s="3">
        <f t="shared" si="23"/>
        <v>10632854.560000001</v>
      </c>
      <c r="P88" s="3"/>
    </row>
    <row r="89" spans="1:16" ht="15" x14ac:dyDescent="0.25">
      <c r="A89" s="2" t="s">
        <v>113</v>
      </c>
      <c r="B89" s="4">
        <f t="shared" ref="B89:M89" si="24">SUM(B83:B88)</f>
        <v>1205163.1340000001</v>
      </c>
      <c r="C89" s="4">
        <f t="shared" si="24"/>
        <v>1191232.98</v>
      </c>
      <c r="D89" s="4">
        <f t="shared" si="24"/>
        <v>1297454.0249999999</v>
      </c>
      <c r="E89" s="4">
        <f t="shared" si="24"/>
        <v>1958326.8969999999</v>
      </c>
      <c r="F89" s="4">
        <f t="shared" si="24"/>
        <v>2341872.3509999998</v>
      </c>
      <c r="G89" s="4">
        <f t="shared" si="24"/>
        <v>2817477.4819999998</v>
      </c>
      <c r="H89" s="4">
        <f t="shared" si="24"/>
        <v>2488073.4070000001</v>
      </c>
      <c r="I89" s="4">
        <f t="shared" si="24"/>
        <v>2506045.7620000001</v>
      </c>
      <c r="J89" s="4">
        <f t="shared" si="24"/>
        <v>2429944.3769999999</v>
      </c>
      <c r="K89" s="4">
        <f t="shared" si="24"/>
        <v>2066250.916</v>
      </c>
      <c r="L89" s="4">
        <f t="shared" si="24"/>
        <v>1485710.202</v>
      </c>
      <c r="M89" s="4">
        <f t="shared" si="24"/>
        <v>1430551.095</v>
      </c>
      <c r="N89" s="3">
        <f t="shared" si="23"/>
        <v>23218102.627999999</v>
      </c>
      <c r="P89" s="3"/>
    </row>
    <row r="90" spans="1:16" ht="15" x14ac:dyDescent="0.25">
      <c r="A90" s="2" t="s">
        <v>114</v>
      </c>
      <c r="B90" s="4">
        <v>0</v>
      </c>
      <c r="C90" s="4">
        <v>0</v>
      </c>
      <c r="D90" s="4">
        <v>0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P90" s="3"/>
    </row>
    <row r="91" spans="1:16" ht="15" x14ac:dyDescent="0.25">
      <c r="A91" s="2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3"/>
      <c r="P91" s="3"/>
    </row>
    <row r="92" spans="1:16" ht="15" x14ac:dyDescent="0.25">
      <c r="A92" s="9" t="s">
        <v>253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3"/>
      <c r="P92" s="3"/>
    </row>
    <row r="93" spans="1:16" x14ac:dyDescent="0.2">
      <c r="A93" s="2" t="s">
        <v>31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3">
        <f t="shared" ref="N93:N98" si="25">SUM(B93:J93)</f>
        <v>0</v>
      </c>
      <c r="P93" s="3"/>
    </row>
    <row r="94" spans="1:16" x14ac:dyDescent="0.2">
      <c r="A94" s="2" t="s">
        <v>32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3">
        <f t="shared" si="25"/>
        <v>0</v>
      </c>
      <c r="P94" s="3"/>
    </row>
    <row r="95" spans="1:16" x14ac:dyDescent="0.2">
      <c r="A95" s="2" t="s">
        <v>33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3">
        <f t="shared" si="25"/>
        <v>0</v>
      </c>
      <c r="P95" s="3"/>
    </row>
    <row r="96" spans="1:16" x14ac:dyDescent="0.2">
      <c r="A96" s="2" t="s">
        <v>34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3">
        <f t="shared" si="25"/>
        <v>0</v>
      </c>
      <c r="P96" s="3"/>
    </row>
    <row r="97" spans="1:16" x14ac:dyDescent="0.2">
      <c r="A97" s="2" t="s">
        <v>382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3">
        <f t="shared" si="25"/>
        <v>0</v>
      </c>
      <c r="P97" s="3"/>
    </row>
    <row r="98" spans="1:16" x14ac:dyDescent="0.2">
      <c r="A98" s="2" t="s">
        <v>383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3">
        <f t="shared" si="25"/>
        <v>0</v>
      </c>
      <c r="P98" s="3"/>
    </row>
    <row r="99" spans="1:16" ht="15" x14ac:dyDescent="0.25">
      <c r="A99" s="2" t="s">
        <v>113</v>
      </c>
      <c r="B99" s="4">
        <f t="shared" ref="B99:M99" si="26">SUM(B93:B98)</f>
        <v>0</v>
      </c>
      <c r="C99" s="4">
        <f t="shared" si="26"/>
        <v>0</v>
      </c>
      <c r="D99" s="4">
        <f t="shared" si="26"/>
        <v>0</v>
      </c>
      <c r="E99" s="4">
        <f t="shared" si="26"/>
        <v>0</v>
      </c>
      <c r="F99" s="4">
        <f t="shared" si="26"/>
        <v>0</v>
      </c>
      <c r="G99" s="4">
        <f t="shared" si="26"/>
        <v>0</v>
      </c>
      <c r="H99" s="4">
        <f t="shared" si="26"/>
        <v>0</v>
      </c>
      <c r="I99" s="4">
        <f t="shared" si="26"/>
        <v>0</v>
      </c>
      <c r="J99" s="4">
        <f t="shared" si="26"/>
        <v>0</v>
      </c>
      <c r="K99" s="4">
        <f t="shared" si="26"/>
        <v>0</v>
      </c>
      <c r="L99" s="4">
        <f t="shared" si="26"/>
        <v>0</v>
      </c>
      <c r="M99" s="4">
        <f t="shared" si="26"/>
        <v>0</v>
      </c>
      <c r="N99" s="3">
        <f>SUM(N93:N98)</f>
        <v>0</v>
      </c>
      <c r="P99" s="3"/>
    </row>
    <row r="100" spans="1:16" x14ac:dyDescent="0.2">
      <c r="P100" s="3"/>
    </row>
    <row r="101" spans="1:16" ht="15" x14ac:dyDescent="0.25">
      <c r="A101" s="2" t="s">
        <v>381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3"/>
      <c r="P101" s="3"/>
    </row>
    <row r="102" spans="1:16" x14ac:dyDescent="0.2">
      <c r="A102" s="2" t="s">
        <v>31</v>
      </c>
      <c r="B102" s="1">
        <v>75000</v>
      </c>
      <c r="C102" s="1">
        <v>75000</v>
      </c>
      <c r="D102" s="1">
        <v>75000</v>
      </c>
      <c r="E102" s="1">
        <v>75000</v>
      </c>
      <c r="F102" s="1">
        <v>75000</v>
      </c>
      <c r="G102" s="1">
        <v>75000</v>
      </c>
      <c r="H102" s="1">
        <v>75000</v>
      </c>
      <c r="I102" s="1">
        <v>75000</v>
      </c>
      <c r="J102" s="1">
        <v>75000</v>
      </c>
      <c r="K102" s="1">
        <v>75000</v>
      </c>
      <c r="L102" s="1">
        <v>75000</v>
      </c>
      <c r="M102" s="1">
        <v>75000</v>
      </c>
      <c r="N102" s="3">
        <f t="shared" ref="N102:N108" si="27">SUM(B102:M102)</f>
        <v>900000</v>
      </c>
      <c r="P102" s="3"/>
    </row>
    <row r="103" spans="1:16" x14ac:dyDescent="0.2">
      <c r="A103" s="2" t="s">
        <v>32</v>
      </c>
      <c r="B103" s="1">
        <v>75000</v>
      </c>
      <c r="C103" s="1">
        <v>75000</v>
      </c>
      <c r="D103" s="1">
        <v>75000</v>
      </c>
      <c r="E103" s="1">
        <v>75000</v>
      </c>
      <c r="F103" s="1">
        <v>75000</v>
      </c>
      <c r="G103" s="1">
        <v>75000</v>
      </c>
      <c r="H103" s="1">
        <v>75000</v>
      </c>
      <c r="I103" s="1">
        <v>75000</v>
      </c>
      <c r="J103" s="1">
        <v>75000</v>
      </c>
      <c r="K103" s="1">
        <v>75000</v>
      </c>
      <c r="L103" s="1">
        <v>75000</v>
      </c>
      <c r="M103" s="1">
        <v>75000</v>
      </c>
      <c r="N103" s="3">
        <f t="shared" si="27"/>
        <v>900000</v>
      </c>
      <c r="P103" s="3"/>
    </row>
    <row r="104" spans="1:16" x14ac:dyDescent="0.2">
      <c r="A104" s="2" t="s">
        <v>33</v>
      </c>
      <c r="B104" s="1">
        <v>150000</v>
      </c>
      <c r="C104" s="1">
        <v>150000</v>
      </c>
      <c r="D104" s="1">
        <v>150000</v>
      </c>
      <c r="E104" s="1">
        <v>150000</v>
      </c>
      <c r="F104" s="1">
        <v>150000</v>
      </c>
      <c r="G104" s="1">
        <v>150000</v>
      </c>
      <c r="H104" s="1">
        <v>150000</v>
      </c>
      <c r="I104" s="1">
        <v>150000</v>
      </c>
      <c r="J104" s="1">
        <v>150000</v>
      </c>
      <c r="K104" s="1">
        <v>150000</v>
      </c>
      <c r="L104" s="1">
        <v>150000</v>
      </c>
      <c r="M104" s="1">
        <v>150000</v>
      </c>
      <c r="N104" s="3">
        <f t="shared" si="27"/>
        <v>1800000</v>
      </c>
      <c r="P104" s="3"/>
    </row>
    <row r="105" spans="1:16" x14ac:dyDescent="0.2">
      <c r="A105" s="2" t="s">
        <v>34</v>
      </c>
      <c r="B105" s="1">
        <v>244453.73</v>
      </c>
      <c r="C105" s="1">
        <v>234340.93</v>
      </c>
      <c r="D105" s="1">
        <v>257608.69</v>
      </c>
      <c r="E105" s="1">
        <v>300000</v>
      </c>
      <c r="F105" s="1">
        <v>300000</v>
      </c>
      <c r="G105" s="1">
        <v>288420.19</v>
      </c>
      <c r="H105" s="1">
        <v>300000</v>
      </c>
      <c r="I105" s="1">
        <v>285133.58</v>
      </c>
      <c r="J105" s="1">
        <v>300000</v>
      </c>
      <c r="K105" s="1">
        <v>298043.53000000003</v>
      </c>
      <c r="L105" s="1">
        <v>296265.65999999997</v>
      </c>
      <c r="M105" s="1">
        <v>273725.57</v>
      </c>
      <c r="N105" s="3">
        <f t="shared" si="27"/>
        <v>3377991.8800000004</v>
      </c>
      <c r="P105" s="3"/>
    </row>
    <row r="106" spans="1:16" x14ac:dyDescent="0.2">
      <c r="A106" s="2" t="s">
        <v>382</v>
      </c>
      <c r="B106" s="1">
        <v>300000</v>
      </c>
      <c r="C106" s="1">
        <v>316042.11</v>
      </c>
      <c r="D106" s="1">
        <v>300786.53999999998</v>
      </c>
      <c r="E106" s="1">
        <v>338474.39</v>
      </c>
      <c r="F106" s="1">
        <v>379525.37</v>
      </c>
      <c r="G106" s="1">
        <v>441377.2</v>
      </c>
      <c r="H106" s="1">
        <v>400382.23</v>
      </c>
      <c r="I106" s="1">
        <v>416073.24</v>
      </c>
      <c r="J106" s="1">
        <v>403591.12</v>
      </c>
      <c r="K106" s="1">
        <v>353892.31</v>
      </c>
      <c r="L106" s="1">
        <v>308957.49</v>
      </c>
      <c r="M106" s="1">
        <v>305164.2</v>
      </c>
      <c r="N106" s="3">
        <f t="shared" si="27"/>
        <v>4264266.2</v>
      </c>
      <c r="P106" s="3"/>
    </row>
    <row r="107" spans="1:16" x14ac:dyDescent="0.2">
      <c r="A107" s="2" t="s">
        <v>383</v>
      </c>
      <c r="B107" s="1">
        <v>239677.48</v>
      </c>
      <c r="C107" s="1">
        <v>225878.71</v>
      </c>
      <c r="D107" s="1">
        <v>245931.94</v>
      </c>
      <c r="E107" s="1">
        <v>555742.63</v>
      </c>
      <c r="F107" s="1">
        <v>831866.69</v>
      </c>
      <c r="G107" s="1">
        <v>1084877.25</v>
      </c>
      <c r="H107" s="1">
        <v>951077.64</v>
      </c>
      <c r="I107" s="1">
        <v>959887.13</v>
      </c>
      <c r="J107" s="1">
        <v>853851.53</v>
      </c>
      <c r="K107" s="1">
        <v>647925.04</v>
      </c>
      <c r="L107" s="1">
        <v>373466.7</v>
      </c>
      <c r="M107" s="1">
        <v>289151.18</v>
      </c>
      <c r="N107" s="3">
        <f t="shared" si="27"/>
        <v>7259333.9200000009</v>
      </c>
      <c r="P107" s="3"/>
    </row>
    <row r="108" spans="1:16" ht="15" x14ac:dyDescent="0.25">
      <c r="A108" s="2" t="s">
        <v>113</v>
      </c>
      <c r="B108" s="4">
        <f t="shared" ref="B108:M108" si="28">SUM(B102:B107)</f>
        <v>1084131.21</v>
      </c>
      <c r="C108" s="4">
        <f t="shared" si="28"/>
        <v>1076261.75</v>
      </c>
      <c r="D108" s="4">
        <f t="shared" si="28"/>
        <v>1104327.17</v>
      </c>
      <c r="E108" s="4">
        <f t="shared" si="28"/>
        <v>1494217.02</v>
      </c>
      <c r="F108" s="4">
        <f t="shared" si="28"/>
        <v>1811392.06</v>
      </c>
      <c r="G108" s="4">
        <f t="shared" si="28"/>
        <v>2114674.6399999997</v>
      </c>
      <c r="H108" s="4">
        <f t="shared" si="28"/>
        <v>1951459.87</v>
      </c>
      <c r="I108" s="4">
        <f t="shared" si="28"/>
        <v>1961093.9500000002</v>
      </c>
      <c r="J108" s="4">
        <f t="shared" si="28"/>
        <v>1857442.65</v>
      </c>
      <c r="K108" s="4">
        <f t="shared" si="28"/>
        <v>1599860.8800000001</v>
      </c>
      <c r="L108" s="4">
        <f t="shared" si="28"/>
        <v>1278689.8499999999</v>
      </c>
      <c r="M108" s="4">
        <f t="shared" si="28"/>
        <v>1168040.95</v>
      </c>
      <c r="N108" s="3">
        <f t="shared" si="27"/>
        <v>18501592.000000004</v>
      </c>
      <c r="P108" s="3"/>
    </row>
    <row r="109" spans="1:16" ht="15" x14ac:dyDescent="0.25">
      <c r="A109" s="2" t="s">
        <v>114</v>
      </c>
      <c r="B109" s="4">
        <v>0</v>
      </c>
      <c r="C109" s="4">
        <v>0</v>
      </c>
      <c r="D109" s="4">
        <v>0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P109" s="3"/>
    </row>
    <row r="110" spans="1:16" ht="15" x14ac:dyDescent="0.25">
      <c r="A110" s="2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3"/>
      <c r="P110" s="3"/>
    </row>
    <row r="111" spans="1:16" ht="15" x14ac:dyDescent="0.25">
      <c r="A111" s="2" t="s">
        <v>384</v>
      </c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3"/>
      <c r="P111" s="3"/>
    </row>
    <row r="112" spans="1:16" x14ac:dyDescent="0.2">
      <c r="A112" s="2" t="s">
        <v>31</v>
      </c>
      <c r="B112" s="1">
        <v>175000</v>
      </c>
      <c r="C112" s="1">
        <v>175000</v>
      </c>
      <c r="D112" s="1">
        <v>175000</v>
      </c>
      <c r="E112" s="1">
        <v>175000</v>
      </c>
      <c r="F112" s="1">
        <v>175000</v>
      </c>
      <c r="G112" s="1">
        <v>175000</v>
      </c>
      <c r="H112" s="1">
        <v>175000</v>
      </c>
      <c r="I112" s="1">
        <v>175000</v>
      </c>
      <c r="J112" s="1">
        <v>175000</v>
      </c>
      <c r="K112" s="1">
        <v>175000</v>
      </c>
      <c r="L112" s="1">
        <v>175000</v>
      </c>
      <c r="M112" s="1">
        <v>175000</v>
      </c>
      <c r="N112" s="3">
        <f t="shared" ref="N112:N118" si="29">SUM(B112:M112)</f>
        <v>2100000</v>
      </c>
      <c r="P112" s="3"/>
    </row>
    <row r="113" spans="1:16" x14ac:dyDescent="0.2">
      <c r="A113" s="2" t="s">
        <v>32</v>
      </c>
      <c r="B113" s="1">
        <v>175000</v>
      </c>
      <c r="C113" s="1">
        <v>175000</v>
      </c>
      <c r="D113" s="1">
        <v>175000</v>
      </c>
      <c r="E113" s="1">
        <v>175000</v>
      </c>
      <c r="F113" s="1">
        <v>175000</v>
      </c>
      <c r="G113" s="1">
        <v>175000</v>
      </c>
      <c r="H113" s="1">
        <v>175000</v>
      </c>
      <c r="I113" s="1">
        <v>175000</v>
      </c>
      <c r="J113" s="1">
        <v>175000</v>
      </c>
      <c r="K113" s="1">
        <v>175000</v>
      </c>
      <c r="L113" s="1">
        <v>175000</v>
      </c>
      <c r="M113" s="1">
        <v>175000</v>
      </c>
      <c r="N113" s="3">
        <f t="shared" si="29"/>
        <v>2100000</v>
      </c>
      <c r="P113" s="3"/>
    </row>
    <row r="114" spans="1:16" x14ac:dyDescent="0.2">
      <c r="A114" s="2" t="s">
        <v>33</v>
      </c>
      <c r="B114" s="1">
        <v>350000</v>
      </c>
      <c r="C114" s="1">
        <v>350000</v>
      </c>
      <c r="D114" s="1">
        <v>350000</v>
      </c>
      <c r="E114" s="1">
        <v>350000</v>
      </c>
      <c r="F114" s="1">
        <v>350000</v>
      </c>
      <c r="G114" s="1">
        <v>350000</v>
      </c>
      <c r="H114" s="1">
        <v>350000</v>
      </c>
      <c r="I114" s="1">
        <v>350000</v>
      </c>
      <c r="J114" s="1">
        <v>350000</v>
      </c>
      <c r="K114" s="1">
        <v>350000</v>
      </c>
      <c r="L114" s="1">
        <v>350000</v>
      </c>
      <c r="M114" s="1">
        <v>350000</v>
      </c>
      <c r="N114" s="3">
        <f t="shared" si="29"/>
        <v>4200000</v>
      </c>
      <c r="P114" s="3"/>
    </row>
    <row r="115" spans="1:16" x14ac:dyDescent="0.2">
      <c r="A115" s="2" t="s">
        <v>34</v>
      </c>
      <c r="B115" s="1">
        <v>700000</v>
      </c>
      <c r="C115" s="1">
        <v>700000</v>
      </c>
      <c r="D115" s="1">
        <v>700000</v>
      </c>
      <c r="E115" s="1">
        <v>700000</v>
      </c>
      <c r="F115" s="1">
        <v>700000</v>
      </c>
      <c r="G115" s="1">
        <v>700000</v>
      </c>
      <c r="H115" s="1">
        <v>700000</v>
      </c>
      <c r="I115" s="1">
        <v>700000</v>
      </c>
      <c r="J115" s="1">
        <v>700000</v>
      </c>
      <c r="K115" s="1">
        <v>700000</v>
      </c>
      <c r="L115" s="1">
        <v>700000</v>
      </c>
      <c r="M115" s="1">
        <v>700000</v>
      </c>
      <c r="N115" s="3">
        <f t="shared" si="29"/>
        <v>8400000</v>
      </c>
      <c r="P115" s="3"/>
    </row>
    <row r="116" spans="1:16" x14ac:dyDescent="0.2">
      <c r="A116" s="2" t="s">
        <v>382</v>
      </c>
      <c r="B116" s="1">
        <v>1847549.08</v>
      </c>
      <c r="C116" s="1">
        <v>1847484.84</v>
      </c>
      <c r="D116" s="1">
        <v>1807222.67</v>
      </c>
      <c r="E116" s="1">
        <v>1852951.76</v>
      </c>
      <c r="F116" s="1">
        <v>1687800.15</v>
      </c>
      <c r="G116" s="1">
        <v>1869013.47</v>
      </c>
      <c r="H116" s="1">
        <v>1870856.82</v>
      </c>
      <c r="I116" s="1">
        <v>1835996.53</v>
      </c>
      <c r="J116" s="1">
        <v>1852529.04</v>
      </c>
      <c r="K116" s="1">
        <v>1849111.29</v>
      </c>
      <c r="L116" s="1">
        <v>1838962.32</v>
      </c>
      <c r="M116" s="1">
        <v>1829849.35</v>
      </c>
      <c r="N116" s="3">
        <f t="shared" si="29"/>
        <v>21989327.32</v>
      </c>
      <c r="P116" s="3"/>
    </row>
    <row r="117" spans="1:16" x14ac:dyDescent="0.2">
      <c r="A117" s="2" t="s">
        <v>383</v>
      </c>
      <c r="B117" s="1">
        <v>4350747.05</v>
      </c>
      <c r="C117" s="1">
        <v>4487450.4800000004</v>
      </c>
      <c r="D117" s="1">
        <v>4157595.49</v>
      </c>
      <c r="E117" s="1">
        <v>4192031.64</v>
      </c>
      <c r="F117" s="1">
        <v>3179512.33</v>
      </c>
      <c r="G117" s="1">
        <v>4497983.88</v>
      </c>
      <c r="H117" s="1">
        <v>3046424.83</v>
      </c>
      <c r="I117" s="1">
        <v>3670249.91</v>
      </c>
      <c r="J117" s="1">
        <v>4432642.47</v>
      </c>
      <c r="K117" s="1">
        <v>3366516.31</v>
      </c>
      <c r="L117" s="1">
        <v>3714551.69</v>
      </c>
      <c r="M117" s="1">
        <v>3252523.85</v>
      </c>
      <c r="N117" s="3">
        <f t="shared" si="29"/>
        <v>46348229.930000007</v>
      </c>
      <c r="P117" s="3"/>
    </row>
    <row r="118" spans="1:16" ht="15" x14ac:dyDescent="0.25">
      <c r="A118" s="2" t="s">
        <v>113</v>
      </c>
      <c r="B118" s="4">
        <f t="shared" ref="B118:M118" si="30">SUM(B112:B117)</f>
        <v>7598296.1299999999</v>
      </c>
      <c r="C118" s="4">
        <f t="shared" si="30"/>
        <v>7734935.3200000003</v>
      </c>
      <c r="D118" s="4">
        <f t="shared" si="30"/>
        <v>7364818.1600000001</v>
      </c>
      <c r="E118" s="4">
        <f t="shared" si="30"/>
        <v>7444983.4000000004</v>
      </c>
      <c r="F118" s="4">
        <f t="shared" si="30"/>
        <v>6267312.4800000004</v>
      </c>
      <c r="G118" s="4">
        <f t="shared" si="30"/>
        <v>7766997.3499999996</v>
      </c>
      <c r="H118" s="4">
        <f t="shared" si="30"/>
        <v>6317281.6500000004</v>
      </c>
      <c r="I118" s="4">
        <f t="shared" si="30"/>
        <v>6906246.4400000004</v>
      </c>
      <c r="J118" s="4">
        <f t="shared" si="30"/>
        <v>7685171.5099999998</v>
      </c>
      <c r="K118" s="4">
        <f t="shared" si="30"/>
        <v>6615627.5999999996</v>
      </c>
      <c r="L118" s="4">
        <f t="shared" si="30"/>
        <v>6953514.0099999998</v>
      </c>
      <c r="M118" s="4">
        <f t="shared" si="30"/>
        <v>6482373.2000000002</v>
      </c>
      <c r="N118" s="3">
        <f t="shared" si="29"/>
        <v>85137557.25</v>
      </c>
      <c r="P118" s="3"/>
    </row>
    <row r="119" spans="1:16" ht="15" x14ac:dyDescent="0.25">
      <c r="A119" s="2" t="s">
        <v>114</v>
      </c>
      <c r="B119" s="4">
        <v>0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P119" s="3"/>
    </row>
    <row r="121" spans="1:16" ht="15.75" x14ac:dyDescent="0.25">
      <c r="A121" s="2"/>
      <c r="B121" s="4"/>
      <c r="C121" s="4"/>
      <c r="D121" s="4"/>
      <c r="E121" s="701" t="s">
        <v>591</v>
      </c>
      <c r="H121" s="4"/>
      <c r="I121" s="4"/>
      <c r="J121" s="4"/>
      <c r="K121" s="4"/>
      <c r="L121" s="4"/>
      <c r="M121" s="4"/>
      <c r="N121" s="3"/>
    </row>
    <row r="122" spans="1:16" x14ac:dyDescent="0.2">
      <c r="A122" s="3" t="s">
        <v>198</v>
      </c>
    </row>
    <row r="123" spans="1:16" x14ac:dyDescent="0.2">
      <c r="A123" s="858"/>
      <c r="B123" s="859"/>
      <c r="C123" s="859"/>
      <c r="D123" s="859"/>
      <c r="E123" s="859"/>
      <c r="F123" s="859"/>
      <c r="G123" s="859"/>
      <c r="H123" s="859"/>
      <c r="I123" s="859"/>
      <c r="J123" s="859"/>
      <c r="K123" s="859"/>
      <c r="L123" s="859"/>
      <c r="M123" s="859"/>
      <c r="N123" s="860"/>
    </row>
    <row r="124" spans="1:16" x14ac:dyDescent="0.2">
      <c r="A124" s="861"/>
      <c r="B124" s="862"/>
      <c r="C124" s="862"/>
      <c r="D124" s="862"/>
      <c r="E124" s="862"/>
      <c r="F124" s="862"/>
      <c r="G124" s="862"/>
      <c r="H124" s="862"/>
      <c r="I124" s="862"/>
      <c r="J124" s="862"/>
      <c r="K124" s="862"/>
      <c r="L124" s="862"/>
      <c r="M124" s="862"/>
      <c r="N124" s="863"/>
    </row>
    <row r="125" spans="1:16" ht="20.25" x14ac:dyDescent="0.3">
      <c r="A125" s="861"/>
      <c r="B125" s="862"/>
      <c r="C125" s="862"/>
      <c r="D125" s="862"/>
      <c r="E125" s="862"/>
      <c r="F125" s="867" t="s">
        <v>600</v>
      </c>
      <c r="G125" s="862"/>
      <c r="H125" s="862"/>
      <c r="I125" s="862"/>
      <c r="J125" s="862"/>
      <c r="K125" s="862"/>
      <c r="L125" s="862"/>
      <c r="M125" s="862"/>
      <c r="N125" s="863"/>
    </row>
    <row r="126" spans="1:16" x14ac:dyDescent="0.2">
      <c r="A126" s="861"/>
      <c r="B126" s="862"/>
      <c r="C126" s="862"/>
      <c r="D126" s="862"/>
      <c r="E126" s="862"/>
      <c r="F126" s="862"/>
      <c r="G126" s="862"/>
      <c r="H126" s="862"/>
      <c r="I126" s="862"/>
      <c r="J126" s="862"/>
      <c r="K126" s="862"/>
      <c r="L126" s="862"/>
      <c r="M126" s="862"/>
      <c r="N126" s="863"/>
    </row>
    <row r="127" spans="1:16" x14ac:dyDescent="0.2">
      <c r="A127" s="861"/>
      <c r="B127" s="862"/>
      <c r="C127" s="862"/>
      <c r="D127" s="862"/>
      <c r="E127" s="862"/>
      <c r="F127" s="862"/>
      <c r="G127" s="862"/>
      <c r="H127" s="862"/>
      <c r="I127" s="862"/>
      <c r="J127" s="862"/>
      <c r="K127" s="862"/>
      <c r="L127" s="862"/>
      <c r="M127" s="862"/>
      <c r="N127" s="863"/>
    </row>
    <row r="128" spans="1:16" x14ac:dyDescent="0.2">
      <c r="A128" s="864"/>
      <c r="B128" s="865"/>
      <c r="C128" s="865"/>
      <c r="D128" s="865"/>
      <c r="E128" s="865"/>
      <c r="F128" s="865"/>
      <c r="G128" s="865"/>
      <c r="H128" s="865"/>
      <c r="I128" s="865"/>
      <c r="J128" s="865"/>
      <c r="K128" s="865"/>
      <c r="L128" s="865"/>
      <c r="M128" s="865"/>
      <c r="N128" s="866"/>
    </row>
    <row r="129" spans="1:14" x14ac:dyDescent="0.2">
      <c r="A129" s="2" t="s">
        <v>113</v>
      </c>
      <c r="B129" s="3">
        <f t="shared" ref="B129:M129" si="31">SUM(B123:B128)</f>
        <v>0</v>
      </c>
      <c r="C129" s="3">
        <f t="shared" si="31"/>
        <v>0</v>
      </c>
      <c r="D129" s="3">
        <f t="shared" si="31"/>
        <v>0</v>
      </c>
      <c r="E129" s="3">
        <f t="shared" si="31"/>
        <v>0</v>
      </c>
      <c r="F129" s="3">
        <f t="shared" si="31"/>
        <v>0</v>
      </c>
      <c r="G129" s="3">
        <f t="shared" si="31"/>
        <v>0</v>
      </c>
      <c r="H129" s="3">
        <f t="shared" si="31"/>
        <v>0</v>
      </c>
      <c r="I129" s="3">
        <f t="shared" si="31"/>
        <v>0</v>
      </c>
      <c r="J129" s="3">
        <f t="shared" si="31"/>
        <v>0</v>
      </c>
      <c r="K129" s="3">
        <f t="shared" si="31"/>
        <v>0</v>
      </c>
      <c r="L129" s="3">
        <f t="shared" si="31"/>
        <v>0</v>
      </c>
      <c r="M129" s="3">
        <f t="shared" si="31"/>
        <v>0</v>
      </c>
      <c r="N129" s="3">
        <f t="shared" ref="N129" si="32">SUM(B129:M129)</f>
        <v>0</v>
      </c>
    </row>
    <row r="130" spans="1:14" x14ac:dyDescent="0.2">
      <c r="A130" s="2" t="s">
        <v>114</v>
      </c>
      <c r="B130" s="3">
        <v>0</v>
      </c>
      <c r="C130" s="3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</row>
    <row r="132" spans="1:14" s="688" customFormat="1" x14ac:dyDescent="0.2">
      <c r="A132" s="707" t="s">
        <v>113</v>
      </c>
      <c r="B132" s="3">
        <f t="shared" ref="B132:M132" si="33">SUM(B12,B19,B26,B33,B40,B47,B54,B61,B67,B73,B79,B89,B108,B118,B129)</f>
        <v>21377850.373999998</v>
      </c>
      <c r="C132" s="3">
        <f t="shared" si="33"/>
        <v>21846100.844999999</v>
      </c>
      <c r="D132" s="3">
        <f t="shared" si="33"/>
        <v>22143868.322000001</v>
      </c>
      <c r="E132" s="3">
        <f t="shared" si="33"/>
        <v>27022213.968999997</v>
      </c>
      <c r="F132" s="3">
        <f t="shared" si="33"/>
        <v>27862955.791999999</v>
      </c>
      <c r="G132" s="3">
        <f t="shared" si="33"/>
        <v>32553279.455000006</v>
      </c>
      <c r="H132" s="3">
        <f t="shared" si="33"/>
        <v>29828184.809</v>
      </c>
      <c r="I132" s="3">
        <f t="shared" si="33"/>
        <v>29444755.211000003</v>
      </c>
      <c r="J132" s="3">
        <f t="shared" si="33"/>
        <v>30959105.772999994</v>
      </c>
      <c r="K132" s="3">
        <f t="shared" si="33"/>
        <v>25996455.854999997</v>
      </c>
      <c r="L132" s="3">
        <f t="shared" si="33"/>
        <v>22793017.468999997</v>
      </c>
      <c r="M132" s="3">
        <f t="shared" si="33"/>
        <v>19248763.327999998</v>
      </c>
      <c r="N132" s="3">
        <f>SUM(N12,N19,N26,N33,N40,N47,N54,N61,N67,N73,N79,N89,N108,N118,N129)</f>
        <v>311076551.20199996</v>
      </c>
    </row>
    <row r="135" spans="1:14" x14ac:dyDescent="0.2">
      <c r="A135" t="s">
        <v>546</v>
      </c>
    </row>
  </sheetData>
  <mergeCells count="4">
    <mergeCell ref="A1:N1"/>
    <mergeCell ref="A2:N2"/>
    <mergeCell ref="A3:N3"/>
    <mergeCell ref="A4:N4"/>
  </mergeCells>
  <printOptions horizontalCentered="1"/>
  <pageMargins left="0.5" right="0.5" top="1" bottom="1" header="0.5" footer="0.5"/>
  <pageSetup scale="66" fitToHeight="6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2" manualBreakCount="2">
    <brk id="49" max="13" man="1"/>
    <brk id="9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K1097"/>
  <sheetViews>
    <sheetView zoomScaleNormal="100" workbookViewId="0">
      <pane xSplit="5" ySplit="6" topLeftCell="F823" activePane="bottomRight" state="frozen"/>
      <selection activeCell="A1094" sqref="A1094:XFD1094"/>
      <selection pane="topRight" activeCell="A1094" sqref="A1094:XFD1094"/>
      <selection pane="bottomLeft" activeCell="A1094" sqref="A1094:XFD1094"/>
      <selection pane="bottomRight" activeCell="I867" sqref="I867"/>
    </sheetView>
  </sheetViews>
  <sheetFormatPr defaultRowHeight="12.75" x14ac:dyDescent="0.2"/>
  <cols>
    <col min="1" max="1" width="7.5703125" bestFit="1" customWidth="1"/>
    <col min="2" max="2" width="1.42578125" customWidth="1"/>
    <col min="3" max="3" width="31.42578125" customWidth="1"/>
    <col min="4" max="4" width="8.7109375" bestFit="1" customWidth="1"/>
    <col min="5" max="5" width="12.7109375" bestFit="1" customWidth="1"/>
    <col min="6" max="9" width="12.28515625" bestFit="1" customWidth="1"/>
    <col min="10" max="10" width="12.28515625" customWidth="1"/>
    <col min="11" max="12" width="13.42578125" bestFit="1" customWidth="1"/>
    <col min="13" max="13" width="12.28515625" bestFit="1" customWidth="1"/>
    <col min="14" max="16" width="13.42578125" bestFit="1" customWidth="1"/>
    <col min="17" max="17" width="12.28515625" bestFit="1" customWidth="1"/>
    <col min="18" max="18" width="13.42578125" bestFit="1" customWidth="1"/>
    <col min="19" max="19" width="15.140625" style="30" bestFit="1" customWidth="1"/>
    <col min="21" max="21" width="11.85546875" bestFit="1" customWidth="1"/>
    <col min="22" max="22" width="14.5703125" bestFit="1" customWidth="1"/>
  </cols>
  <sheetData>
    <row r="1" spans="1:19" x14ac:dyDescent="0.2">
      <c r="B1" s="846" t="s">
        <v>1</v>
      </c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  <c r="Q1" s="846"/>
      <c r="R1" s="846"/>
    </row>
    <row r="2" spans="1:19" x14ac:dyDescent="0.2">
      <c r="B2" s="846" t="s">
        <v>397</v>
      </c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  <c r="Q2" s="846"/>
      <c r="R2" s="846"/>
    </row>
    <row r="3" spans="1:19" x14ac:dyDescent="0.2">
      <c r="B3" s="846" t="s">
        <v>569</v>
      </c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  <c r="Q3" s="846"/>
      <c r="R3" s="846"/>
    </row>
    <row r="4" spans="1:19" x14ac:dyDescent="0.2">
      <c r="B4" s="846" t="s">
        <v>542</v>
      </c>
      <c r="C4" s="846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  <c r="P4" s="846"/>
      <c r="Q4" s="846"/>
      <c r="R4" s="846"/>
    </row>
    <row r="5" spans="1:19" s="30" customFormat="1" x14ac:dyDescent="0.2">
      <c r="B5" s="99"/>
      <c r="C5" s="73"/>
      <c r="D5" s="73"/>
      <c r="E5" s="73"/>
      <c r="F5"/>
      <c r="G5"/>
      <c r="H5"/>
      <c r="I5"/>
      <c r="J5"/>
      <c r="K5"/>
      <c r="L5"/>
      <c r="M5"/>
      <c r="N5"/>
      <c r="O5"/>
      <c r="P5"/>
      <c r="Q5"/>
      <c r="R5" s="15"/>
    </row>
    <row r="6" spans="1:19" x14ac:dyDescent="0.2">
      <c r="A6" s="58" t="s">
        <v>115</v>
      </c>
      <c r="B6" s="45" t="s">
        <v>116</v>
      </c>
      <c r="C6" s="45"/>
      <c r="D6" s="16" t="s">
        <v>4</v>
      </c>
      <c r="E6" s="16" t="s">
        <v>2</v>
      </c>
      <c r="F6" s="198">
        <v>42917</v>
      </c>
      <c r="G6" s="198">
        <f>EDATE(F6,1)</f>
        <v>42948</v>
      </c>
      <c r="H6" s="198">
        <f t="shared" ref="H6:Q6" si="0">EDATE(G6,1)</f>
        <v>42979</v>
      </c>
      <c r="I6" s="198">
        <f t="shared" si="0"/>
        <v>43009</v>
      </c>
      <c r="J6" s="198">
        <f t="shared" si="0"/>
        <v>43040</v>
      </c>
      <c r="K6" s="198">
        <f t="shared" si="0"/>
        <v>43070</v>
      </c>
      <c r="L6" s="198">
        <f t="shared" si="0"/>
        <v>43101</v>
      </c>
      <c r="M6" s="198">
        <f t="shared" si="0"/>
        <v>43132</v>
      </c>
      <c r="N6" s="198">
        <f t="shared" si="0"/>
        <v>43160</v>
      </c>
      <c r="O6" s="198">
        <f t="shared" si="0"/>
        <v>43191</v>
      </c>
      <c r="P6" s="198">
        <f t="shared" si="0"/>
        <v>43221</v>
      </c>
      <c r="Q6" s="198">
        <f t="shared" si="0"/>
        <v>43252</v>
      </c>
      <c r="R6" s="16" t="s">
        <v>113</v>
      </c>
      <c r="S6" s="44"/>
    </row>
    <row r="7" spans="1:19" x14ac:dyDescent="0.2">
      <c r="B7" s="15" t="s">
        <v>93</v>
      </c>
      <c r="C7" s="15"/>
    </row>
    <row r="8" spans="1:19" s="30" customFormat="1" x14ac:dyDescent="0.2">
      <c r="B8" s="29" t="s">
        <v>7</v>
      </c>
      <c r="C8" s="29"/>
    </row>
    <row r="9" spans="1:19" s="30" customFormat="1" x14ac:dyDescent="0.2">
      <c r="B9" s="31" t="s">
        <v>3</v>
      </c>
      <c r="C9" s="31"/>
      <c r="D9" s="31">
        <v>16</v>
      </c>
      <c r="E9" t="s">
        <v>13</v>
      </c>
      <c r="F9" s="158">
        <f>'Rate Design Res'!$H$37</f>
        <v>9.69</v>
      </c>
      <c r="G9" s="158">
        <f>'Rate Design Res'!$H$37</f>
        <v>9.69</v>
      </c>
      <c r="H9" s="158">
        <f>'Rate Design Res'!$H$37</f>
        <v>9.69</v>
      </c>
      <c r="I9" s="158">
        <f>'Rate Design Res'!$H$37</f>
        <v>9.69</v>
      </c>
      <c r="J9" s="158">
        <f>'Rate Design Res'!$H$37</f>
        <v>9.69</v>
      </c>
      <c r="K9" s="158">
        <f>'Rate Design Res'!$H$37</f>
        <v>9.69</v>
      </c>
      <c r="L9" s="158">
        <f>'Rate Design Res'!$H$37</f>
        <v>9.69</v>
      </c>
      <c r="M9" s="158">
        <f>'Rate Design Res'!$H$37</f>
        <v>9.69</v>
      </c>
      <c r="N9" s="158">
        <f>'Rate Design Res'!$H$37</f>
        <v>9.69</v>
      </c>
      <c r="O9" s="158">
        <f>'Rate Design Res'!$H$37</f>
        <v>9.69</v>
      </c>
      <c r="P9" s="158">
        <f>'Rate Design Res'!$H$37</f>
        <v>9.69</v>
      </c>
      <c r="Q9" s="158">
        <f>'Rate Design Res'!$H$37</f>
        <v>9.69</v>
      </c>
    </row>
    <row r="10" spans="1:19" s="31" customFormat="1" x14ac:dyDescent="0.2">
      <c r="B10" s="31" t="s">
        <v>307</v>
      </c>
      <c r="D10">
        <v>101</v>
      </c>
      <c r="E10" t="s">
        <v>13</v>
      </c>
      <c r="F10" s="191">
        <v>6.21</v>
      </c>
      <c r="G10" s="191">
        <v>6.21</v>
      </c>
      <c r="H10" s="191">
        <v>6.21</v>
      </c>
      <c r="I10" s="191">
        <v>6.21</v>
      </c>
      <c r="J10" s="191">
        <v>6.21</v>
      </c>
      <c r="K10" s="191">
        <v>6.21</v>
      </c>
      <c r="L10" s="191">
        <v>6.21</v>
      </c>
      <c r="M10" s="191">
        <v>6.21</v>
      </c>
      <c r="N10" s="191">
        <v>6.21</v>
      </c>
      <c r="O10" s="191">
        <v>6.21</v>
      </c>
      <c r="P10" s="191">
        <v>6.21</v>
      </c>
      <c r="Q10" s="191">
        <v>6.21</v>
      </c>
      <c r="R10" s="32"/>
    </row>
    <row r="11" spans="1:19" s="31" customFormat="1" x14ac:dyDescent="0.2">
      <c r="B11" s="31" t="s">
        <v>304</v>
      </c>
      <c r="D11"/>
      <c r="E11"/>
      <c r="F11" s="191">
        <v>5.92</v>
      </c>
      <c r="G11" s="191">
        <v>5.92</v>
      </c>
      <c r="H11" s="191">
        <v>5.92</v>
      </c>
      <c r="I11" s="191">
        <v>5.92</v>
      </c>
      <c r="J11" s="191">
        <v>5.92</v>
      </c>
      <c r="K11" s="191">
        <v>5.92</v>
      </c>
      <c r="L11" s="191">
        <v>5.92</v>
      </c>
      <c r="M11" s="191">
        <v>5.92</v>
      </c>
      <c r="N11" s="191">
        <v>5.92</v>
      </c>
      <c r="O11" s="191">
        <v>5.92</v>
      </c>
      <c r="P11" s="191">
        <v>5.92</v>
      </c>
      <c r="Q11" s="191">
        <v>5.92</v>
      </c>
      <c r="R11" s="32"/>
    </row>
    <row r="12" spans="1:19" s="31" customFormat="1" x14ac:dyDescent="0.2">
      <c r="B12" s="31" t="s">
        <v>550</v>
      </c>
      <c r="D12">
        <v>149</v>
      </c>
      <c r="E12" t="s">
        <v>13</v>
      </c>
      <c r="F12" s="191">
        <v>0.21</v>
      </c>
      <c r="G12" s="191">
        <v>0.21</v>
      </c>
      <c r="H12" s="191">
        <v>0.21</v>
      </c>
      <c r="I12" s="191">
        <v>0.21</v>
      </c>
      <c r="J12" s="191">
        <v>0.21</v>
      </c>
      <c r="K12" s="191">
        <v>0.21</v>
      </c>
      <c r="L12" s="191">
        <v>0.21</v>
      </c>
      <c r="M12" s="191">
        <v>0.21</v>
      </c>
      <c r="N12" s="191">
        <v>0.21</v>
      </c>
      <c r="O12" s="191">
        <v>0.21</v>
      </c>
      <c r="P12" s="191">
        <v>0.21</v>
      </c>
      <c r="Q12" s="191">
        <v>0.21</v>
      </c>
      <c r="R12" s="32"/>
    </row>
    <row r="13" spans="1:19" s="30" customFormat="1" x14ac:dyDescent="0.2"/>
    <row r="14" spans="1:19" s="30" customFormat="1" x14ac:dyDescent="0.2">
      <c r="B14" s="29" t="s">
        <v>8</v>
      </c>
    </row>
    <row r="15" spans="1:19" s="30" customFormat="1" x14ac:dyDescent="0.2">
      <c r="B15" s="31" t="s">
        <v>3</v>
      </c>
      <c r="C15" s="31"/>
      <c r="D15" s="31"/>
      <c r="E15" s="30" t="s">
        <v>11</v>
      </c>
      <c r="F15" s="76">
        <f>'(R) Data'!C10</f>
        <v>43.47768421052632</v>
      </c>
      <c r="G15" s="76">
        <f>'(R) Data'!D10</f>
        <v>43.206684210526319</v>
      </c>
      <c r="H15" s="76">
        <f>'(R) Data'!E10</f>
        <v>40.764105263157894</v>
      </c>
      <c r="I15" s="76">
        <f>'(R) Data'!F10</f>
        <v>43.372736842105262</v>
      </c>
      <c r="J15" s="76">
        <f>'(R) Data'!G10</f>
        <v>41.239421052631577</v>
      </c>
      <c r="K15" s="76">
        <f>'(R) Data'!H10</f>
        <v>42.110894736842106</v>
      </c>
      <c r="L15" s="76">
        <f>'(R) Data'!I10</f>
        <v>41.98047368421053</v>
      </c>
      <c r="M15" s="76">
        <f>'(R) Data'!J10</f>
        <v>38.085421052631581</v>
      </c>
      <c r="N15" s="76">
        <f>'(R) Data'!K10</f>
        <v>43.992421052631578</v>
      </c>
      <c r="O15" s="76">
        <f>'(R) Data'!L10</f>
        <v>43.244789473684207</v>
      </c>
      <c r="P15" s="76">
        <f>'(R) Data'!M10</f>
        <v>43.088157894736838</v>
      </c>
      <c r="Q15" s="76">
        <f>'(R) Data'!N10</f>
        <v>40.281684210526315</v>
      </c>
      <c r="R15" s="107">
        <f>SUM(F15:Q15)</f>
        <v>504.84447368421053</v>
      </c>
    </row>
    <row r="16" spans="1:19" s="30" customFormat="1" x14ac:dyDescent="0.2">
      <c r="B16" s="31" t="s">
        <v>12</v>
      </c>
      <c r="E16" s="37">
        <v>19</v>
      </c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107"/>
    </row>
    <row r="17" spans="1:19" s="30" customFormat="1" x14ac:dyDescent="0.2">
      <c r="B17" s="31" t="s">
        <v>170</v>
      </c>
      <c r="E17" s="37"/>
      <c r="F17" s="107">
        <f t="shared" ref="F17:Q17" si="1">F15*$E$16</f>
        <v>826.07600000000002</v>
      </c>
      <c r="G17" s="107">
        <f t="shared" si="1"/>
        <v>820.92700000000002</v>
      </c>
      <c r="H17" s="107">
        <f t="shared" si="1"/>
        <v>774.51800000000003</v>
      </c>
      <c r="I17" s="107">
        <f t="shared" si="1"/>
        <v>824.08199999999999</v>
      </c>
      <c r="J17" s="107">
        <f t="shared" si="1"/>
        <v>783.54899999999998</v>
      </c>
      <c r="K17" s="107">
        <f t="shared" si="1"/>
        <v>800.10699999999997</v>
      </c>
      <c r="L17" s="107">
        <f t="shared" si="1"/>
        <v>797.62900000000002</v>
      </c>
      <c r="M17" s="107">
        <f t="shared" si="1"/>
        <v>723.62300000000005</v>
      </c>
      <c r="N17" s="107">
        <f t="shared" si="1"/>
        <v>835.85599999999999</v>
      </c>
      <c r="O17" s="107">
        <f t="shared" si="1"/>
        <v>821.65099999999995</v>
      </c>
      <c r="P17" s="107">
        <f t="shared" si="1"/>
        <v>818.67499999999995</v>
      </c>
      <c r="Q17" s="107">
        <f t="shared" si="1"/>
        <v>765.35199999999998</v>
      </c>
      <c r="R17" s="107">
        <f>SUM(F17:Q17)</f>
        <v>9592.0450000000001</v>
      </c>
    </row>
    <row r="18" spans="1:19" s="30" customFormat="1" x14ac:dyDescent="0.2">
      <c r="R18" s="96"/>
    </row>
    <row r="19" spans="1:19" s="30" customFormat="1" x14ac:dyDescent="0.2">
      <c r="B19" s="29" t="s">
        <v>9</v>
      </c>
      <c r="R19" s="96"/>
    </row>
    <row r="20" spans="1:19" s="30" customFormat="1" x14ac:dyDescent="0.2">
      <c r="A20" s="30" t="s">
        <v>147</v>
      </c>
      <c r="B20" s="31" t="s">
        <v>3</v>
      </c>
      <c r="C20" s="31"/>
      <c r="D20" s="31">
        <v>16</v>
      </c>
      <c r="F20" s="34">
        <f t="shared" ref="F20:N20" si="2">F9*F15</f>
        <v>421.29876000000002</v>
      </c>
      <c r="G20" s="34">
        <f t="shared" si="2"/>
        <v>418.67277000000001</v>
      </c>
      <c r="H20" s="34">
        <f t="shared" si="2"/>
        <v>395.00417999999996</v>
      </c>
      <c r="I20" s="34">
        <f t="shared" si="2"/>
        <v>420.28181999999998</v>
      </c>
      <c r="J20" s="34">
        <f t="shared" si="2"/>
        <v>399.60998999999998</v>
      </c>
      <c r="K20" s="34">
        <f t="shared" si="2"/>
        <v>408.05456999999996</v>
      </c>
      <c r="L20" s="34">
        <f t="shared" si="2"/>
        <v>406.79079000000002</v>
      </c>
      <c r="M20" s="34">
        <f t="shared" si="2"/>
        <v>369.04773</v>
      </c>
      <c r="N20" s="34">
        <f t="shared" si="2"/>
        <v>426.28655999999995</v>
      </c>
      <c r="O20" s="34">
        <f t="shared" ref="O20:Q20" si="3">O9*O15</f>
        <v>419.04200999999995</v>
      </c>
      <c r="P20" s="34">
        <f t="shared" si="3"/>
        <v>417.52424999999994</v>
      </c>
      <c r="Q20" s="34">
        <f t="shared" si="3"/>
        <v>390.32951999999995</v>
      </c>
      <c r="R20" s="70">
        <f>SUM(F20:Q20)</f>
        <v>4891.9429499999997</v>
      </c>
    </row>
    <row r="21" spans="1:19" s="30" customFormat="1" x14ac:dyDescent="0.2">
      <c r="A21" s="30" t="s">
        <v>130</v>
      </c>
      <c r="B21" s="31" t="s">
        <v>306</v>
      </c>
      <c r="D21">
        <v>101</v>
      </c>
      <c r="F21" s="36">
        <f>F10*F15</f>
        <v>269.99641894736845</v>
      </c>
      <c r="G21" s="36">
        <f t="shared" ref="G21:N21" si="4">G10*G15</f>
        <v>268.31350894736846</v>
      </c>
      <c r="H21" s="36">
        <f t="shared" si="4"/>
        <v>253.14509368421054</v>
      </c>
      <c r="I21" s="36">
        <f t="shared" si="4"/>
        <v>269.34469578947369</v>
      </c>
      <c r="J21" s="36">
        <f t="shared" si="4"/>
        <v>256.0968047368421</v>
      </c>
      <c r="K21" s="36">
        <f t="shared" si="4"/>
        <v>261.50865631578949</v>
      </c>
      <c r="L21" s="36">
        <f t="shared" si="4"/>
        <v>260.69874157894736</v>
      </c>
      <c r="M21" s="36">
        <f t="shared" si="4"/>
        <v>236.51046473684212</v>
      </c>
      <c r="N21" s="36">
        <f t="shared" si="4"/>
        <v>273.19293473684212</v>
      </c>
      <c r="O21" s="36">
        <f t="shared" ref="O21:Q21" si="5">O10*O15</f>
        <v>268.55014263157892</v>
      </c>
      <c r="P21" s="36">
        <f t="shared" si="5"/>
        <v>267.57746052631575</v>
      </c>
      <c r="Q21" s="36">
        <f t="shared" si="5"/>
        <v>250.14925894736842</v>
      </c>
      <c r="R21" s="70">
        <f>SUM(F21:Q21)</f>
        <v>3135.0841815789481</v>
      </c>
      <c r="S21" s="31"/>
    </row>
    <row r="22" spans="1:19" s="30" customFormat="1" x14ac:dyDescent="0.2">
      <c r="A22" s="30" t="s">
        <v>551</v>
      </c>
      <c r="B22" s="31" t="s">
        <v>552</v>
      </c>
      <c r="D22">
        <v>149</v>
      </c>
      <c r="F22" s="36">
        <f>F12*F15</f>
        <v>9.1303136842105275</v>
      </c>
      <c r="G22" s="36">
        <f t="shared" ref="G22:Q22" si="6">G12*G15</f>
        <v>9.0734036842105272</v>
      </c>
      <c r="H22" s="36">
        <f t="shared" si="6"/>
        <v>8.5604621052631575</v>
      </c>
      <c r="I22" s="36">
        <f t="shared" si="6"/>
        <v>9.1082747368421053</v>
      </c>
      <c r="J22" s="36">
        <f t="shared" si="6"/>
        <v>8.6602784210526309</v>
      </c>
      <c r="K22" s="36">
        <f t="shared" si="6"/>
        <v>8.8432878947368412</v>
      </c>
      <c r="L22" s="36">
        <f t="shared" si="6"/>
        <v>8.8158994736842118</v>
      </c>
      <c r="M22" s="36">
        <f t="shared" si="6"/>
        <v>7.9979384210526314</v>
      </c>
      <c r="N22" s="36">
        <f t="shared" si="6"/>
        <v>9.2384084210526307</v>
      </c>
      <c r="O22" s="36">
        <f t="shared" si="6"/>
        <v>9.081405789473683</v>
      </c>
      <c r="P22" s="36">
        <f t="shared" si="6"/>
        <v>9.0485131578947353</v>
      </c>
      <c r="Q22" s="36">
        <f t="shared" si="6"/>
        <v>8.4591536842105253</v>
      </c>
      <c r="R22" s="622">
        <f>SUM(F22:Q22)</f>
        <v>106.01733947368419</v>
      </c>
      <c r="S22" s="31"/>
    </row>
    <row r="23" spans="1:19" s="30" customFormat="1" x14ac:dyDescent="0.2">
      <c r="B23" t="s">
        <v>24</v>
      </c>
      <c r="F23" s="35">
        <f>SUM(F20:F22)</f>
        <v>700.42549263157889</v>
      </c>
      <c r="G23" s="35">
        <f t="shared" ref="G23:R23" si="7">SUM(G20:G22)</f>
        <v>696.05968263157899</v>
      </c>
      <c r="H23" s="35">
        <f t="shared" si="7"/>
        <v>656.7097357894736</v>
      </c>
      <c r="I23" s="35">
        <f t="shared" si="7"/>
        <v>698.73479052631569</v>
      </c>
      <c r="J23" s="35">
        <f t="shared" si="7"/>
        <v>664.36707315789477</v>
      </c>
      <c r="K23" s="35">
        <f t="shared" si="7"/>
        <v>678.40651421052632</v>
      </c>
      <c r="L23" s="35">
        <f t="shared" si="7"/>
        <v>676.30543105263166</v>
      </c>
      <c r="M23" s="35">
        <f t="shared" si="7"/>
        <v>613.55613315789469</v>
      </c>
      <c r="N23" s="35">
        <f t="shared" si="7"/>
        <v>708.71790315789474</v>
      </c>
      <c r="O23" s="35">
        <f t="shared" si="7"/>
        <v>696.67355842105258</v>
      </c>
      <c r="P23" s="35">
        <f t="shared" si="7"/>
        <v>694.15022368421035</v>
      </c>
      <c r="Q23" s="35">
        <f t="shared" si="7"/>
        <v>648.93793263157886</v>
      </c>
      <c r="R23" s="35">
        <f t="shared" si="7"/>
        <v>8133.0444710526317</v>
      </c>
    </row>
    <row r="24" spans="1:19" x14ac:dyDescent="0.2">
      <c r="D24" s="27"/>
      <c r="E24" s="27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7"/>
    </row>
    <row r="25" spans="1:19" x14ac:dyDescent="0.2">
      <c r="A25" t="s">
        <v>305</v>
      </c>
      <c r="B25" t="s">
        <v>304</v>
      </c>
      <c r="D25" s="27"/>
      <c r="E25" s="27"/>
      <c r="F25" s="36">
        <f t="shared" ref="F25:N25" si="8">F15*F11</f>
        <v>257.3878905263158</v>
      </c>
      <c r="G25" s="36">
        <f t="shared" si="8"/>
        <v>255.7835705263158</v>
      </c>
      <c r="H25" s="36">
        <f t="shared" si="8"/>
        <v>241.32350315789472</v>
      </c>
      <c r="I25" s="36">
        <f t="shared" si="8"/>
        <v>256.76660210526313</v>
      </c>
      <c r="J25" s="36">
        <f t="shared" si="8"/>
        <v>244.13737263157893</v>
      </c>
      <c r="K25" s="36">
        <f t="shared" si="8"/>
        <v>249.29649684210526</v>
      </c>
      <c r="L25" s="36">
        <f t="shared" si="8"/>
        <v>248.52440421052634</v>
      </c>
      <c r="M25" s="36">
        <f t="shared" si="8"/>
        <v>225.46569263157895</v>
      </c>
      <c r="N25" s="36">
        <f t="shared" si="8"/>
        <v>260.43513263157894</v>
      </c>
      <c r="O25" s="36">
        <f t="shared" ref="O25:Q25" si="9">O15*O11</f>
        <v>256.0091536842105</v>
      </c>
      <c r="P25" s="36">
        <f t="shared" si="9"/>
        <v>255.08189473684209</v>
      </c>
      <c r="Q25" s="36">
        <f t="shared" si="9"/>
        <v>238.46757052631577</v>
      </c>
      <c r="R25" s="82">
        <f>SUM(F25:Q25)</f>
        <v>2988.6792842105265</v>
      </c>
      <c r="S25" s="36"/>
    </row>
    <row r="26" spans="1:19" x14ac:dyDescent="0.2">
      <c r="D26" s="27"/>
      <c r="E26" s="27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7"/>
    </row>
    <row r="27" spans="1:19" x14ac:dyDescent="0.2">
      <c r="B27" s="15" t="s">
        <v>27</v>
      </c>
      <c r="C27" s="15"/>
    </row>
    <row r="28" spans="1:19" x14ac:dyDescent="0.2">
      <c r="B28" s="15" t="s">
        <v>7</v>
      </c>
      <c r="C28" s="15"/>
    </row>
    <row r="29" spans="1:19" x14ac:dyDescent="0.2">
      <c r="B29" t="s">
        <v>282</v>
      </c>
      <c r="D29">
        <v>23</v>
      </c>
      <c r="E29" t="s">
        <v>5</v>
      </c>
      <c r="F29" s="159">
        <f>'Rate Design Res'!$H$12</f>
        <v>11</v>
      </c>
      <c r="G29" s="159">
        <f>'Rate Design Res'!$H$12</f>
        <v>11</v>
      </c>
      <c r="H29" s="159">
        <f>'Rate Design Res'!$H$12</f>
        <v>11</v>
      </c>
      <c r="I29" s="159">
        <f>'Rate Design Res'!$H$12</f>
        <v>11</v>
      </c>
      <c r="J29" s="159">
        <f>'Rate Design Res'!$H$12</f>
        <v>11</v>
      </c>
      <c r="K29" s="159">
        <f>'Rate Design Res'!$H$12</f>
        <v>11</v>
      </c>
      <c r="L29" s="159">
        <f>'Rate Design Res'!$H$12</f>
        <v>11</v>
      </c>
      <c r="M29" s="159">
        <f>'Rate Design Res'!$H$12</f>
        <v>11</v>
      </c>
      <c r="N29" s="159">
        <f>'Rate Design Res'!$H$12</f>
        <v>11</v>
      </c>
      <c r="O29" s="159">
        <f>'Rate Design Res'!$H$12</f>
        <v>11</v>
      </c>
      <c r="P29" s="159">
        <f>'Rate Design Res'!$H$12</f>
        <v>11</v>
      </c>
      <c r="Q29" s="159">
        <f>'Rate Design Res'!$H$12</f>
        <v>11</v>
      </c>
      <c r="R29" s="26"/>
    </row>
    <row r="30" spans="1:19" x14ac:dyDescent="0.2">
      <c r="B30" t="s">
        <v>3</v>
      </c>
      <c r="D30">
        <v>23</v>
      </c>
      <c r="E30" t="s">
        <v>6</v>
      </c>
      <c r="F30" s="160">
        <f>'Rate Design Res'!$H$13</f>
        <v>0.34603</v>
      </c>
      <c r="G30" s="160">
        <f>'Rate Design Res'!$H$13</f>
        <v>0.34603</v>
      </c>
      <c r="H30" s="160">
        <f>'Rate Design Res'!$H$13</f>
        <v>0.34603</v>
      </c>
      <c r="I30" s="160">
        <f>'Rate Design Res'!$H$13</f>
        <v>0.34603</v>
      </c>
      <c r="J30" s="160">
        <f>'Rate Design Res'!$H$13</f>
        <v>0.34603</v>
      </c>
      <c r="K30" s="160">
        <f>'Rate Design Res'!$H$13</f>
        <v>0.34603</v>
      </c>
      <c r="L30" s="160">
        <f>'Rate Design Res'!$H$13</f>
        <v>0.34603</v>
      </c>
      <c r="M30" s="160">
        <f>'Rate Design Res'!$H$13</f>
        <v>0.34603</v>
      </c>
      <c r="N30" s="160">
        <f>'Rate Design Res'!$H$13</f>
        <v>0.34603</v>
      </c>
      <c r="O30" s="160">
        <f>'Rate Design Res'!$H$13</f>
        <v>0.34603</v>
      </c>
      <c r="P30" s="160">
        <f>'Rate Design Res'!$H$13</f>
        <v>0.34603</v>
      </c>
      <c r="Q30" s="160">
        <f>'Rate Design Res'!$H$13</f>
        <v>0.34603</v>
      </c>
      <c r="R30" s="20"/>
    </row>
    <row r="31" spans="1:19" x14ac:dyDescent="0.2">
      <c r="B31" t="s">
        <v>307</v>
      </c>
      <c r="D31">
        <v>101</v>
      </c>
      <c r="E31" t="s">
        <v>6</v>
      </c>
      <c r="F31" s="182">
        <v>0.32665</v>
      </c>
      <c r="G31" s="182">
        <v>0.32665</v>
      </c>
      <c r="H31" s="182">
        <v>0.32665</v>
      </c>
      <c r="I31" s="182">
        <v>0.32665</v>
      </c>
      <c r="J31" s="182">
        <v>0.32665</v>
      </c>
      <c r="K31" s="182">
        <v>0.32665</v>
      </c>
      <c r="L31" s="182">
        <v>0.32665</v>
      </c>
      <c r="M31" s="182">
        <v>0.32665</v>
      </c>
      <c r="N31" s="182">
        <v>0.32665</v>
      </c>
      <c r="O31" s="182">
        <v>0.32665</v>
      </c>
      <c r="P31" s="182">
        <v>0.32665</v>
      </c>
      <c r="Q31" s="182">
        <v>0.32665</v>
      </c>
      <c r="R31" s="20"/>
    </row>
    <row r="32" spans="1:19" x14ac:dyDescent="0.2">
      <c r="B32" t="s">
        <v>304</v>
      </c>
      <c r="F32" s="182">
        <v>0.31180000000000002</v>
      </c>
      <c r="G32" s="182">
        <v>0.31180000000000002</v>
      </c>
      <c r="H32" s="182">
        <v>0.31180000000000002</v>
      </c>
      <c r="I32" s="182">
        <v>0.31180000000000002</v>
      </c>
      <c r="J32" s="182">
        <v>0.31180000000000002</v>
      </c>
      <c r="K32" s="182">
        <v>0.31180000000000002</v>
      </c>
      <c r="L32" s="182">
        <v>0.31180000000000002</v>
      </c>
      <c r="M32" s="182">
        <v>0.31180000000000002</v>
      </c>
      <c r="N32" s="182">
        <v>0.31180000000000002</v>
      </c>
      <c r="O32" s="182">
        <v>0.31180000000000002</v>
      </c>
      <c r="P32" s="182">
        <v>0.31180000000000002</v>
      </c>
      <c r="Q32" s="182">
        <v>0.31180000000000002</v>
      </c>
    </row>
    <row r="33" spans="1:18" customFormat="1" x14ac:dyDescent="0.2">
      <c r="B33" t="s">
        <v>550</v>
      </c>
      <c r="D33">
        <v>149</v>
      </c>
      <c r="E33" t="s">
        <v>6</v>
      </c>
      <c r="F33" s="182">
        <v>1.1209999999999999E-2</v>
      </c>
      <c r="G33" s="182">
        <v>1.1209999999999999E-2</v>
      </c>
      <c r="H33" s="182">
        <v>1.1209999999999999E-2</v>
      </c>
      <c r="I33" s="182">
        <v>1.1209999999999999E-2</v>
      </c>
      <c r="J33" s="182">
        <v>1.1209999999999999E-2</v>
      </c>
      <c r="K33" s="182">
        <v>1.1209999999999999E-2</v>
      </c>
      <c r="L33" s="182">
        <v>1.1209999999999999E-2</v>
      </c>
      <c r="M33" s="182">
        <v>1.1209999999999999E-2</v>
      </c>
      <c r="N33" s="182">
        <v>1.1209999999999999E-2</v>
      </c>
      <c r="O33" s="182">
        <v>1.1209999999999999E-2</v>
      </c>
      <c r="P33" s="182">
        <v>1.1209999999999999E-2</v>
      </c>
      <c r="Q33" s="182">
        <v>1.1209999999999999E-2</v>
      </c>
    </row>
    <row r="35" spans="1:18" customFormat="1" x14ac:dyDescent="0.2">
      <c r="B35" s="15" t="s">
        <v>8</v>
      </c>
    </row>
    <row r="36" spans="1:18" customFormat="1" x14ac:dyDescent="0.2">
      <c r="B36" t="s">
        <v>22</v>
      </c>
      <c r="E36" t="s">
        <v>22</v>
      </c>
      <c r="F36" s="63">
        <f>'(R) Data'!C13</f>
        <v>791033.10106899915</v>
      </c>
      <c r="G36" s="63">
        <f>'(R) Data'!D13</f>
        <v>799125.72983479116</v>
      </c>
      <c r="H36" s="63">
        <f>'(R) Data'!E13</f>
        <v>753288.30126336252</v>
      </c>
      <c r="I36" s="63">
        <f>'(R) Data'!F13</f>
        <v>788504.85519922257</v>
      </c>
      <c r="J36" s="63">
        <f>'(R) Data'!G13</f>
        <v>754044.3041788144</v>
      </c>
      <c r="K36" s="63">
        <f>'(R) Data'!H13</f>
        <v>778711.52441646787</v>
      </c>
      <c r="L36" s="63">
        <f>'(R) Data'!I13</f>
        <v>781852.52976234653</v>
      </c>
      <c r="M36" s="63">
        <f>'(R) Data'!J13</f>
        <v>710122.15909090906</v>
      </c>
      <c r="N36" s="63">
        <f>'(R) Data'!K13</f>
        <v>810554.56545454555</v>
      </c>
      <c r="O36" s="63">
        <f>'(R) Data'!L13</f>
        <v>796412.53272727272</v>
      </c>
      <c r="P36" s="63">
        <f>'(R) Data'!M13</f>
        <v>800300.15272727271</v>
      </c>
      <c r="Q36" s="63">
        <f>'(R) Data'!N13</f>
        <v>765726.25818181818</v>
      </c>
      <c r="R36" s="91">
        <f>SUM(F36:Q36)</f>
        <v>9329676.0139058214</v>
      </c>
    </row>
    <row r="37" spans="1:18" customFormat="1" x14ac:dyDescent="0.2">
      <c r="B37" t="s">
        <v>30</v>
      </c>
      <c r="E37" t="s">
        <v>10</v>
      </c>
      <c r="F37" s="63">
        <f>'Weather Adj'!D170</f>
        <v>13443846.632999999</v>
      </c>
      <c r="G37" s="599">
        <f>'Weather Adj'!E170</f>
        <v>12736009.979</v>
      </c>
      <c r="H37" s="599">
        <f>'Weather Adj'!F170</f>
        <v>21647719.936999999</v>
      </c>
      <c r="I37" s="599">
        <f>'Weather Adj'!G170</f>
        <v>46155974.25</v>
      </c>
      <c r="J37" s="599">
        <f>'Weather Adj'!H170</f>
        <v>73741897.160999998</v>
      </c>
      <c r="K37" s="599">
        <f>'Weather Adj'!I170</f>
        <v>88509622.627000004</v>
      </c>
      <c r="L37" s="599">
        <f>'Weather Adj'!J170</f>
        <v>97226692.343999997</v>
      </c>
      <c r="M37" s="599">
        <f>'Weather Adj'!K170</f>
        <v>73367926.152999997</v>
      </c>
      <c r="N37" s="599">
        <f>'Weather Adj'!L170</f>
        <v>75843560.385000005</v>
      </c>
      <c r="O37" s="599">
        <f>'Weather Adj'!M170</f>
        <v>50269722.055</v>
      </c>
      <c r="P37" s="599">
        <f>'Weather Adj'!N170</f>
        <v>30887232.546</v>
      </c>
      <c r="Q37" s="599">
        <f>'Weather Adj'!O170</f>
        <v>19275348.866999999</v>
      </c>
      <c r="R37" s="91">
        <f>SUM(F37:Q37)</f>
        <v>603105552.93699992</v>
      </c>
    </row>
    <row r="38" spans="1:18" customFormat="1" x14ac:dyDescent="0.2">
      <c r="R38" s="102"/>
    </row>
    <row r="39" spans="1:18" customFormat="1" x14ac:dyDescent="0.2">
      <c r="B39" s="15" t="s">
        <v>9</v>
      </c>
      <c r="R39" s="102"/>
    </row>
    <row r="40" spans="1:18" customFormat="1" x14ac:dyDescent="0.2">
      <c r="A40" t="s">
        <v>147</v>
      </c>
      <c r="B40" t="s">
        <v>282</v>
      </c>
      <c r="D40">
        <v>23</v>
      </c>
      <c r="F40" s="23">
        <f>F29*F36</f>
        <v>8701364.1117589902</v>
      </c>
      <c r="G40" s="23">
        <f t="shared" ref="G40:Q40" si="10">G29*G36</f>
        <v>8790383.0281827021</v>
      </c>
      <c r="H40" s="23">
        <f t="shared" si="10"/>
        <v>8286171.3138969876</v>
      </c>
      <c r="I40" s="23">
        <f t="shared" si="10"/>
        <v>8673553.4071914479</v>
      </c>
      <c r="J40" s="23">
        <f t="shared" si="10"/>
        <v>8294487.3459669584</v>
      </c>
      <c r="K40" s="23">
        <f t="shared" si="10"/>
        <v>8565826.7685811464</v>
      </c>
      <c r="L40" s="23">
        <f t="shared" si="10"/>
        <v>8600377.8273858111</v>
      </c>
      <c r="M40" s="23">
        <f t="shared" si="10"/>
        <v>7811343.75</v>
      </c>
      <c r="N40" s="23">
        <f t="shared" si="10"/>
        <v>8916100.2200000007</v>
      </c>
      <c r="O40" s="23">
        <f t="shared" si="10"/>
        <v>8760537.8599999994</v>
      </c>
      <c r="P40" s="23">
        <f t="shared" si="10"/>
        <v>8803301.6799999997</v>
      </c>
      <c r="Q40" s="23">
        <f t="shared" si="10"/>
        <v>8422988.8399999999</v>
      </c>
      <c r="R40" s="100">
        <f>SUM(F40:Q40)</f>
        <v>102626436.15296406</v>
      </c>
    </row>
    <row r="41" spans="1:18" customFormat="1" x14ac:dyDescent="0.2">
      <c r="A41" t="s">
        <v>147</v>
      </c>
      <c r="B41" t="s">
        <v>3</v>
      </c>
      <c r="D41">
        <v>23</v>
      </c>
      <c r="F41" s="23">
        <f>F30*F37</f>
        <v>4651974.2504169894</v>
      </c>
      <c r="G41" s="23">
        <f t="shared" ref="G41:Q41" si="11">G30*G37</f>
        <v>4407041.53303337</v>
      </c>
      <c r="H41" s="23">
        <f t="shared" si="11"/>
        <v>7490760.5298001096</v>
      </c>
      <c r="I41" s="23">
        <f t="shared" si="11"/>
        <v>15971351.7697275</v>
      </c>
      <c r="J41" s="23">
        <f t="shared" si="11"/>
        <v>25516908.67462083</v>
      </c>
      <c r="K41" s="23">
        <f t="shared" si="11"/>
        <v>30626984.717620812</v>
      </c>
      <c r="L41" s="23">
        <f t="shared" si="11"/>
        <v>33643352.351794317</v>
      </c>
      <c r="M41" s="23">
        <f t="shared" si="11"/>
        <v>25387503.486722589</v>
      </c>
      <c r="N41" s="23">
        <f t="shared" si="11"/>
        <v>26244147.200021554</v>
      </c>
      <c r="O41" s="23">
        <f t="shared" si="11"/>
        <v>17394831.922691651</v>
      </c>
      <c r="P41" s="23">
        <f t="shared" si="11"/>
        <v>10687909.07789238</v>
      </c>
      <c r="Q41" s="23">
        <f t="shared" si="11"/>
        <v>6669848.9684480093</v>
      </c>
      <c r="R41" s="100">
        <f>SUM(F41:Q41)</f>
        <v>208692614.48279011</v>
      </c>
    </row>
    <row r="42" spans="1:18" customFormat="1" x14ac:dyDescent="0.2">
      <c r="A42" s="30" t="s">
        <v>130</v>
      </c>
      <c r="B42" t="s">
        <v>306</v>
      </c>
      <c r="D42">
        <v>101</v>
      </c>
      <c r="F42" s="23">
        <f>F31*F37</f>
        <v>4391432.5026694499</v>
      </c>
      <c r="G42" s="23">
        <f t="shared" ref="G42:Q42" si="12">G31*G37</f>
        <v>4160217.6596403499</v>
      </c>
      <c r="H42" s="23">
        <f t="shared" si="12"/>
        <v>7071227.7174210493</v>
      </c>
      <c r="I42" s="23">
        <f t="shared" si="12"/>
        <v>15076848.9887625</v>
      </c>
      <c r="J42" s="23">
        <f t="shared" si="12"/>
        <v>24087790.707640648</v>
      </c>
      <c r="K42" s="23">
        <f t="shared" si="12"/>
        <v>28911668.231109552</v>
      </c>
      <c r="L42" s="23">
        <f t="shared" si="12"/>
        <v>31759099.054167598</v>
      </c>
      <c r="M42" s="23">
        <f t="shared" si="12"/>
        <v>23965633.077877447</v>
      </c>
      <c r="N42" s="23">
        <f t="shared" si="12"/>
        <v>24774298.999760251</v>
      </c>
      <c r="O42" s="23">
        <f t="shared" si="12"/>
        <v>16420604.70926575</v>
      </c>
      <c r="P42" s="23">
        <f t="shared" si="12"/>
        <v>10089314.5111509</v>
      </c>
      <c r="Q42" s="23">
        <f t="shared" si="12"/>
        <v>6296292.7074055495</v>
      </c>
      <c r="R42" s="100">
        <f>SUM(F42:Q42)</f>
        <v>197004428.86687103</v>
      </c>
    </row>
    <row r="43" spans="1:18" customFormat="1" x14ac:dyDescent="0.2">
      <c r="A43" s="30" t="s">
        <v>551</v>
      </c>
      <c r="B43" t="s">
        <v>552</v>
      </c>
      <c r="D43">
        <v>149</v>
      </c>
      <c r="F43" s="23">
        <f>F33*F37</f>
        <v>150705.52075592999</v>
      </c>
      <c r="G43" s="23">
        <f t="shared" ref="G43:Q43" si="13">G33*G37</f>
        <v>142770.67186459</v>
      </c>
      <c r="H43" s="23">
        <f t="shared" si="13"/>
        <v>242670.94049376997</v>
      </c>
      <c r="I43" s="23">
        <f t="shared" si="13"/>
        <v>517408.47134249995</v>
      </c>
      <c r="J43" s="23">
        <f t="shared" si="13"/>
        <v>826646.66717480996</v>
      </c>
      <c r="K43" s="23">
        <f t="shared" si="13"/>
        <v>992192.86964866996</v>
      </c>
      <c r="L43" s="23">
        <f t="shared" si="13"/>
        <v>1089911.2211762399</v>
      </c>
      <c r="M43" s="23">
        <f t="shared" si="13"/>
        <v>822454.4521751299</v>
      </c>
      <c r="N43" s="23">
        <f t="shared" si="13"/>
        <v>850206.31191585003</v>
      </c>
      <c r="O43" s="23">
        <f t="shared" si="13"/>
        <v>563523.58423655003</v>
      </c>
      <c r="P43" s="23">
        <f t="shared" si="13"/>
        <v>346245.87684066</v>
      </c>
      <c r="Q43" s="23">
        <f t="shared" si="13"/>
        <v>216076.66079906997</v>
      </c>
      <c r="R43" s="100">
        <f>SUM(F43:Q43)</f>
        <v>6760813.248423771</v>
      </c>
    </row>
    <row r="44" spans="1:18" customFormat="1" x14ac:dyDescent="0.2">
      <c r="B44" t="s">
        <v>24</v>
      </c>
      <c r="F44" s="24">
        <f>SUM(F40:F43)</f>
        <v>17895476.38560136</v>
      </c>
      <c r="G44" s="24">
        <f t="shared" ref="G44:R44" si="14">SUM(G40:G43)</f>
        <v>17500412.892721012</v>
      </c>
      <c r="H44" s="24">
        <f t="shared" si="14"/>
        <v>23090830.501611918</v>
      </c>
      <c r="I44" s="24">
        <f t="shared" si="14"/>
        <v>40239162.637023941</v>
      </c>
      <c r="J44" s="24">
        <f t="shared" si="14"/>
        <v>58725833.395403244</v>
      </c>
      <c r="K44" s="24">
        <f t="shared" si="14"/>
        <v>69096672.586960167</v>
      </c>
      <c r="L44" s="24">
        <f t="shared" si="14"/>
        <v>75092740.454523966</v>
      </c>
      <c r="M44" s="24">
        <f t="shared" si="14"/>
        <v>57986934.766775168</v>
      </c>
      <c r="N44" s="24">
        <f t="shared" si="14"/>
        <v>60784752.731697656</v>
      </c>
      <c r="O44" s="24">
        <f t="shared" si="14"/>
        <v>43139498.076193944</v>
      </c>
      <c r="P44" s="24">
        <f t="shared" si="14"/>
        <v>29926771.145883936</v>
      </c>
      <c r="Q44" s="24">
        <f t="shared" si="14"/>
        <v>21605207.176652629</v>
      </c>
      <c r="R44" s="24">
        <f t="shared" si="14"/>
        <v>515084292.75104898</v>
      </c>
    </row>
    <row r="46" spans="1:18" customFormat="1" x14ac:dyDescent="0.2">
      <c r="A46" t="s">
        <v>305</v>
      </c>
      <c r="B46" t="s">
        <v>304</v>
      </c>
      <c r="F46" s="23">
        <f t="shared" ref="F46:N46" si="15">F37*F32</f>
        <v>4191791.3801694</v>
      </c>
      <c r="G46" s="23">
        <f t="shared" si="15"/>
        <v>3971087.9114522003</v>
      </c>
      <c r="H46" s="23">
        <f t="shared" si="15"/>
        <v>6749759.0763566</v>
      </c>
      <c r="I46" s="23">
        <f t="shared" si="15"/>
        <v>14391432.77115</v>
      </c>
      <c r="J46" s="23">
        <f t="shared" si="15"/>
        <v>22992723.534799799</v>
      </c>
      <c r="K46" s="23">
        <f t="shared" si="15"/>
        <v>27597300.335098602</v>
      </c>
      <c r="L46" s="23">
        <f t="shared" si="15"/>
        <v>30315282.672859199</v>
      </c>
      <c r="M46" s="23">
        <f t="shared" si="15"/>
        <v>22876119.374505401</v>
      </c>
      <c r="N46" s="23">
        <f t="shared" si="15"/>
        <v>23648022.128043003</v>
      </c>
      <c r="O46" s="23">
        <f t="shared" ref="O46:Q46" si="16">O37*O32</f>
        <v>15674099.336749</v>
      </c>
      <c r="P46" s="23">
        <f t="shared" si="16"/>
        <v>9630639.1078428011</v>
      </c>
      <c r="Q46" s="23">
        <f t="shared" si="16"/>
        <v>6010053.7767305998</v>
      </c>
      <c r="R46" s="23">
        <f>SUM(F46:Q46)</f>
        <v>188048311.40575659</v>
      </c>
    </row>
    <row r="48" spans="1:18" customFormat="1" x14ac:dyDescent="0.2">
      <c r="B48" s="15" t="s">
        <v>94</v>
      </c>
      <c r="C48" s="15"/>
    </row>
    <row r="49" spans="1:19" x14ac:dyDescent="0.2">
      <c r="B49" s="15" t="s">
        <v>7</v>
      </c>
      <c r="C49" s="15"/>
      <c r="S49"/>
    </row>
    <row r="50" spans="1:19" x14ac:dyDescent="0.2">
      <c r="B50" t="s">
        <v>282</v>
      </c>
      <c r="D50">
        <v>53</v>
      </c>
      <c r="E50" t="s">
        <v>5</v>
      </c>
      <c r="F50" s="159">
        <f>'Rate Design Res'!$H$24</f>
        <v>11</v>
      </c>
      <c r="G50" s="159">
        <f>'Rate Design Res'!$H$24</f>
        <v>11</v>
      </c>
      <c r="H50" s="159">
        <f>'Rate Design Res'!$H$24</f>
        <v>11</v>
      </c>
      <c r="I50" s="159">
        <f>'Rate Design Res'!$H$24</f>
        <v>11</v>
      </c>
      <c r="J50" s="159">
        <f>'Rate Design Res'!$H$24</f>
        <v>11</v>
      </c>
      <c r="K50" s="159">
        <f>'Rate Design Res'!$H$24</f>
        <v>11</v>
      </c>
      <c r="L50" s="159">
        <f>'Rate Design Res'!$H$24</f>
        <v>11</v>
      </c>
      <c r="M50" s="159">
        <f>'Rate Design Res'!$H$24</f>
        <v>11</v>
      </c>
      <c r="N50" s="159">
        <f>'Rate Design Res'!$H$24</f>
        <v>11</v>
      </c>
      <c r="O50" s="159">
        <f>'Rate Design Res'!$H$24</f>
        <v>11</v>
      </c>
      <c r="P50" s="159">
        <f>'Rate Design Res'!$H$24</f>
        <v>11</v>
      </c>
      <c r="Q50" s="159">
        <f>'Rate Design Res'!$H$24</f>
        <v>11</v>
      </c>
      <c r="R50" s="26"/>
      <c r="S50"/>
    </row>
    <row r="51" spans="1:19" x14ac:dyDescent="0.2">
      <c r="B51" t="s">
        <v>3</v>
      </c>
      <c r="D51">
        <v>53</v>
      </c>
      <c r="E51" t="s">
        <v>6</v>
      </c>
      <c r="F51" s="160">
        <f>'Rate Design Res'!$H$25</f>
        <v>0.34603</v>
      </c>
      <c r="G51" s="160">
        <f>'Rate Design Res'!$H$25</f>
        <v>0.34603</v>
      </c>
      <c r="H51" s="160">
        <f>'Rate Design Res'!$H$25</f>
        <v>0.34603</v>
      </c>
      <c r="I51" s="160">
        <f>'Rate Design Res'!$H$25</f>
        <v>0.34603</v>
      </c>
      <c r="J51" s="160">
        <f>'Rate Design Res'!$H$25</f>
        <v>0.34603</v>
      </c>
      <c r="K51" s="160">
        <f>'Rate Design Res'!$H$25</f>
        <v>0.34603</v>
      </c>
      <c r="L51" s="160">
        <f>'Rate Design Res'!$H$25</f>
        <v>0.34603</v>
      </c>
      <c r="M51" s="160">
        <f>'Rate Design Res'!$H$25</f>
        <v>0.34603</v>
      </c>
      <c r="N51" s="160">
        <f>'Rate Design Res'!$H$25</f>
        <v>0.34603</v>
      </c>
      <c r="O51" s="160">
        <f>'Rate Design Res'!$H$25</f>
        <v>0.34603</v>
      </c>
      <c r="P51" s="160">
        <f>'Rate Design Res'!$H$25</f>
        <v>0.34603</v>
      </c>
      <c r="Q51" s="160">
        <f>'Rate Design Res'!$H$25</f>
        <v>0.34603</v>
      </c>
      <c r="R51" s="20"/>
      <c r="S51"/>
    </row>
    <row r="52" spans="1:19" s="30" customFormat="1" x14ac:dyDescent="0.2">
      <c r="B52" s="30" t="s">
        <v>28</v>
      </c>
      <c r="D52" s="30">
        <v>101</v>
      </c>
      <c r="E52" s="30" t="s">
        <v>6</v>
      </c>
      <c r="F52" s="182">
        <v>4.80769</v>
      </c>
      <c r="G52" s="182">
        <v>4.80769</v>
      </c>
      <c r="H52" s="182">
        <v>4.80769</v>
      </c>
      <c r="I52" s="182">
        <v>4.80769</v>
      </c>
      <c r="J52" s="182">
        <v>4.80769</v>
      </c>
      <c r="K52" s="182">
        <v>4.80769</v>
      </c>
      <c r="L52" s="182">
        <v>4.80769</v>
      </c>
      <c r="M52" s="182">
        <v>4.80769</v>
      </c>
      <c r="N52" s="182">
        <v>4.80769</v>
      </c>
      <c r="O52" s="182">
        <v>4.80769</v>
      </c>
      <c r="P52" s="182">
        <v>4.80769</v>
      </c>
      <c r="Q52" s="182">
        <v>4.80769</v>
      </c>
      <c r="R52" s="65"/>
    </row>
    <row r="53" spans="1:19" s="30" customFormat="1" x14ac:dyDescent="0.2">
      <c r="B53" s="30" t="s">
        <v>550</v>
      </c>
      <c r="D53" s="30">
        <v>149</v>
      </c>
      <c r="E53" s="30" t="s">
        <v>6</v>
      </c>
      <c r="F53" s="182">
        <v>1.1209999999999999E-2</v>
      </c>
      <c r="G53" s="182">
        <v>1.1209999999999999E-2</v>
      </c>
      <c r="H53" s="182">
        <v>1.1209999999999999E-2</v>
      </c>
      <c r="I53" s="182">
        <v>1.1209999999999999E-2</v>
      </c>
      <c r="J53" s="182">
        <v>1.1209999999999999E-2</v>
      </c>
      <c r="K53" s="182">
        <v>1.1209999999999999E-2</v>
      </c>
      <c r="L53" s="182">
        <v>1.1209999999999999E-2</v>
      </c>
      <c r="M53" s="182">
        <v>1.1209999999999999E-2</v>
      </c>
      <c r="N53" s="182">
        <v>1.1209999999999999E-2</v>
      </c>
      <c r="O53" s="182">
        <v>1.1209999999999999E-2</v>
      </c>
      <c r="P53" s="182">
        <v>1.1209999999999999E-2</v>
      </c>
      <c r="Q53" s="182">
        <v>1.1209999999999999E-2</v>
      </c>
      <c r="R53" s="65"/>
    </row>
    <row r="55" spans="1:19" x14ac:dyDescent="0.2">
      <c r="B55" s="15" t="s">
        <v>8</v>
      </c>
      <c r="S55"/>
    </row>
    <row r="56" spans="1:19" x14ac:dyDescent="0.2">
      <c r="B56" t="s">
        <v>22</v>
      </c>
      <c r="E56" t="s">
        <v>22</v>
      </c>
      <c r="F56" s="63">
        <f>'(R) Data'!C22</f>
        <v>1.0145772594752187</v>
      </c>
      <c r="G56" s="63">
        <f>'(R) Data'!D22</f>
        <v>1.0505344995140915</v>
      </c>
      <c r="H56" s="63">
        <f>'(R) Data'!E22</f>
        <v>0.9659863945578232</v>
      </c>
      <c r="I56" s="63">
        <f>'(R) Data'!F22</f>
        <v>1.0174927113702625</v>
      </c>
      <c r="J56" s="63">
        <f>'(R) Data'!G22</f>
        <v>1.0165208940719146</v>
      </c>
      <c r="K56" s="63">
        <f>'(R) Data'!H22</f>
        <v>0.98158582913684955</v>
      </c>
      <c r="L56" s="63">
        <f>'(R) Data'!I22</f>
        <v>1.2354545454545454</v>
      </c>
      <c r="M56" s="63">
        <f>'(R) Data'!J22</f>
        <v>0.25</v>
      </c>
      <c r="N56" s="63">
        <f>'(R) Data'!K22</f>
        <v>0</v>
      </c>
      <c r="O56" s="63">
        <f>'(R) Data'!L22</f>
        <v>0</v>
      </c>
      <c r="P56" s="63">
        <f>'(R) Data'!M22</f>
        <v>0</v>
      </c>
      <c r="Q56" s="63">
        <f>'(R) Data'!N22</f>
        <v>0</v>
      </c>
      <c r="R56" s="107">
        <f>SUM(F56:Q56)</f>
        <v>7.5321521335807056</v>
      </c>
      <c r="S56"/>
    </row>
    <row r="57" spans="1:19" x14ac:dyDescent="0.2">
      <c r="B57" t="s">
        <v>30</v>
      </c>
      <c r="E57" t="s">
        <v>10</v>
      </c>
      <c r="F57" s="63">
        <f>'Weather Adj'!D186</f>
        <v>9.0079999999999991</v>
      </c>
      <c r="G57" s="599">
        <f>'Weather Adj'!E186</f>
        <v>9.2899999999999991</v>
      </c>
      <c r="H57" s="599">
        <f>'Weather Adj'!F186</f>
        <v>23.614000000000001</v>
      </c>
      <c r="I57" s="599">
        <f>'Weather Adj'!G186</f>
        <v>52.81</v>
      </c>
      <c r="J57" s="599">
        <f>'Weather Adj'!H186</f>
        <v>67.945999999999998</v>
      </c>
      <c r="K57" s="599">
        <f>'Weather Adj'!I186</f>
        <v>68.12700000000001</v>
      </c>
      <c r="L57" s="599">
        <f>'Weather Adj'!J186</f>
        <v>56.914999999999999</v>
      </c>
      <c r="M57" s="599">
        <f>'Weather Adj'!K186</f>
        <v>7.5629999999999997</v>
      </c>
      <c r="N57" s="599">
        <f>'Weather Adj'!L186</f>
        <v>0</v>
      </c>
      <c r="O57" s="599">
        <f>'Weather Adj'!M186</f>
        <v>0</v>
      </c>
      <c r="P57" s="599">
        <f>'Weather Adj'!N186</f>
        <v>0</v>
      </c>
      <c r="Q57" s="599">
        <f>'Weather Adj'!O186</f>
        <v>0</v>
      </c>
      <c r="R57" s="107">
        <f>SUM(F57:Q57)</f>
        <v>295.27300000000002</v>
      </c>
      <c r="S57"/>
    </row>
    <row r="58" spans="1:19" x14ac:dyDescent="0.2">
      <c r="R58" s="102"/>
      <c r="S58"/>
    </row>
    <row r="59" spans="1:19" x14ac:dyDescent="0.2">
      <c r="B59" s="15" t="s">
        <v>9</v>
      </c>
      <c r="R59" s="102"/>
      <c r="S59"/>
    </row>
    <row r="60" spans="1:19" x14ac:dyDescent="0.2">
      <c r="A60" t="s">
        <v>147</v>
      </c>
      <c r="B60" t="s">
        <v>282</v>
      </c>
      <c r="D60">
        <v>53</v>
      </c>
      <c r="F60" s="23">
        <f t="shared" ref="F60:N60" si="17">F50*F56</f>
        <v>11.160349854227405</v>
      </c>
      <c r="G60" s="23">
        <f t="shared" si="17"/>
        <v>11.555879494655006</v>
      </c>
      <c r="H60" s="23">
        <f t="shared" si="17"/>
        <v>10.625850340136056</v>
      </c>
      <c r="I60" s="23">
        <f t="shared" si="17"/>
        <v>11.192419825072887</v>
      </c>
      <c r="J60" s="23">
        <f t="shared" si="17"/>
        <v>11.18172983479106</v>
      </c>
      <c r="K60" s="23">
        <f t="shared" si="17"/>
        <v>10.797444120505345</v>
      </c>
      <c r="L60" s="23">
        <f t="shared" si="17"/>
        <v>13.59</v>
      </c>
      <c r="M60" s="23">
        <f t="shared" si="17"/>
        <v>2.75</v>
      </c>
      <c r="N60" s="23">
        <f t="shared" si="17"/>
        <v>0</v>
      </c>
      <c r="O60" s="23">
        <f t="shared" ref="O60:Q60" si="18">O50*O56</f>
        <v>0</v>
      </c>
      <c r="P60" s="23">
        <f t="shared" si="18"/>
        <v>0</v>
      </c>
      <c r="Q60" s="23">
        <f t="shared" si="18"/>
        <v>0</v>
      </c>
      <c r="R60" s="100">
        <f>SUM(F60:Q60)</f>
        <v>82.853673469387772</v>
      </c>
      <c r="S60"/>
    </row>
    <row r="61" spans="1:19" x14ac:dyDescent="0.2">
      <c r="A61" t="s">
        <v>147</v>
      </c>
      <c r="B61" t="s">
        <v>3</v>
      </c>
      <c r="D61">
        <v>53</v>
      </c>
      <c r="F61" s="23">
        <f t="shared" ref="F61:N61" si="19">F51*F57</f>
        <v>3.1170382399999998</v>
      </c>
      <c r="G61" s="23">
        <f t="shared" si="19"/>
        <v>3.2146186999999999</v>
      </c>
      <c r="H61" s="23">
        <f t="shared" si="19"/>
        <v>8.1711524200000003</v>
      </c>
      <c r="I61" s="23">
        <f t="shared" si="19"/>
        <v>18.2738443</v>
      </c>
      <c r="J61" s="23">
        <f t="shared" si="19"/>
        <v>23.51135438</v>
      </c>
      <c r="K61" s="23">
        <f t="shared" si="19"/>
        <v>23.573985810000003</v>
      </c>
      <c r="L61" s="23">
        <f t="shared" si="19"/>
        <v>19.694297450000001</v>
      </c>
      <c r="M61" s="23">
        <f t="shared" si="19"/>
        <v>2.6170248899999997</v>
      </c>
      <c r="N61" s="23">
        <f t="shared" si="19"/>
        <v>0</v>
      </c>
      <c r="O61" s="23">
        <f t="shared" ref="O61:Q61" si="20">O51*O57</f>
        <v>0</v>
      </c>
      <c r="P61" s="23">
        <f t="shared" si="20"/>
        <v>0</v>
      </c>
      <c r="Q61" s="23">
        <f t="shared" si="20"/>
        <v>0</v>
      </c>
      <c r="R61" s="100">
        <f>SUM(F61:Q61)</f>
        <v>102.17331618999999</v>
      </c>
      <c r="S61"/>
    </row>
    <row r="62" spans="1:19" x14ac:dyDescent="0.2">
      <c r="A62" t="s">
        <v>130</v>
      </c>
      <c r="B62" t="s">
        <v>28</v>
      </c>
      <c r="D62">
        <v>101</v>
      </c>
      <c r="F62" s="23">
        <f>F52*F57</f>
        <v>43.307671519999992</v>
      </c>
      <c r="G62" s="23">
        <f>G52*G57</f>
        <v>44.663440099999995</v>
      </c>
      <c r="H62" s="23">
        <f t="shared" ref="H62:K62" si="21">H52*H57</f>
        <v>113.52879166000001</v>
      </c>
      <c r="I62" s="23">
        <f t="shared" si="21"/>
        <v>253.89410890000002</v>
      </c>
      <c r="J62" s="34">
        <f t="shared" si="21"/>
        <v>326.66330474</v>
      </c>
      <c r="K62" s="23">
        <f t="shared" si="21"/>
        <v>327.53349663000006</v>
      </c>
      <c r="L62" s="23">
        <f>L52*L57</f>
        <v>273.62967635000001</v>
      </c>
      <c r="M62" s="23">
        <f>M52*M57</f>
        <v>36.360559469999998</v>
      </c>
      <c r="N62" s="23">
        <f>N52*N57</f>
        <v>0</v>
      </c>
      <c r="O62" s="23">
        <f t="shared" ref="O62:Q62" si="22">O52*O57</f>
        <v>0</v>
      </c>
      <c r="P62" s="23">
        <f t="shared" si="22"/>
        <v>0</v>
      </c>
      <c r="Q62" s="23">
        <f t="shared" si="22"/>
        <v>0</v>
      </c>
      <c r="R62" s="100">
        <f>SUM(F62:Q62)</f>
        <v>1419.5810493699998</v>
      </c>
      <c r="S62"/>
    </row>
    <row r="63" spans="1:19" x14ac:dyDescent="0.2">
      <c r="A63" t="s">
        <v>551</v>
      </c>
      <c r="B63" t="s">
        <v>552</v>
      </c>
      <c r="D63">
        <v>149</v>
      </c>
      <c r="F63" s="23">
        <f>F53*F57</f>
        <v>0.10097967999999999</v>
      </c>
      <c r="G63" s="23">
        <f t="shared" ref="G63:Q63" si="23">G53*G57</f>
        <v>0.10414089999999998</v>
      </c>
      <c r="H63" s="23">
        <f t="shared" si="23"/>
        <v>0.26471294000000001</v>
      </c>
      <c r="I63" s="23">
        <f t="shared" si="23"/>
        <v>0.59200010000000003</v>
      </c>
      <c r="J63" s="23">
        <f t="shared" si="23"/>
        <v>0.76167465999999995</v>
      </c>
      <c r="K63" s="23">
        <f t="shared" si="23"/>
        <v>0.76370367000000006</v>
      </c>
      <c r="L63" s="23">
        <f t="shared" si="23"/>
        <v>0.63801714999999992</v>
      </c>
      <c r="M63" s="23">
        <f t="shared" si="23"/>
        <v>8.4781229999999999E-2</v>
      </c>
      <c r="N63" s="23">
        <f t="shared" si="23"/>
        <v>0</v>
      </c>
      <c r="O63" s="23">
        <f t="shared" si="23"/>
        <v>0</v>
      </c>
      <c r="P63" s="23">
        <f t="shared" si="23"/>
        <v>0</v>
      </c>
      <c r="Q63" s="23">
        <f t="shared" si="23"/>
        <v>0</v>
      </c>
      <c r="R63" s="100">
        <f>SUM(F63:Q63)</f>
        <v>3.3100103299999999</v>
      </c>
      <c r="S63"/>
    </row>
    <row r="64" spans="1:19" x14ac:dyDescent="0.2">
      <c r="B64" t="s">
        <v>24</v>
      </c>
      <c r="F64" s="24">
        <f>SUM(F60:F63)</f>
        <v>57.686039294227399</v>
      </c>
      <c r="G64" s="24">
        <f t="shared" ref="G64:R64" si="24">SUM(G60:G63)</f>
        <v>59.538079194654998</v>
      </c>
      <c r="H64" s="24">
        <f t="shared" si="24"/>
        <v>132.59050736013609</v>
      </c>
      <c r="I64" s="24">
        <f t="shared" si="24"/>
        <v>283.95237312507294</v>
      </c>
      <c r="J64" s="24">
        <f t="shared" si="24"/>
        <v>362.11806361479103</v>
      </c>
      <c r="K64" s="24">
        <f t="shared" si="24"/>
        <v>362.66863023050541</v>
      </c>
      <c r="L64" s="24">
        <f t="shared" si="24"/>
        <v>307.55199095</v>
      </c>
      <c r="M64" s="24">
        <f t="shared" si="24"/>
        <v>41.812365589999992</v>
      </c>
      <c r="N64" s="24">
        <f t="shared" si="24"/>
        <v>0</v>
      </c>
      <c r="O64" s="24">
        <f t="shared" si="24"/>
        <v>0</v>
      </c>
      <c r="P64" s="24">
        <f t="shared" si="24"/>
        <v>0</v>
      </c>
      <c r="Q64" s="24">
        <f t="shared" si="24"/>
        <v>0</v>
      </c>
      <c r="R64" s="24">
        <f t="shared" si="24"/>
        <v>1607.9180493593876</v>
      </c>
      <c r="S64"/>
    </row>
    <row r="65" spans="1:19" x14ac:dyDescent="0.2"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/>
    </row>
    <row r="66" spans="1:19" x14ac:dyDescent="0.2">
      <c r="A66" t="s">
        <v>305</v>
      </c>
      <c r="B66" t="s">
        <v>304</v>
      </c>
      <c r="F66" s="40">
        <f>F52*F57</f>
        <v>43.307671519999992</v>
      </c>
      <c r="G66" s="40">
        <f t="shared" ref="G66:N66" si="25">G52*G57</f>
        <v>44.663440099999995</v>
      </c>
      <c r="H66" s="40">
        <f t="shared" si="25"/>
        <v>113.52879166000001</v>
      </c>
      <c r="I66" s="40">
        <f t="shared" si="25"/>
        <v>253.89410890000002</v>
      </c>
      <c r="J66" s="40">
        <f t="shared" si="25"/>
        <v>326.66330474</v>
      </c>
      <c r="K66" s="40">
        <f t="shared" si="25"/>
        <v>327.53349663000006</v>
      </c>
      <c r="L66" s="40">
        <f t="shared" si="25"/>
        <v>273.62967635000001</v>
      </c>
      <c r="M66" s="40">
        <f t="shared" si="25"/>
        <v>36.360559469999998</v>
      </c>
      <c r="N66" s="40">
        <f t="shared" si="25"/>
        <v>0</v>
      </c>
      <c r="O66" s="40">
        <f t="shared" ref="O66:Q66" si="26">O52*O57</f>
        <v>0</v>
      </c>
      <c r="P66" s="40">
        <f t="shared" si="26"/>
        <v>0</v>
      </c>
      <c r="Q66" s="40">
        <f t="shared" si="26"/>
        <v>0</v>
      </c>
      <c r="R66" s="40">
        <f>SUM(F66:Q66)</f>
        <v>1419.5810493699998</v>
      </c>
      <c r="S66"/>
    </row>
    <row r="67" spans="1:19" x14ac:dyDescent="0.2"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100"/>
      <c r="S67"/>
    </row>
    <row r="68" spans="1:19" x14ac:dyDescent="0.2">
      <c r="B68" s="15" t="s">
        <v>91</v>
      </c>
      <c r="C68" s="15"/>
      <c r="S68"/>
    </row>
    <row r="69" spans="1:19" x14ac:dyDescent="0.2">
      <c r="B69" s="15" t="s">
        <v>7</v>
      </c>
      <c r="C69" s="15"/>
      <c r="S69"/>
    </row>
    <row r="70" spans="1:19" x14ac:dyDescent="0.2">
      <c r="B70" t="s">
        <v>282</v>
      </c>
      <c r="D70">
        <v>31</v>
      </c>
      <c r="E70" t="s">
        <v>5</v>
      </c>
      <c r="F70" s="159">
        <f>'Rate Design C&amp;I'!$H$12</f>
        <v>32.159999999999997</v>
      </c>
      <c r="G70" s="159">
        <f>'Rate Design C&amp;I'!$H$12</f>
        <v>32.159999999999997</v>
      </c>
      <c r="H70" s="159">
        <f>'Rate Design C&amp;I'!$H$12</f>
        <v>32.159999999999997</v>
      </c>
      <c r="I70" s="159">
        <f>'Rate Design C&amp;I'!$H$12</f>
        <v>32.159999999999997</v>
      </c>
      <c r="J70" s="159">
        <f>'Rate Design C&amp;I'!$H$12</f>
        <v>32.159999999999997</v>
      </c>
      <c r="K70" s="159">
        <f>'Rate Design C&amp;I'!$H$12</f>
        <v>32.159999999999997</v>
      </c>
      <c r="L70" s="159">
        <f>'Rate Design C&amp;I'!$H$12</f>
        <v>32.159999999999997</v>
      </c>
      <c r="M70" s="159">
        <f>'Rate Design C&amp;I'!$H$12</f>
        <v>32.159999999999997</v>
      </c>
      <c r="N70" s="159">
        <f>'Rate Design C&amp;I'!$H$12</f>
        <v>32.159999999999997</v>
      </c>
      <c r="O70" s="159">
        <f>'Rate Design C&amp;I'!$H$12</f>
        <v>32.159999999999997</v>
      </c>
      <c r="P70" s="159">
        <f>'Rate Design C&amp;I'!$H$12</f>
        <v>32.159999999999997</v>
      </c>
      <c r="Q70" s="159">
        <f>'Rate Design C&amp;I'!$H$12</f>
        <v>32.159999999999997</v>
      </c>
      <c r="R70" s="26"/>
      <c r="S70"/>
    </row>
    <row r="71" spans="1:19" x14ac:dyDescent="0.2">
      <c r="B71" t="s">
        <v>3</v>
      </c>
      <c r="D71">
        <v>31</v>
      </c>
      <c r="E71" t="s">
        <v>6</v>
      </c>
      <c r="F71" s="160">
        <f>'Rate Design C&amp;I'!$H$13</f>
        <v>0.29475000000000001</v>
      </c>
      <c r="G71" s="160">
        <f>'Rate Design C&amp;I'!$H$13</f>
        <v>0.29475000000000001</v>
      </c>
      <c r="H71" s="160">
        <f>'Rate Design C&amp;I'!$H$13</f>
        <v>0.29475000000000001</v>
      </c>
      <c r="I71" s="160">
        <f>'Rate Design C&amp;I'!$H$13</f>
        <v>0.29475000000000001</v>
      </c>
      <c r="J71" s="160">
        <f>'Rate Design C&amp;I'!$H$13</f>
        <v>0.29475000000000001</v>
      </c>
      <c r="K71" s="160">
        <f>'Rate Design C&amp;I'!$H$13</f>
        <v>0.29475000000000001</v>
      </c>
      <c r="L71" s="160">
        <f>'Rate Design C&amp;I'!$H$13</f>
        <v>0.29475000000000001</v>
      </c>
      <c r="M71" s="160">
        <f>'Rate Design C&amp;I'!$H$13</f>
        <v>0.29475000000000001</v>
      </c>
      <c r="N71" s="160">
        <f>'Rate Design C&amp;I'!$H$13</f>
        <v>0.29475000000000001</v>
      </c>
      <c r="O71" s="160">
        <f>'Rate Design C&amp;I'!$H$13</f>
        <v>0.29475000000000001</v>
      </c>
      <c r="P71" s="160">
        <f>'Rate Design C&amp;I'!$H$13</f>
        <v>0.29475000000000001</v>
      </c>
      <c r="Q71" s="160">
        <f>'Rate Design C&amp;I'!$H$13</f>
        <v>0.29475000000000001</v>
      </c>
      <c r="R71" s="20"/>
      <c r="S71"/>
    </row>
    <row r="72" spans="1:19" x14ac:dyDescent="0.2">
      <c r="B72" t="s">
        <v>441</v>
      </c>
      <c r="D72">
        <v>31</v>
      </c>
      <c r="E72" t="s">
        <v>6</v>
      </c>
      <c r="F72" s="160">
        <f>'Rate Design C&amp;I'!$H$14</f>
        <v>8.8199999999999997E-3</v>
      </c>
      <c r="G72" s="160">
        <f>'Rate Design C&amp;I'!$H$14</f>
        <v>8.8199999999999997E-3</v>
      </c>
      <c r="H72" s="160">
        <f>'Rate Design C&amp;I'!$H$14</f>
        <v>8.8199999999999997E-3</v>
      </c>
      <c r="I72" s="160">
        <f>'Rate Design C&amp;I'!$H$14</f>
        <v>8.8199999999999997E-3</v>
      </c>
      <c r="J72" s="160">
        <f>'Rate Design C&amp;I'!$H$14</f>
        <v>8.8199999999999997E-3</v>
      </c>
      <c r="K72" s="160">
        <f>'Rate Design C&amp;I'!$H$14</f>
        <v>8.8199999999999997E-3</v>
      </c>
      <c r="L72" s="160">
        <f>'Rate Design C&amp;I'!$H$14</f>
        <v>8.8199999999999997E-3</v>
      </c>
      <c r="M72" s="160">
        <f>'Rate Design C&amp;I'!$H$14</f>
        <v>8.8199999999999997E-3</v>
      </c>
      <c r="N72" s="160">
        <f>'Rate Design C&amp;I'!$H$14</f>
        <v>8.8199999999999997E-3</v>
      </c>
      <c r="O72" s="160">
        <f>'Rate Design C&amp;I'!$H$14</f>
        <v>8.8199999999999997E-3</v>
      </c>
      <c r="P72" s="160">
        <f>'Rate Design C&amp;I'!$H$14</f>
        <v>8.8199999999999997E-3</v>
      </c>
      <c r="Q72" s="160">
        <f>'Rate Design C&amp;I'!$H$14</f>
        <v>8.8199999999999997E-3</v>
      </c>
      <c r="R72" s="20"/>
      <c r="S72"/>
    </row>
    <row r="73" spans="1:19" x14ac:dyDescent="0.2">
      <c r="A73" s="30"/>
      <c r="B73" t="s">
        <v>307</v>
      </c>
      <c r="D73">
        <v>101</v>
      </c>
      <c r="E73" t="s">
        <v>6</v>
      </c>
      <c r="F73" s="182">
        <v>0.31873000000000001</v>
      </c>
      <c r="G73" s="182">
        <v>0.31873000000000001</v>
      </c>
      <c r="H73" s="182">
        <v>0.31873000000000001</v>
      </c>
      <c r="I73" s="182">
        <v>0.31873000000000001</v>
      </c>
      <c r="J73" s="182">
        <v>0.31873000000000001</v>
      </c>
      <c r="K73" s="182">
        <v>0.31873000000000001</v>
      </c>
      <c r="L73" s="182">
        <v>0.31873000000000001</v>
      </c>
      <c r="M73" s="182">
        <v>0.31873000000000001</v>
      </c>
      <c r="N73" s="182">
        <v>0.31873000000000001</v>
      </c>
      <c r="O73" s="182">
        <v>0.31873000000000001</v>
      </c>
      <c r="P73" s="182">
        <v>0.31873000000000001</v>
      </c>
      <c r="Q73" s="182">
        <v>0.31873000000000001</v>
      </c>
      <c r="R73" s="20"/>
      <c r="S73"/>
    </row>
    <row r="74" spans="1:19" x14ac:dyDescent="0.2">
      <c r="A74" s="30"/>
      <c r="B74" t="s">
        <v>304</v>
      </c>
      <c r="F74" s="182">
        <v>0.30424000000000001</v>
      </c>
      <c r="G74" s="182">
        <v>0.30424000000000001</v>
      </c>
      <c r="H74" s="182">
        <v>0.30424000000000001</v>
      </c>
      <c r="I74" s="182">
        <v>0.30424000000000001</v>
      </c>
      <c r="J74" s="182">
        <v>0.30424000000000001</v>
      </c>
      <c r="K74" s="182">
        <v>0.30424000000000001</v>
      </c>
      <c r="L74" s="182">
        <v>0.30424000000000001</v>
      </c>
      <c r="M74" s="182">
        <v>0.30424000000000001</v>
      </c>
      <c r="N74" s="182">
        <v>0.30424000000000001</v>
      </c>
      <c r="O74" s="182">
        <v>0.30424000000000001</v>
      </c>
      <c r="P74" s="182">
        <v>0.30424000000000001</v>
      </c>
      <c r="Q74" s="182">
        <v>0.30424000000000001</v>
      </c>
      <c r="R74" s="20"/>
      <c r="S74"/>
    </row>
    <row r="75" spans="1:19" x14ac:dyDescent="0.2">
      <c r="A75" s="30"/>
      <c r="B75" t="s">
        <v>550</v>
      </c>
      <c r="D75">
        <v>149</v>
      </c>
      <c r="E75" t="s">
        <v>6</v>
      </c>
      <c r="F75" s="182">
        <v>1.0880000000000001E-2</v>
      </c>
      <c r="G75" s="182">
        <v>1.0880000000000001E-2</v>
      </c>
      <c r="H75" s="182">
        <v>1.0880000000000001E-2</v>
      </c>
      <c r="I75" s="182">
        <v>1.0880000000000001E-2</v>
      </c>
      <c r="J75" s="182">
        <v>1.0880000000000001E-2</v>
      </c>
      <c r="K75" s="182">
        <v>1.0880000000000001E-2</v>
      </c>
      <c r="L75" s="182">
        <v>1.0880000000000001E-2</v>
      </c>
      <c r="M75" s="182">
        <v>1.0880000000000001E-2</v>
      </c>
      <c r="N75" s="182">
        <v>1.0880000000000001E-2</v>
      </c>
      <c r="O75" s="182">
        <v>1.0880000000000001E-2</v>
      </c>
      <c r="P75" s="182">
        <v>1.0880000000000001E-2</v>
      </c>
      <c r="Q75" s="182">
        <v>1.0880000000000001E-2</v>
      </c>
      <c r="R75" s="20"/>
      <c r="S75"/>
    </row>
    <row r="76" spans="1:19" s="30" customFormat="1" x14ac:dyDescent="0.2"/>
    <row r="77" spans="1:19" s="30" customFormat="1" x14ac:dyDescent="0.2">
      <c r="B77" s="29" t="s">
        <v>8</v>
      </c>
    </row>
    <row r="78" spans="1:19" s="30" customFormat="1" x14ac:dyDescent="0.2">
      <c r="B78" s="30" t="s">
        <v>22</v>
      </c>
      <c r="E78" s="30" t="s">
        <v>22</v>
      </c>
      <c r="F78" s="76">
        <f>'(R) Data'!C14</f>
        <v>55936.156343956711</v>
      </c>
      <c r="G78" s="76">
        <f>'(R) Data'!D14</f>
        <v>56724.969933854481</v>
      </c>
      <c r="H78" s="76">
        <f>'(R) Data'!E14</f>
        <v>53454.891160553219</v>
      </c>
      <c r="I78" s="76">
        <f>'(R) Data'!F14</f>
        <v>55802.520745640417</v>
      </c>
      <c r="J78" s="76">
        <f>'(R) Data'!G14</f>
        <v>53601.754359591105</v>
      </c>
      <c r="K78" s="76">
        <f>'(R) Data'!H14</f>
        <v>55562.214992229521</v>
      </c>
      <c r="L78" s="76">
        <f>'(R) Data'!I14</f>
        <v>55587.03296056504</v>
      </c>
      <c r="M78" s="76">
        <f>'(R) Data'!J14</f>
        <v>50550.286933490293</v>
      </c>
      <c r="N78" s="76">
        <f>'(R) Data'!K14</f>
        <v>57714.630076515597</v>
      </c>
      <c r="O78" s="76">
        <f>'(R) Data'!L14</f>
        <v>56418.82960565039</v>
      </c>
      <c r="P78" s="76">
        <f>'(R) Data'!M14</f>
        <v>56698.709888059711</v>
      </c>
      <c r="Q78" s="76">
        <f>'(R) Data'!N14</f>
        <v>54030.333644278617</v>
      </c>
      <c r="R78" s="107">
        <f>SUM(F78:Q78)</f>
        <v>662082.33064438507</v>
      </c>
    </row>
    <row r="79" spans="1:19" x14ac:dyDescent="0.2">
      <c r="B79" t="s">
        <v>30</v>
      </c>
      <c r="E79" t="s">
        <v>10</v>
      </c>
      <c r="F79" s="63">
        <f>'Weather Adj'!D171</f>
        <v>7628079.7920000004</v>
      </c>
      <c r="G79" s="599">
        <f>'Weather Adj'!E171</f>
        <v>7453085.6330000004</v>
      </c>
      <c r="H79" s="599">
        <f>'Weather Adj'!F171</f>
        <v>9048012.2430000007</v>
      </c>
      <c r="I79" s="599">
        <f>'Weather Adj'!G171</f>
        <v>15932676.433</v>
      </c>
      <c r="J79" s="599">
        <f>'Weather Adj'!H171</f>
        <v>23966771.149999999</v>
      </c>
      <c r="K79" s="599">
        <f>'Weather Adj'!I171</f>
        <v>29413050.791000001</v>
      </c>
      <c r="L79" s="599">
        <f>'Weather Adj'!J171</f>
        <v>31601920.164999999</v>
      </c>
      <c r="M79" s="599">
        <f>'Weather Adj'!K171</f>
        <v>25012454.664999999</v>
      </c>
      <c r="N79" s="599">
        <f>'Weather Adj'!L171</f>
        <v>25668437.872000001</v>
      </c>
      <c r="O79" s="599">
        <f>'Weather Adj'!M171</f>
        <v>18094159.793000001</v>
      </c>
      <c r="P79" s="599">
        <f>'Weather Adj'!N171</f>
        <v>12124126.560000001</v>
      </c>
      <c r="Q79" s="599">
        <f>'Weather Adj'!O171</f>
        <v>8894243.5490000006</v>
      </c>
      <c r="R79" s="107">
        <f>SUM(F79:Q79)</f>
        <v>214837018.646</v>
      </c>
      <c r="S79"/>
    </row>
    <row r="80" spans="1:19" x14ac:dyDescent="0.2">
      <c r="R80" s="102"/>
      <c r="S80"/>
    </row>
    <row r="81" spans="1:19" x14ac:dyDescent="0.2">
      <c r="B81" s="15" t="s">
        <v>9</v>
      </c>
      <c r="R81" s="102"/>
      <c r="S81"/>
    </row>
    <row r="82" spans="1:19" x14ac:dyDescent="0.2">
      <c r="A82" t="s">
        <v>147</v>
      </c>
      <c r="B82" t="s">
        <v>282</v>
      </c>
      <c r="D82">
        <v>31</v>
      </c>
      <c r="F82" s="23">
        <f t="shared" ref="F82:N82" si="27">F70*F78</f>
        <v>1798906.7880216476</v>
      </c>
      <c r="G82" s="23">
        <f t="shared" si="27"/>
        <v>1824275.0330727599</v>
      </c>
      <c r="H82" s="23">
        <f t="shared" si="27"/>
        <v>1719109.2997233914</v>
      </c>
      <c r="I82" s="23">
        <f t="shared" si="27"/>
        <v>1794609.0671797956</v>
      </c>
      <c r="J82" s="23">
        <f t="shared" si="27"/>
        <v>1723832.4202044497</v>
      </c>
      <c r="K82" s="23">
        <f t="shared" si="27"/>
        <v>1786880.8341501013</v>
      </c>
      <c r="L82" s="23">
        <f t="shared" si="27"/>
        <v>1787678.9800117714</v>
      </c>
      <c r="M82" s="23">
        <f t="shared" si="27"/>
        <v>1625697.2277810476</v>
      </c>
      <c r="N82" s="23">
        <f t="shared" si="27"/>
        <v>1856102.5032607415</v>
      </c>
      <c r="O82" s="23">
        <f t="shared" ref="O82:Q82" si="28">O70*O78</f>
        <v>1814429.5601177164</v>
      </c>
      <c r="P82" s="23">
        <f t="shared" si="28"/>
        <v>1823430.51</v>
      </c>
      <c r="Q82" s="23">
        <f t="shared" si="28"/>
        <v>1737615.53</v>
      </c>
      <c r="R82" s="100">
        <f>SUM(F82:Q82)</f>
        <v>21292567.753523428</v>
      </c>
      <c r="S82"/>
    </row>
    <row r="83" spans="1:19" x14ac:dyDescent="0.2">
      <c r="A83" t="s">
        <v>147</v>
      </c>
      <c r="B83" t="s">
        <v>3</v>
      </c>
      <c r="D83">
        <v>31</v>
      </c>
      <c r="F83" s="23">
        <f>F71*F79</f>
        <v>2248376.5186920003</v>
      </c>
      <c r="G83" s="23">
        <f t="shared" ref="G83:N83" si="29">G71*G79</f>
        <v>2196796.9903267501</v>
      </c>
      <c r="H83" s="23">
        <f t="shared" si="29"/>
        <v>2666901.6086242502</v>
      </c>
      <c r="I83" s="23">
        <f t="shared" si="29"/>
        <v>4696156.3786267499</v>
      </c>
      <c r="J83" s="23">
        <f t="shared" si="29"/>
        <v>7064205.7964624995</v>
      </c>
      <c r="K83" s="23">
        <f t="shared" si="29"/>
        <v>8669496.7206472512</v>
      </c>
      <c r="L83" s="23">
        <f t="shared" si="29"/>
        <v>9314665.9686337505</v>
      </c>
      <c r="M83" s="23">
        <f t="shared" si="29"/>
        <v>7372421.01250875</v>
      </c>
      <c r="N83" s="23">
        <f t="shared" si="29"/>
        <v>7565772.0627720011</v>
      </c>
      <c r="O83" s="23">
        <f t="shared" ref="O83:Q83" si="30">O71*O79</f>
        <v>5333253.5989867505</v>
      </c>
      <c r="P83" s="23">
        <f t="shared" si="30"/>
        <v>3573586.3035600004</v>
      </c>
      <c r="Q83" s="23">
        <f t="shared" si="30"/>
        <v>2621578.2860677503</v>
      </c>
      <c r="R83" s="100">
        <f>SUM(F83:Q83)</f>
        <v>63323211.245908499</v>
      </c>
      <c r="S83"/>
    </row>
    <row r="84" spans="1:19" x14ac:dyDescent="0.2">
      <c r="A84" t="s">
        <v>147</v>
      </c>
      <c r="B84" t="s">
        <v>441</v>
      </c>
      <c r="D84">
        <v>31</v>
      </c>
      <c r="F84" s="23">
        <f>F72*F79</f>
        <v>67279.663765439996</v>
      </c>
      <c r="G84" s="23">
        <f t="shared" ref="G84:Q84" si="31">G72*G79</f>
        <v>65736.215283059995</v>
      </c>
      <c r="H84" s="23">
        <f t="shared" si="31"/>
        <v>79803.467983260009</v>
      </c>
      <c r="I84" s="23">
        <f t="shared" si="31"/>
        <v>140526.20613906</v>
      </c>
      <c r="J84" s="23">
        <f t="shared" si="31"/>
        <v>211386.92154299997</v>
      </c>
      <c r="K84" s="23">
        <f t="shared" si="31"/>
        <v>259423.10797662</v>
      </c>
      <c r="L84" s="23">
        <f t="shared" si="31"/>
        <v>278728.93585529999</v>
      </c>
      <c r="M84" s="23">
        <f t="shared" si="31"/>
        <v>220609.85014529998</v>
      </c>
      <c r="N84" s="23">
        <f t="shared" si="31"/>
        <v>226395.62203103999</v>
      </c>
      <c r="O84" s="23">
        <f t="shared" si="31"/>
        <v>159590.48937426001</v>
      </c>
      <c r="P84" s="23">
        <f t="shared" si="31"/>
        <v>106934.7962592</v>
      </c>
      <c r="Q84" s="23">
        <f t="shared" si="31"/>
        <v>78447.228102180001</v>
      </c>
      <c r="R84" s="100">
        <f>SUM(F84:Q84)</f>
        <v>1894862.5044577199</v>
      </c>
      <c r="S84"/>
    </row>
    <row r="85" spans="1:19" x14ac:dyDescent="0.2">
      <c r="A85" s="30" t="s">
        <v>130</v>
      </c>
      <c r="B85" t="s">
        <v>306</v>
      </c>
      <c r="D85">
        <v>101</v>
      </c>
      <c r="F85" s="23">
        <f t="shared" ref="F85:N85" si="32">F73*F79</f>
        <v>2431297.87210416</v>
      </c>
      <c r="G85" s="23">
        <f t="shared" si="32"/>
        <v>2375521.9838060904</v>
      </c>
      <c r="H85" s="23">
        <f t="shared" si="32"/>
        <v>2883872.9422113905</v>
      </c>
      <c r="I85" s="23">
        <f t="shared" si="32"/>
        <v>5078221.9594900906</v>
      </c>
      <c r="J85" s="34">
        <f t="shared" si="32"/>
        <v>7638928.9686394995</v>
      </c>
      <c r="K85" s="23">
        <f t="shared" si="32"/>
        <v>9374821.6786154304</v>
      </c>
      <c r="L85" s="23">
        <f t="shared" si="32"/>
        <v>10072480.01419045</v>
      </c>
      <c r="M85" s="23">
        <f t="shared" si="32"/>
        <v>7972219.6753754504</v>
      </c>
      <c r="N85" s="23">
        <f t="shared" si="32"/>
        <v>8181301.2029425604</v>
      </c>
      <c r="O85" s="23">
        <f t="shared" ref="O85:Q85" si="33">O73*O79</f>
        <v>5767151.5508228904</v>
      </c>
      <c r="P85" s="23">
        <f t="shared" si="33"/>
        <v>3864322.8584688003</v>
      </c>
      <c r="Q85" s="23">
        <f t="shared" si="33"/>
        <v>2834862.2463727705</v>
      </c>
      <c r="R85" s="100">
        <f>SUM(F85:Q85)</f>
        <v>68475002.953039587</v>
      </c>
      <c r="S85"/>
    </row>
    <row r="86" spans="1:19" x14ac:dyDescent="0.2">
      <c r="A86" s="30" t="s">
        <v>551</v>
      </c>
      <c r="B86" t="s">
        <v>552</v>
      </c>
      <c r="D86">
        <v>149</v>
      </c>
      <c r="F86" s="23">
        <f>F75*F79</f>
        <v>82993.508136960008</v>
      </c>
      <c r="G86" s="23">
        <f>G75*G79</f>
        <v>81089.571687040007</v>
      </c>
      <c r="H86" s="23">
        <f t="shared" ref="H86:Q86" si="34">H75*H79</f>
        <v>98442.373203840019</v>
      </c>
      <c r="I86" s="23">
        <f t="shared" si="34"/>
        <v>173347.51959104001</v>
      </c>
      <c r="J86" s="23">
        <f t="shared" si="34"/>
        <v>260758.47011200001</v>
      </c>
      <c r="K86" s="23">
        <f t="shared" si="34"/>
        <v>320013.99260608002</v>
      </c>
      <c r="L86" s="23">
        <f t="shared" si="34"/>
        <v>343828.89139520004</v>
      </c>
      <c r="M86" s="23">
        <f t="shared" si="34"/>
        <v>272135.50675519998</v>
      </c>
      <c r="N86" s="23">
        <f t="shared" si="34"/>
        <v>279272.60404736002</v>
      </c>
      <c r="O86" s="23">
        <f t="shared" si="34"/>
        <v>196864.45854784004</v>
      </c>
      <c r="P86" s="23">
        <f t="shared" si="34"/>
        <v>131910.49697280003</v>
      </c>
      <c r="Q86" s="23">
        <f t="shared" si="34"/>
        <v>96769.369813120007</v>
      </c>
      <c r="R86" s="100">
        <f>SUM(F86:Q86)</f>
        <v>2337426.7628684803</v>
      </c>
      <c r="S86"/>
    </row>
    <row r="87" spans="1:19" x14ac:dyDescent="0.2">
      <c r="B87" t="s">
        <v>24</v>
      </c>
      <c r="F87" s="24">
        <f>SUM(F82:F86)</f>
        <v>6628854.3507202081</v>
      </c>
      <c r="G87" s="24">
        <f t="shared" ref="G87:Q87" si="35">SUM(G82:G86)</f>
        <v>6543419.7941757003</v>
      </c>
      <c r="H87" s="24">
        <f t="shared" si="35"/>
        <v>7448129.6917461324</v>
      </c>
      <c r="I87" s="24">
        <f t="shared" si="35"/>
        <v>11882861.131026737</v>
      </c>
      <c r="J87" s="24">
        <f t="shared" si="35"/>
        <v>16899112.57696145</v>
      </c>
      <c r="K87" s="24">
        <f t="shared" si="35"/>
        <v>20410636.333995484</v>
      </c>
      <c r="L87" s="24">
        <f t="shared" si="35"/>
        <v>21797382.790086471</v>
      </c>
      <c r="M87" s="24">
        <f t="shared" si="35"/>
        <v>17463083.272565749</v>
      </c>
      <c r="N87" s="24">
        <f t="shared" si="35"/>
        <v>18108843.995053705</v>
      </c>
      <c r="O87" s="24">
        <f t="shared" si="35"/>
        <v>13271289.657849457</v>
      </c>
      <c r="P87" s="24">
        <f t="shared" si="35"/>
        <v>9500184.9652608</v>
      </c>
      <c r="Q87" s="24">
        <f t="shared" si="35"/>
        <v>7369272.6603558213</v>
      </c>
      <c r="R87" s="24">
        <f>SUM(R82:R86)</f>
        <v>157323071.21979773</v>
      </c>
      <c r="S87"/>
    </row>
    <row r="88" spans="1:19" x14ac:dyDescent="0.2"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100"/>
      <c r="S88"/>
    </row>
    <row r="89" spans="1:19" x14ac:dyDescent="0.2">
      <c r="A89" t="s">
        <v>305</v>
      </c>
      <c r="B89" t="s">
        <v>304</v>
      </c>
      <c r="F89" s="23">
        <f t="shared" ref="F89:N89" si="36">F79*F74</f>
        <v>2320766.9959180802</v>
      </c>
      <c r="G89" s="23">
        <f t="shared" si="36"/>
        <v>2267526.7729839203</v>
      </c>
      <c r="H89" s="23">
        <f t="shared" si="36"/>
        <v>2752767.2448103204</v>
      </c>
      <c r="I89" s="23">
        <f t="shared" si="36"/>
        <v>4847357.4779759198</v>
      </c>
      <c r="J89" s="23">
        <f t="shared" si="36"/>
        <v>7291650.4546759995</v>
      </c>
      <c r="K89" s="23">
        <f t="shared" si="36"/>
        <v>8948626.5726538412</v>
      </c>
      <c r="L89" s="23">
        <f t="shared" si="36"/>
        <v>9614568.1909995992</v>
      </c>
      <c r="M89" s="23">
        <f t="shared" si="36"/>
        <v>7609789.2072796002</v>
      </c>
      <c r="N89" s="23">
        <f t="shared" si="36"/>
        <v>7809365.5381772807</v>
      </c>
      <c r="O89" s="23">
        <f t="shared" ref="O89:Q89" si="37">O79*O74</f>
        <v>5504967.1754223211</v>
      </c>
      <c r="P89" s="23">
        <f t="shared" si="37"/>
        <v>3688644.2646144005</v>
      </c>
      <c r="Q89" s="23">
        <f t="shared" si="37"/>
        <v>2705984.6573477602</v>
      </c>
      <c r="R89" s="100">
        <f>SUM(F89:Q89)</f>
        <v>65362014.552859046</v>
      </c>
      <c r="S89"/>
    </row>
    <row r="90" spans="1:19" x14ac:dyDescent="0.2"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100"/>
      <c r="S90"/>
    </row>
    <row r="91" spans="1:19" x14ac:dyDescent="0.2">
      <c r="B91" s="15" t="s">
        <v>95</v>
      </c>
      <c r="C91" s="15"/>
      <c r="S91"/>
    </row>
    <row r="92" spans="1:19" x14ac:dyDescent="0.2">
      <c r="B92" s="15" t="s">
        <v>7</v>
      </c>
      <c r="C92" s="15"/>
      <c r="S92"/>
    </row>
    <row r="93" spans="1:19" x14ac:dyDescent="0.2">
      <c r="B93" t="s">
        <v>282</v>
      </c>
      <c r="D93">
        <v>31</v>
      </c>
      <c r="E93" t="s">
        <v>5</v>
      </c>
      <c r="F93" s="17">
        <f t="shared" ref="F93:Q93" si="38">F70</f>
        <v>32.159999999999997</v>
      </c>
      <c r="G93" s="17">
        <f t="shared" si="38"/>
        <v>32.159999999999997</v>
      </c>
      <c r="H93" s="17">
        <f t="shared" si="38"/>
        <v>32.159999999999997</v>
      </c>
      <c r="I93" s="17">
        <f t="shared" si="38"/>
        <v>32.159999999999997</v>
      </c>
      <c r="J93" s="17">
        <f t="shared" si="38"/>
        <v>32.159999999999997</v>
      </c>
      <c r="K93" s="17">
        <f t="shared" si="38"/>
        <v>32.159999999999997</v>
      </c>
      <c r="L93" s="17">
        <f t="shared" si="38"/>
        <v>32.159999999999997</v>
      </c>
      <c r="M93" s="17">
        <f t="shared" si="38"/>
        <v>32.159999999999997</v>
      </c>
      <c r="N93" s="17">
        <f t="shared" si="38"/>
        <v>32.159999999999997</v>
      </c>
      <c r="O93" s="17">
        <f t="shared" si="38"/>
        <v>32.159999999999997</v>
      </c>
      <c r="P93" s="17">
        <f t="shared" si="38"/>
        <v>32.159999999999997</v>
      </c>
      <c r="Q93" s="17">
        <f t="shared" si="38"/>
        <v>32.159999999999997</v>
      </c>
      <c r="R93" s="26"/>
      <c r="S93"/>
    </row>
    <row r="94" spans="1:19" x14ac:dyDescent="0.2">
      <c r="B94" t="s">
        <v>3</v>
      </c>
      <c r="D94">
        <v>31</v>
      </c>
      <c r="E94" t="s">
        <v>6</v>
      </c>
      <c r="F94" s="18">
        <f t="shared" ref="F94:Q94" si="39">F71</f>
        <v>0.29475000000000001</v>
      </c>
      <c r="G94" s="18">
        <f t="shared" si="39"/>
        <v>0.29475000000000001</v>
      </c>
      <c r="H94" s="18">
        <f t="shared" si="39"/>
        <v>0.29475000000000001</v>
      </c>
      <c r="I94" s="18">
        <f t="shared" si="39"/>
        <v>0.29475000000000001</v>
      </c>
      <c r="J94" s="18">
        <f t="shared" si="39"/>
        <v>0.29475000000000001</v>
      </c>
      <c r="K94" s="18">
        <f t="shared" si="39"/>
        <v>0.29475000000000001</v>
      </c>
      <c r="L94" s="18">
        <f t="shared" si="39"/>
        <v>0.29475000000000001</v>
      </c>
      <c r="M94" s="18">
        <f t="shared" si="39"/>
        <v>0.29475000000000001</v>
      </c>
      <c r="N94" s="18">
        <f t="shared" si="39"/>
        <v>0.29475000000000001</v>
      </c>
      <c r="O94" s="18">
        <f t="shared" si="39"/>
        <v>0.29475000000000001</v>
      </c>
      <c r="P94" s="18">
        <f t="shared" si="39"/>
        <v>0.29475000000000001</v>
      </c>
      <c r="Q94" s="18">
        <f t="shared" si="39"/>
        <v>0.29475000000000001</v>
      </c>
      <c r="R94" s="20"/>
      <c r="S94"/>
    </row>
    <row r="95" spans="1:19" x14ac:dyDescent="0.2">
      <c r="B95" t="s">
        <v>441</v>
      </c>
      <c r="D95">
        <v>31</v>
      </c>
      <c r="E95" t="s">
        <v>6</v>
      </c>
      <c r="F95" s="18">
        <f t="shared" ref="F95:Q95" si="40">F72</f>
        <v>8.8199999999999997E-3</v>
      </c>
      <c r="G95" s="18">
        <f t="shared" si="40"/>
        <v>8.8199999999999997E-3</v>
      </c>
      <c r="H95" s="18">
        <f t="shared" si="40"/>
        <v>8.8199999999999997E-3</v>
      </c>
      <c r="I95" s="18">
        <f t="shared" si="40"/>
        <v>8.8199999999999997E-3</v>
      </c>
      <c r="J95" s="18">
        <f t="shared" si="40"/>
        <v>8.8199999999999997E-3</v>
      </c>
      <c r="K95" s="18">
        <f t="shared" si="40"/>
        <v>8.8199999999999997E-3</v>
      </c>
      <c r="L95" s="18">
        <f t="shared" si="40"/>
        <v>8.8199999999999997E-3</v>
      </c>
      <c r="M95" s="18">
        <f t="shared" si="40"/>
        <v>8.8199999999999997E-3</v>
      </c>
      <c r="N95" s="18">
        <f t="shared" si="40"/>
        <v>8.8199999999999997E-3</v>
      </c>
      <c r="O95" s="18">
        <f t="shared" si="40"/>
        <v>8.8199999999999997E-3</v>
      </c>
      <c r="P95" s="18">
        <f t="shared" si="40"/>
        <v>8.8199999999999997E-3</v>
      </c>
      <c r="Q95" s="18">
        <f t="shared" si="40"/>
        <v>8.8199999999999997E-3</v>
      </c>
      <c r="R95" s="20"/>
      <c r="S95"/>
    </row>
    <row r="96" spans="1:19" x14ac:dyDescent="0.2">
      <c r="B96" t="s">
        <v>303</v>
      </c>
      <c r="D96">
        <v>101</v>
      </c>
      <c r="E96" t="s">
        <v>6</v>
      </c>
      <c r="F96" s="98">
        <f t="shared" ref="F96:Q96" si="41">F73</f>
        <v>0.31873000000000001</v>
      </c>
      <c r="G96" s="98">
        <f t="shared" si="41"/>
        <v>0.31873000000000001</v>
      </c>
      <c r="H96" s="98">
        <f t="shared" si="41"/>
        <v>0.31873000000000001</v>
      </c>
      <c r="I96" s="98">
        <f t="shared" si="41"/>
        <v>0.31873000000000001</v>
      </c>
      <c r="J96" s="98">
        <f t="shared" si="41"/>
        <v>0.31873000000000001</v>
      </c>
      <c r="K96" s="98">
        <f t="shared" si="41"/>
        <v>0.31873000000000001</v>
      </c>
      <c r="L96" s="98">
        <f t="shared" si="41"/>
        <v>0.31873000000000001</v>
      </c>
      <c r="M96" s="98">
        <f t="shared" si="41"/>
        <v>0.31873000000000001</v>
      </c>
      <c r="N96" s="98">
        <f t="shared" si="41"/>
        <v>0.31873000000000001</v>
      </c>
      <c r="O96" s="98">
        <f t="shared" si="41"/>
        <v>0.31873000000000001</v>
      </c>
      <c r="P96" s="98">
        <f t="shared" si="41"/>
        <v>0.31873000000000001</v>
      </c>
      <c r="Q96" s="98">
        <f t="shared" si="41"/>
        <v>0.31873000000000001</v>
      </c>
      <c r="R96" s="20"/>
      <c r="S96"/>
    </row>
    <row r="97" spans="1:19" x14ac:dyDescent="0.2">
      <c r="B97" t="s">
        <v>304</v>
      </c>
      <c r="F97" s="98">
        <f t="shared" ref="F97:Q98" si="42">F74</f>
        <v>0.30424000000000001</v>
      </c>
      <c r="G97" s="98">
        <f t="shared" si="42"/>
        <v>0.30424000000000001</v>
      </c>
      <c r="H97" s="98">
        <f t="shared" si="42"/>
        <v>0.30424000000000001</v>
      </c>
      <c r="I97" s="98">
        <f t="shared" si="42"/>
        <v>0.30424000000000001</v>
      </c>
      <c r="J97" s="98">
        <f t="shared" si="42"/>
        <v>0.30424000000000001</v>
      </c>
      <c r="K97" s="98">
        <f t="shared" si="42"/>
        <v>0.30424000000000001</v>
      </c>
      <c r="L97" s="98">
        <f t="shared" si="42"/>
        <v>0.30424000000000001</v>
      </c>
      <c r="M97" s="98">
        <f t="shared" si="42"/>
        <v>0.30424000000000001</v>
      </c>
      <c r="N97" s="98">
        <f t="shared" si="42"/>
        <v>0.30424000000000001</v>
      </c>
      <c r="O97" s="98">
        <f t="shared" si="42"/>
        <v>0.30424000000000001</v>
      </c>
      <c r="P97" s="98">
        <f t="shared" si="42"/>
        <v>0.30424000000000001</v>
      </c>
      <c r="Q97" s="98">
        <f t="shared" si="42"/>
        <v>0.30424000000000001</v>
      </c>
      <c r="R97" s="20"/>
      <c r="S97"/>
    </row>
    <row r="98" spans="1:19" x14ac:dyDescent="0.2">
      <c r="B98" t="s">
        <v>550</v>
      </c>
      <c r="D98">
        <v>149</v>
      </c>
      <c r="E98" t="s">
        <v>6</v>
      </c>
      <c r="F98" s="98">
        <f t="shared" si="42"/>
        <v>1.0880000000000001E-2</v>
      </c>
      <c r="G98" s="98">
        <f t="shared" si="42"/>
        <v>1.0880000000000001E-2</v>
      </c>
      <c r="H98" s="98">
        <f t="shared" si="42"/>
        <v>1.0880000000000001E-2</v>
      </c>
      <c r="I98" s="98">
        <f t="shared" si="42"/>
        <v>1.0880000000000001E-2</v>
      </c>
      <c r="J98" s="98">
        <f t="shared" si="42"/>
        <v>1.0880000000000001E-2</v>
      </c>
      <c r="K98" s="98">
        <f t="shared" si="42"/>
        <v>1.0880000000000001E-2</v>
      </c>
      <c r="L98" s="98">
        <f t="shared" si="42"/>
        <v>1.0880000000000001E-2</v>
      </c>
      <c r="M98" s="98">
        <f t="shared" si="42"/>
        <v>1.0880000000000001E-2</v>
      </c>
      <c r="N98" s="98">
        <f t="shared" si="42"/>
        <v>1.0880000000000001E-2</v>
      </c>
      <c r="O98" s="98">
        <f t="shared" si="42"/>
        <v>1.0880000000000001E-2</v>
      </c>
      <c r="P98" s="98">
        <f t="shared" si="42"/>
        <v>1.0880000000000001E-2</v>
      </c>
      <c r="Q98" s="98">
        <f t="shared" si="42"/>
        <v>1.0880000000000001E-2</v>
      </c>
      <c r="R98" s="20"/>
      <c r="S98"/>
    </row>
    <row r="100" spans="1:19" x14ac:dyDescent="0.2">
      <c r="B100" s="15" t="s">
        <v>8</v>
      </c>
      <c r="S100"/>
    </row>
    <row r="101" spans="1:19" x14ac:dyDescent="0.2">
      <c r="B101" t="s">
        <v>22</v>
      </c>
      <c r="E101" t="s">
        <v>22</v>
      </c>
      <c r="F101" s="63">
        <f>'(R) Data'!C15</f>
        <v>2342.3767288033673</v>
      </c>
      <c r="G101" s="63">
        <f>'(R) Data'!D15</f>
        <v>2373.6885147324115</v>
      </c>
      <c r="H101" s="63">
        <f>'(R) Data'!E15</f>
        <v>2229.5706554419726</v>
      </c>
      <c r="I101" s="63">
        <f>'(R) Data'!F15</f>
        <v>2333.3463619963923</v>
      </c>
      <c r="J101" s="63">
        <f>'(R) Data'!G15</f>
        <v>2250.1939266386048</v>
      </c>
      <c r="K101" s="63">
        <f>'(R) Data'!H15</f>
        <v>2314.2957372611745</v>
      </c>
      <c r="L101" s="63">
        <f>'(R) Data'!I15</f>
        <v>2323.4841082989997</v>
      </c>
      <c r="M101" s="63">
        <f>'(R) Data'!J15</f>
        <v>2108.1477339611538</v>
      </c>
      <c r="N101" s="63">
        <f>'(R) Data'!K15</f>
        <v>2392.2798705120663</v>
      </c>
      <c r="O101" s="63">
        <f>'(R) Data'!L15</f>
        <v>2357.4690994702769</v>
      </c>
      <c r="P101" s="63">
        <f>'(R) Data'!M15</f>
        <v>2366.1710199004979</v>
      </c>
      <c r="Q101" s="63">
        <f>'(R) Data'!N15</f>
        <v>2225.5973258706472</v>
      </c>
      <c r="R101" s="107">
        <f>SUM(F101:Q101)</f>
        <v>27616.621082887563</v>
      </c>
      <c r="S101"/>
    </row>
    <row r="102" spans="1:19" x14ac:dyDescent="0.2">
      <c r="B102" t="s">
        <v>30</v>
      </c>
      <c r="E102" t="s">
        <v>10</v>
      </c>
      <c r="F102" s="63">
        <f>'Weather Adj'!D180</f>
        <v>395133.00599999999</v>
      </c>
      <c r="G102" s="599">
        <f>'Weather Adj'!E180</f>
        <v>415618.07</v>
      </c>
      <c r="H102" s="599">
        <f>'Weather Adj'!F180</f>
        <v>530299.97600000002</v>
      </c>
      <c r="I102" s="599">
        <f>'Weather Adj'!G180</f>
        <v>1002186.794</v>
      </c>
      <c r="J102" s="599">
        <f>'Weather Adj'!H180</f>
        <v>1580920.077</v>
      </c>
      <c r="K102" s="599">
        <f>'Weather Adj'!I180</f>
        <v>1965067.7910000002</v>
      </c>
      <c r="L102" s="599">
        <f>'Weather Adj'!J180</f>
        <v>2219846.37</v>
      </c>
      <c r="M102" s="599">
        <f>'Weather Adj'!K180</f>
        <v>1724909.0430000001</v>
      </c>
      <c r="N102" s="599">
        <f>'Weather Adj'!L180</f>
        <v>1692363.3740000001</v>
      </c>
      <c r="O102" s="599">
        <f>'Weather Adj'!M180</f>
        <v>1108860.2120000001</v>
      </c>
      <c r="P102" s="599">
        <f>'Weather Adj'!N180</f>
        <v>678225.22699999996</v>
      </c>
      <c r="Q102" s="599">
        <f>'Weather Adj'!O180</f>
        <v>454283.88400000002</v>
      </c>
      <c r="R102" s="107">
        <f>SUM(F102:Q102)</f>
        <v>13767713.823999999</v>
      </c>
      <c r="S102"/>
    </row>
    <row r="103" spans="1:19" x14ac:dyDescent="0.2">
      <c r="R103" s="102"/>
      <c r="S103"/>
    </row>
    <row r="104" spans="1:19" x14ac:dyDescent="0.2">
      <c r="B104" s="15" t="s">
        <v>9</v>
      </c>
      <c r="R104" s="102"/>
      <c r="S104"/>
    </row>
    <row r="105" spans="1:19" x14ac:dyDescent="0.2">
      <c r="A105" t="s">
        <v>147</v>
      </c>
      <c r="B105" t="s">
        <v>282</v>
      </c>
      <c r="D105">
        <v>31</v>
      </c>
      <c r="F105" s="23">
        <f t="shared" ref="F105:N105" si="43">F93*F101</f>
        <v>75330.835598316291</v>
      </c>
      <c r="G105" s="23">
        <f t="shared" si="43"/>
        <v>76337.822633794349</v>
      </c>
      <c r="H105" s="23">
        <f t="shared" si="43"/>
        <v>71702.992279013837</v>
      </c>
      <c r="I105" s="23">
        <f t="shared" si="43"/>
        <v>75040.419001803966</v>
      </c>
      <c r="J105" s="23">
        <f t="shared" si="43"/>
        <v>72366.236680697519</v>
      </c>
      <c r="K105" s="23">
        <f t="shared" si="43"/>
        <v>74427.750910319359</v>
      </c>
      <c r="L105" s="23">
        <f t="shared" si="43"/>
        <v>74723.248922895815</v>
      </c>
      <c r="M105" s="23">
        <f t="shared" si="43"/>
        <v>67798.031124190704</v>
      </c>
      <c r="N105" s="23">
        <f t="shared" si="43"/>
        <v>76935.72063566804</v>
      </c>
      <c r="O105" s="23">
        <f t="shared" ref="O105:Q105" si="44">O93*O101</f>
        <v>75816.206238964092</v>
      </c>
      <c r="P105" s="23">
        <f t="shared" si="44"/>
        <v>76096.06</v>
      </c>
      <c r="Q105" s="23">
        <f t="shared" si="44"/>
        <v>71575.210000000006</v>
      </c>
      <c r="R105" s="100">
        <f>SUM(F105:Q105)</f>
        <v>888150.53402566398</v>
      </c>
      <c r="S105"/>
    </row>
    <row r="106" spans="1:19" x14ac:dyDescent="0.2">
      <c r="A106" t="s">
        <v>147</v>
      </c>
      <c r="B106" t="s">
        <v>3</v>
      </c>
      <c r="D106">
        <v>31</v>
      </c>
      <c r="F106" s="23">
        <f t="shared" ref="F106:N106" si="45">F94*F102</f>
        <v>116465.4535185</v>
      </c>
      <c r="G106" s="23">
        <f t="shared" si="45"/>
        <v>122503.42613250001</v>
      </c>
      <c r="H106" s="23">
        <f t="shared" si="45"/>
        <v>156305.91792600002</v>
      </c>
      <c r="I106" s="23">
        <f t="shared" si="45"/>
        <v>295394.5575315</v>
      </c>
      <c r="J106" s="23">
        <f t="shared" si="45"/>
        <v>465976.19269575004</v>
      </c>
      <c r="K106" s="23">
        <f t="shared" si="45"/>
        <v>579203.73139725009</v>
      </c>
      <c r="L106" s="23">
        <f t="shared" si="45"/>
        <v>654299.71755750012</v>
      </c>
      <c r="M106" s="23">
        <f t="shared" si="45"/>
        <v>508416.94042425003</v>
      </c>
      <c r="N106" s="23">
        <f t="shared" si="45"/>
        <v>498824.10448650003</v>
      </c>
      <c r="O106" s="23">
        <f t="shared" ref="O106:Q106" si="46">O94*O102</f>
        <v>326836.547487</v>
      </c>
      <c r="P106" s="23">
        <f t="shared" si="46"/>
        <v>199906.88565824999</v>
      </c>
      <c r="Q106" s="23">
        <f t="shared" si="46"/>
        <v>133900.17480900002</v>
      </c>
      <c r="R106" s="100">
        <f>SUM(F106:Q106)</f>
        <v>4058033.6496240003</v>
      </c>
      <c r="S106"/>
    </row>
    <row r="107" spans="1:19" x14ac:dyDescent="0.2">
      <c r="A107" t="s">
        <v>147</v>
      </c>
      <c r="B107" t="s">
        <v>441</v>
      </c>
      <c r="D107">
        <v>31</v>
      </c>
      <c r="F107" s="23">
        <f>F95*F102</f>
        <v>3485.0731129199999</v>
      </c>
      <c r="G107" s="23">
        <f t="shared" ref="G107:Q107" si="47">G95*G102</f>
        <v>3665.7513773999999</v>
      </c>
      <c r="H107" s="23">
        <f t="shared" si="47"/>
        <v>4677.2457883200004</v>
      </c>
      <c r="I107" s="23">
        <f t="shared" si="47"/>
        <v>8839.28752308</v>
      </c>
      <c r="J107" s="23">
        <f t="shared" si="47"/>
        <v>13943.71507914</v>
      </c>
      <c r="K107" s="23">
        <f t="shared" si="47"/>
        <v>17331.897916620001</v>
      </c>
      <c r="L107" s="23">
        <f t="shared" si="47"/>
        <v>19579.044983399999</v>
      </c>
      <c r="M107" s="23">
        <f t="shared" si="47"/>
        <v>15213.69775926</v>
      </c>
      <c r="N107" s="23">
        <f t="shared" si="47"/>
        <v>14926.644958680001</v>
      </c>
      <c r="O107" s="23">
        <f t="shared" si="47"/>
        <v>9780.1470698400008</v>
      </c>
      <c r="P107" s="23">
        <f t="shared" si="47"/>
        <v>5981.9465021399992</v>
      </c>
      <c r="Q107" s="23">
        <f t="shared" si="47"/>
        <v>4006.7838568800003</v>
      </c>
      <c r="R107" s="100">
        <f>SUM(F107:Q107)</f>
        <v>121431.23592768001</v>
      </c>
      <c r="S107"/>
    </row>
    <row r="108" spans="1:19" x14ac:dyDescent="0.2">
      <c r="A108" s="30" t="s">
        <v>130</v>
      </c>
      <c r="B108" t="s">
        <v>306</v>
      </c>
      <c r="D108">
        <v>101</v>
      </c>
      <c r="F108" s="23">
        <f t="shared" ref="F108:N108" si="48">F96*F102</f>
        <v>125940.74300238</v>
      </c>
      <c r="G108" s="23">
        <f t="shared" si="48"/>
        <v>132469.94745110002</v>
      </c>
      <c r="H108" s="23">
        <f t="shared" si="48"/>
        <v>169022.51135048002</v>
      </c>
      <c r="I108" s="23">
        <f t="shared" si="48"/>
        <v>319426.99685162003</v>
      </c>
      <c r="J108" s="34">
        <f t="shared" si="48"/>
        <v>503886.65614221006</v>
      </c>
      <c r="K108" s="23">
        <f t="shared" si="48"/>
        <v>626326.05702543014</v>
      </c>
      <c r="L108" s="23">
        <f t="shared" si="48"/>
        <v>707531.63351010007</v>
      </c>
      <c r="M108" s="23">
        <f t="shared" si="48"/>
        <v>549780.25927539007</v>
      </c>
      <c r="N108" s="23">
        <f t="shared" si="48"/>
        <v>539406.97819502</v>
      </c>
      <c r="O108" s="23">
        <f t="shared" ref="O108:Q108" si="49">O96*O102</f>
        <v>353427.01537076005</v>
      </c>
      <c r="P108" s="23">
        <f t="shared" si="49"/>
        <v>216170.72660170999</v>
      </c>
      <c r="Q108" s="23">
        <f t="shared" si="49"/>
        <v>144793.90234732002</v>
      </c>
      <c r="R108" s="100">
        <f>SUM(F108:Q108)</f>
        <v>4388183.4271235196</v>
      </c>
      <c r="S108"/>
    </row>
    <row r="109" spans="1:19" x14ac:dyDescent="0.2">
      <c r="A109" s="30" t="s">
        <v>551</v>
      </c>
      <c r="B109" t="s">
        <v>552</v>
      </c>
      <c r="D109">
        <v>149</v>
      </c>
      <c r="F109" s="23">
        <f>F98*F102</f>
        <v>4299.0471052800003</v>
      </c>
      <c r="G109" s="23">
        <f t="shared" ref="G109:Q109" si="50">G98*G102</f>
        <v>4521.9246016000006</v>
      </c>
      <c r="H109" s="23">
        <f t="shared" si="50"/>
        <v>5769.6637388800009</v>
      </c>
      <c r="I109" s="23">
        <f t="shared" si="50"/>
        <v>10903.792318720001</v>
      </c>
      <c r="J109" s="23">
        <f t="shared" si="50"/>
        <v>17200.410437760002</v>
      </c>
      <c r="K109" s="23">
        <f t="shared" si="50"/>
        <v>21379.937566080003</v>
      </c>
      <c r="L109" s="23">
        <f t="shared" si="50"/>
        <v>24151.928505600004</v>
      </c>
      <c r="M109" s="23">
        <f t="shared" si="50"/>
        <v>18767.01038784</v>
      </c>
      <c r="N109" s="23">
        <f t="shared" si="50"/>
        <v>18412.913509120001</v>
      </c>
      <c r="O109" s="23">
        <f t="shared" si="50"/>
        <v>12064.399106560002</v>
      </c>
      <c r="P109" s="23">
        <f t="shared" si="50"/>
        <v>7379.0904697599999</v>
      </c>
      <c r="Q109" s="23">
        <f t="shared" si="50"/>
        <v>4942.608657920001</v>
      </c>
      <c r="R109" s="100">
        <f>SUM(F109:Q109)</f>
        <v>149792.72640512002</v>
      </c>
      <c r="S109"/>
    </row>
    <row r="110" spans="1:19" x14ac:dyDescent="0.2">
      <c r="B110" t="s">
        <v>24</v>
      </c>
      <c r="F110" s="24">
        <f>SUM(F105:F109)</f>
        <v>325521.15233739628</v>
      </c>
      <c r="G110" s="24">
        <f t="shared" ref="G110:R110" si="51">SUM(G105:G109)</f>
        <v>339498.87219639437</v>
      </c>
      <c r="H110" s="24">
        <f t="shared" si="51"/>
        <v>407478.33108269394</v>
      </c>
      <c r="I110" s="24">
        <f t="shared" si="51"/>
        <v>709605.05322672403</v>
      </c>
      <c r="J110" s="24">
        <f t="shared" si="51"/>
        <v>1073373.2110355576</v>
      </c>
      <c r="K110" s="24">
        <f t="shared" si="51"/>
        <v>1318669.3748156994</v>
      </c>
      <c r="L110" s="24">
        <f t="shared" si="51"/>
        <v>1480285.5734794959</v>
      </c>
      <c r="M110" s="24">
        <f t="shared" si="51"/>
        <v>1159975.9389709306</v>
      </c>
      <c r="N110" s="24">
        <f t="shared" si="51"/>
        <v>1148506.3617849881</v>
      </c>
      <c r="O110" s="24">
        <f t="shared" si="51"/>
        <v>777924.31527312426</v>
      </c>
      <c r="P110" s="24">
        <f t="shared" si="51"/>
        <v>505534.70923186</v>
      </c>
      <c r="Q110" s="24">
        <f t="shared" si="51"/>
        <v>359218.67967112001</v>
      </c>
      <c r="R110" s="24">
        <f t="shared" si="51"/>
        <v>9605591.5731059834</v>
      </c>
      <c r="S110"/>
    </row>
    <row r="111" spans="1:19" x14ac:dyDescent="0.2"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100"/>
      <c r="S111"/>
    </row>
    <row r="112" spans="1:19" s="30" customFormat="1" x14ac:dyDescent="0.2">
      <c r="A112" t="s">
        <v>305</v>
      </c>
      <c r="B112" t="s">
        <v>304</v>
      </c>
      <c r="C112"/>
      <c r="D112"/>
      <c r="E112"/>
      <c r="F112" s="23">
        <f t="shared" ref="F112:N112" si="52">F97*F102</f>
        <v>120215.26574544</v>
      </c>
      <c r="G112" s="23">
        <f t="shared" si="52"/>
        <v>126447.6416168</v>
      </c>
      <c r="H112" s="23">
        <f t="shared" si="52"/>
        <v>161338.46469824002</v>
      </c>
      <c r="I112" s="23">
        <f t="shared" si="52"/>
        <v>304905.31020656001</v>
      </c>
      <c r="J112" s="23">
        <f t="shared" si="52"/>
        <v>480979.12422648002</v>
      </c>
      <c r="K112" s="23">
        <f t="shared" si="52"/>
        <v>597852.22473384009</v>
      </c>
      <c r="L112" s="23">
        <f t="shared" si="52"/>
        <v>675366.0596088001</v>
      </c>
      <c r="M112" s="23">
        <f t="shared" si="52"/>
        <v>524786.32724232005</v>
      </c>
      <c r="N112" s="23">
        <f t="shared" si="52"/>
        <v>514884.63290576002</v>
      </c>
      <c r="O112" s="23">
        <f t="shared" ref="O112:Q112" si="53">O97*O102</f>
        <v>337359.63089888002</v>
      </c>
      <c r="P112" s="23">
        <f t="shared" si="53"/>
        <v>206343.24306248</v>
      </c>
      <c r="Q112" s="23">
        <f t="shared" si="53"/>
        <v>138211.32886816002</v>
      </c>
      <c r="R112" s="100">
        <f>SUM(F112:Q112)</f>
        <v>4188689.2538137594</v>
      </c>
    </row>
    <row r="113" spans="1:19" s="30" customFormat="1" x14ac:dyDescent="0.2"/>
    <row r="114" spans="1:19" x14ac:dyDescent="0.2">
      <c r="B114" s="15" t="s">
        <v>386</v>
      </c>
      <c r="C114" s="15"/>
      <c r="S114"/>
    </row>
    <row r="115" spans="1:19" s="30" customFormat="1" x14ac:dyDescent="0.2">
      <c r="A115"/>
      <c r="B115" s="15" t="s">
        <v>7</v>
      </c>
      <c r="C115" s="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9" s="30" customFormat="1" x14ac:dyDescent="0.2">
      <c r="A116"/>
      <c r="B116" t="s">
        <v>282</v>
      </c>
      <c r="C116"/>
      <c r="D116" s="21" t="s">
        <v>387</v>
      </c>
      <c r="E116" t="s">
        <v>5</v>
      </c>
      <c r="F116" s="159">
        <f>'Rate Design C&amp;I'!$H$24</f>
        <v>353.77</v>
      </c>
      <c r="G116" s="159">
        <f>'Rate Design C&amp;I'!$H$24</f>
        <v>353.77</v>
      </c>
      <c r="H116" s="159">
        <f>'Rate Design C&amp;I'!$H$24</f>
        <v>353.77</v>
      </c>
      <c r="I116" s="159">
        <f>'Rate Design C&amp;I'!$H$24</f>
        <v>353.77</v>
      </c>
      <c r="J116" s="159">
        <f>'Rate Design C&amp;I'!$H$24</f>
        <v>353.77</v>
      </c>
      <c r="K116" s="159">
        <f>'Rate Design C&amp;I'!$H$24</f>
        <v>353.77</v>
      </c>
      <c r="L116" s="159">
        <f>'Rate Design C&amp;I'!$H$24</f>
        <v>353.77</v>
      </c>
      <c r="M116" s="159">
        <f>'Rate Design C&amp;I'!$H$24</f>
        <v>353.77</v>
      </c>
      <c r="N116" s="159">
        <f>'Rate Design C&amp;I'!$H$24</f>
        <v>353.77</v>
      </c>
      <c r="O116" s="159">
        <f>'Rate Design C&amp;I'!$H$24</f>
        <v>353.77</v>
      </c>
      <c r="P116" s="159">
        <f>'Rate Design C&amp;I'!$H$24</f>
        <v>353.77</v>
      </c>
      <c r="Q116" s="159">
        <f>'Rate Design C&amp;I'!$H$24</f>
        <v>353.77</v>
      </c>
      <c r="R116" s="26"/>
    </row>
    <row r="117" spans="1:19" x14ac:dyDescent="0.2">
      <c r="B117" t="s">
        <v>3</v>
      </c>
      <c r="D117" s="21" t="s">
        <v>387</v>
      </c>
      <c r="E117" t="s">
        <v>6</v>
      </c>
      <c r="F117" s="160">
        <f>'Rate Design C&amp;I'!$H$25</f>
        <v>0.29475000000000001</v>
      </c>
      <c r="G117" s="160">
        <f>'Rate Design C&amp;I'!$H$25</f>
        <v>0.29475000000000001</v>
      </c>
      <c r="H117" s="160">
        <f>'Rate Design C&amp;I'!$H$25</f>
        <v>0.29475000000000001</v>
      </c>
      <c r="I117" s="160">
        <f>'Rate Design C&amp;I'!$H$25</f>
        <v>0.29475000000000001</v>
      </c>
      <c r="J117" s="160">
        <f>'Rate Design C&amp;I'!$H$25</f>
        <v>0.29475000000000001</v>
      </c>
      <c r="K117" s="160">
        <f>'Rate Design C&amp;I'!$H$25</f>
        <v>0.29475000000000001</v>
      </c>
      <c r="L117" s="160">
        <f>'Rate Design C&amp;I'!$H$25</f>
        <v>0.29475000000000001</v>
      </c>
      <c r="M117" s="160">
        <f>'Rate Design C&amp;I'!$H$25</f>
        <v>0.29475000000000001</v>
      </c>
      <c r="N117" s="160">
        <f>'Rate Design C&amp;I'!$H$25</f>
        <v>0.29475000000000001</v>
      </c>
      <c r="O117" s="160">
        <f>'Rate Design C&amp;I'!$H$25</f>
        <v>0.29475000000000001</v>
      </c>
      <c r="P117" s="160">
        <f>'Rate Design C&amp;I'!$H$25</f>
        <v>0.29475000000000001</v>
      </c>
      <c r="Q117" s="160">
        <f>'Rate Design C&amp;I'!$H$25</f>
        <v>0.29475000000000001</v>
      </c>
      <c r="R117" s="20"/>
      <c r="S117"/>
    </row>
    <row r="118" spans="1:19" x14ac:dyDescent="0.2">
      <c r="A118" s="30"/>
      <c r="B118" s="30" t="s">
        <v>301</v>
      </c>
      <c r="D118" s="21" t="s">
        <v>387</v>
      </c>
      <c r="E118" t="s">
        <v>6</v>
      </c>
      <c r="F118" s="160">
        <f>'Rate Design C&amp;I'!$H$29</f>
        <v>6.9999999999999999E-4</v>
      </c>
      <c r="G118" s="160">
        <f>'Rate Design C&amp;I'!$H$29</f>
        <v>6.9999999999999999E-4</v>
      </c>
      <c r="H118" s="160">
        <f>'Rate Design C&amp;I'!$H$29</f>
        <v>6.9999999999999999E-4</v>
      </c>
      <c r="I118" s="160">
        <f>'Rate Design C&amp;I'!$H$29</f>
        <v>6.9999999999999999E-4</v>
      </c>
      <c r="J118" s="160">
        <f>'Rate Design C&amp;I'!$H$29</f>
        <v>6.9999999999999999E-4</v>
      </c>
      <c r="K118" s="160">
        <f>'Rate Design C&amp;I'!$H$29</f>
        <v>6.9999999999999999E-4</v>
      </c>
      <c r="L118" s="160">
        <f>'Rate Design C&amp;I'!$H$29</f>
        <v>6.9999999999999999E-4</v>
      </c>
      <c r="M118" s="160">
        <f>'Rate Design C&amp;I'!$H$29</f>
        <v>6.9999999999999999E-4</v>
      </c>
      <c r="N118" s="160">
        <f>'Rate Design C&amp;I'!$H$29</f>
        <v>6.9999999999999999E-4</v>
      </c>
      <c r="O118" s="160">
        <f>'Rate Design C&amp;I'!$H$29</f>
        <v>6.9999999999999999E-4</v>
      </c>
      <c r="P118" s="160">
        <f>'Rate Design C&amp;I'!$H$29</f>
        <v>6.9999999999999999E-4</v>
      </c>
      <c r="Q118" s="160">
        <f>'Rate Design C&amp;I'!$H$29</f>
        <v>6.9999999999999999E-4</v>
      </c>
      <c r="R118" s="20"/>
      <c r="S118"/>
    </row>
    <row r="119" spans="1:19" x14ac:dyDescent="0.2">
      <c r="A119" s="30"/>
      <c r="B119" t="s">
        <v>237</v>
      </c>
      <c r="D119" s="21" t="s">
        <v>387</v>
      </c>
      <c r="E119" t="s">
        <v>6</v>
      </c>
      <c r="F119" s="131">
        <f>'Rate Design C&amp;I'!$H$26</f>
        <v>0</v>
      </c>
      <c r="G119" s="131">
        <f>'Rate Design C&amp;I'!$H$26</f>
        <v>0</v>
      </c>
      <c r="H119" s="131">
        <f>'Rate Design C&amp;I'!$H$26</f>
        <v>0</v>
      </c>
      <c r="I119" s="131">
        <f>'Rate Design C&amp;I'!$H$26</f>
        <v>0</v>
      </c>
      <c r="J119" s="131">
        <f>'Rate Design C&amp;I'!$H$26</f>
        <v>0</v>
      </c>
      <c r="K119" s="131">
        <f>'Rate Design C&amp;I'!$H$26</f>
        <v>0</v>
      </c>
      <c r="L119" s="131">
        <f>'Rate Design C&amp;I'!$H$26</f>
        <v>0</v>
      </c>
      <c r="M119" s="131">
        <f>'Rate Design C&amp;I'!$H$26</f>
        <v>0</v>
      </c>
      <c r="N119" s="131">
        <f>'Rate Design C&amp;I'!$H$26</f>
        <v>0</v>
      </c>
      <c r="O119" s="131">
        <f>'Rate Design C&amp;I'!$H$26</f>
        <v>0</v>
      </c>
      <c r="P119" s="131">
        <f>'Rate Design C&amp;I'!$H$26</f>
        <v>0</v>
      </c>
      <c r="Q119" s="131">
        <f>'Rate Design C&amp;I'!$H$26</f>
        <v>0</v>
      </c>
      <c r="R119" s="20"/>
    </row>
    <row r="120" spans="1:19" x14ac:dyDescent="0.2">
      <c r="A120" s="30"/>
      <c r="B120" t="s">
        <v>550</v>
      </c>
      <c r="D120" s="21">
        <v>149</v>
      </c>
      <c r="E120" t="s">
        <v>6</v>
      </c>
      <c r="F120" s="772">
        <f>F75</f>
        <v>1.0880000000000001E-2</v>
      </c>
      <c r="G120" s="772">
        <f t="shared" ref="G120:Q120" si="54">G75</f>
        <v>1.0880000000000001E-2</v>
      </c>
      <c r="H120" s="772">
        <f t="shared" si="54"/>
        <v>1.0880000000000001E-2</v>
      </c>
      <c r="I120" s="772">
        <f t="shared" si="54"/>
        <v>1.0880000000000001E-2</v>
      </c>
      <c r="J120" s="772">
        <f t="shared" si="54"/>
        <v>1.0880000000000001E-2</v>
      </c>
      <c r="K120" s="772">
        <f t="shared" si="54"/>
        <v>1.0880000000000001E-2</v>
      </c>
      <c r="L120" s="772">
        <f t="shared" si="54"/>
        <v>1.0880000000000001E-2</v>
      </c>
      <c r="M120" s="772">
        <f t="shared" si="54"/>
        <v>1.0880000000000001E-2</v>
      </c>
      <c r="N120" s="772">
        <f t="shared" si="54"/>
        <v>1.0880000000000001E-2</v>
      </c>
      <c r="O120" s="772">
        <f t="shared" si="54"/>
        <v>1.0880000000000001E-2</v>
      </c>
      <c r="P120" s="772">
        <f t="shared" si="54"/>
        <v>1.0880000000000001E-2</v>
      </c>
      <c r="Q120" s="772">
        <f t="shared" si="54"/>
        <v>1.0880000000000001E-2</v>
      </c>
      <c r="R120" s="20"/>
    </row>
    <row r="121" spans="1:19" x14ac:dyDescent="0.2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</row>
    <row r="122" spans="1:19" x14ac:dyDescent="0.2">
      <c r="A122" s="30"/>
      <c r="B122" s="29" t="s">
        <v>8</v>
      </c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</row>
    <row r="123" spans="1:19" x14ac:dyDescent="0.2">
      <c r="A123" s="30"/>
      <c r="B123" s="30" t="s">
        <v>22</v>
      </c>
      <c r="C123" s="30"/>
      <c r="D123" s="30"/>
      <c r="E123" s="30" t="s">
        <v>22</v>
      </c>
      <c r="F123" s="76">
        <f>'(R) Data'!C16</f>
        <v>2</v>
      </c>
      <c r="G123" s="603">
        <f>'(R) Data'!D16</f>
        <v>2</v>
      </c>
      <c r="H123" s="603">
        <f>'(R) Data'!E16</f>
        <v>2.9999999999999996</v>
      </c>
      <c r="I123" s="603">
        <f>'(R) Data'!F16</f>
        <v>2</v>
      </c>
      <c r="J123" s="603">
        <f>'(R) Data'!G16</f>
        <v>2</v>
      </c>
      <c r="K123" s="603">
        <f>'(R) Data'!H16</f>
        <v>2.000020827694831</v>
      </c>
      <c r="L123" s="603">
        <f>'(R) Data'!I16</f>
        <v>2</v>
      </c>
      <c r="M123" s="603">
        <f>'(R) Data'!J16</f>
        <v>2</v>
      </c>
      <c r="N123" s="603">
        <f>'(R) Data'!K16</f>
        <v>2</v>
      </c>
      <c r="O123" s="603">
        <f>'(R) Data'!L16</f>
        <v>2</v>
      </c>
      <c r="P123" s="603">
        <f>'(R) Data'!M16</f>
        <v>2</v>
      </c>
      <c r="Q123" s="603">
        <f>'(R) Data'!N16</f>
        <v>2</v>
      </c>
      <c r="R123" s="107">
        <f>SUM(F123:Q123)</f>
        <v>25.000020827694833</v>
      </c>
    </row>
    <row r="124" spans="1:19" x14ac:dyDescent="0.2">
      <c r="B124" t="s">
        <v>30</v>
      </c>
      <c r="E124" t="s">
        <v>10</v>
      </c>
      <c r="F124" s="63">
        <f>'Weather Adj'!D187</f>
        <v>833.33</v>
      </c>
      <c r="G124" s="599">
        <f>'Weather Adj'!E187</f>
        <v>852.46</v>
      </c>
      <c r="H124" s="599">
        <f>'Weather Adj'!F187</f>
        <v>1004.34</v>
      </c>
      <c r="I124" s="599">
        <f>'Weather Adj'!G187</f>
        <v>1858.11</v>
      </c>
      <c r="J124" s="599">
        <f>'Weather Adj'!H187</f>
        <v>2420.34</v>
      </c>
      <c r="K124" s="599">
        <f>'Weather Adj'!I187</f>
        <v>3639.8599999999997</v>
      </c>
      <c r="L124" s="599">
        <f>'Weather Adj'!J187</f>
        <v>2356.8000000000002</v>
      </c>
      <c r="M124" s="599">
        <f>'Weather Adj'!K187</f>
        <v>2713.47</v>
      </c>
      <c r="N124" s="599">
        <f>'Weather Adj'!L187</f>
        <v>2240.84</v>
      </c>
      <c r="O124" s="599">
        <f>'Weather Adj'!M187</f>
        <v>1514.91</v>
      </c>
      <c r="P124" s="599">
        <f>'Weather Adj'!N187</f>
        <v>975.42</v>
      </c>
      <c r="Q124" s="599">
        <f>'Weather Adj'!O187</f>
        <v>955</v>
      </c>
      <c r="R124" s="107">
        <f>SUM(F124:Q124)</f>
        <v>21364.879999999994</v>
      </c>
    </row>
    <row r="125" spans="1:19" x14ac:dyDescent="0.2">
      <c r="R125" s="102"/>
    </row>
    <row r="126" spans="1:19" x14ac:dyDescent="0.2">
      <c r="B126" s="15" t="s">
        <v>9</v>
      </c>
      <c r="R126" s="102"/>
    </row>
    <row r="127" spans="1:19" x14ac:dyDescent="0.2">
      <c r="A127" t="s">
        <v>147</v>
      </c>
      <c r="B127" t="s">
        <v>282</v>
      </c>
      <c r="D127" s="21" t="s">
        <v>387</v>
      </c>
      <c r="F127" s="23">
        <f t="shared" ref="F127:N127" si="55">F116*F123</f>
        <v>707.54</v>
      </c>
      <c r="G127" s="23">
        <f t="shared" si="55"/>
        <v>707.54</v>
      </c>
      <c r="H127" s="23">
        <f t="shared" si="55"/>
        <v>1061.3099999999997</v>
      </c>
      <c r="I127" s="23">
        <f t="shared" si="55"/>
        <v>707.54</v>
      </c>
      <c r="J127" s="23">
        <f t="shared" si="55"/>
        <v>707.54</v>
      </c>
      <c r="K127" s="23">
        <f t="shared" si="55"/>
        <v>707.54736821360029</v>
      </c>
      <c r="L127" s="23">
        <f t="shared" si="55"/>
        <v>707.54</v>
      </c>
      <c r="M127" s="23">
        <f t="shared" si="55"/>
        <v>707.54</v>
      </c>
      <c r="N127" s="23">
        <f t="shared" si="55"/>
        <v>707.54</v>
      </c>
      <c r="O127" s="23">
        <f t="shared" ref="O127:Q127" si="56">O116*O123</f>
        <v>707.54</v>
      </c>
      <c r="P127" s="23">
        <f t="shared" si="56"/>
        <v>707.54</v>
      </c>
      <c r="Q127" s="23">
        <f t="shared" si="56"/>
        <v>707.54</v>
      </c>
      <c r="R127" s="100">
        <f>SUM(F127:Q127)</f>
        <v>8844.257368213599</v>
      </c>
    </row>
    <row r="128" spans="1:19" x14ac:dyDescent="0.2">
      <c r="A128" t="s">
        <v>147</v>
      </c>
      <c r="B128" t="s">
        <v>3</v>
      </c>
      <c r="D128" s="21" t="s">
        <v>387</v>
      </c>
      <c r="F128" s="23">
        <f t="shared" ref="F128:N128" si="57">F117*F124</f>
        <v>245.62401750000001</v>
      </c>
      <c r="G128" s="23">
        <f t="shared" si="57"/>
        <v>251.26258500000003</v>
      </c>
      <c r="H128" s="23">
        <f t="shared" si="57"/>
        <v>296.02921500000002</v>
      </c>
      <c r="I128" s="23">
        <f t="shared" si="57"/>
        <v>547.67792250000002</v>
      </c>
      <c r="J128" s="23">
        <f t="shared" si="57"/>
        <v>713.39521500000012</v>
      </c>
      <c r="K128" s="23">
        <f t="shared" si="57"/>
        <v>1072.848735</v>
      </c>
      <c r="L128" s="23">
        <f t="shared" si="57"/>
        <v>694.66680000000008</v>
      </c>
      <c r="M128" s="23">
        <f t="shared" si="57"/>
        <v>799.79528249999998</v>
      </c>
      <c r="N128" s="23">
        <f t="shared" si="57"/>
        <v>660.48759000000007</v>
      </c>
      <c r="O128" s="23">
        <f t="shared" ref="O128:Q128" si="58">O117*O124</f>
        <v>446.51972250000006</v>
      </c>
      <c r="P128" s="23">
        <f t="shared" si="58"/>
        <v>287.505045</v>
      </c>
      <c r="Q128" s="23">
        <f t="shared" si="58"/>
        <v>281.48624999999998</v>
      </c>
      <c r="R128" s="100">
        <f>SUM(F128:Q128)</f>
        <v>6297.2983800000002</v>
      </c>
    </row>
    <row r="129" spans="1:19" x14ac:dyDescent="0.2">
      <c r="A129" t="s">
        <v>130</v>
      </c>
      <c r="B129" s="30" t="s">
        <v>301</v>
      </c>
      <c r="D129" s="21" t="s">
        <v>387</v>
      </c>
      <c r="F129" s="23">
        <f t="shared" ref="F129:N129" si="59">F118*F124</f>
        <v>0.58333100000000004</v>
      </c>
      <c r="G129" s="23">
        <f t="shared" si="59"/>
        <v>0.59672199999999997</v>
      </c>
      <c r="H129" s="23">
        <f t="shared" si="59"/>
        <v>0.70303800000000005</v>
      </c>
      <c r="I129" s="23">
        <f t="shared" si="59"/>
        <v>1.3006769999999999</v>
      </c>
      <c r="J129" s="23">
        <f t="shared" si="59"/>
        <v>1.6942380000000001</v>
      </c>
      <c r="K129" s="23">
        <f t="shared" si="59"/>
        <v>2.5479019999999997</v>
      </c>
      <c r="L129" s="23">
        <f t="shared" si="59"/>
        <v>1.6497600000000001</v>
      </c>
      <c r="M129" s="23">
        <f t="shared" si="59"/>
        <v>1.8994289999999998</v>
      </c>
      <c r="N129" s="23">
        <f t="shared" si="59"/>
        <v>1.5685880000000001</v>
      </c>
      <c r="O129" s="23">
        <f t="shared" ref="O129:Q129" si="60">O118*O124</f>
        <v>1.0604370000000001</v>
      </c>
      <c r="P129" s="23">
        <f t="shared" si="60"/>
        <v>0.68279400000000001</v>
      </c>
      <c r="Q129" s="23">
        <f t="shared" si="60"/>
        <v>0.66849999999999998</v>
      </c>
      <c r="R129" s="23">
        <f>SUM(F129:Q129)</f>
        <v>14.955416</v>
      </c>
    </row>
    <row r="130" spans="1:19" x14ac:dyDescent="0.2">
      <c r="A130" t="s">
        <v>147</v>
      </c>
      <c r="B130" t="s">
        <v>237</v>
      </c>
      <c r="F130" s="23">
        <f t="shared" ref="F130:N130" si="61">F119*F124</f>
        <v>0</v>
      </c>
      <c r="G130" s="23">
        <f t="shared" si="61"/>
        <v>0</v>
      </c>
      <c r="H130" s="23">
        <f t="shared" si="61"/>
        <v>0</v>
      </c>
      <c r="I130" s="23">
        <f t="shared" si="61"/>
        <v>0</v>
      </c>
      <c r="J130" s="23">
        <f t="shared" si="61"/>
        <v>0</v>
      </c>
      <c r="K130" s="23">
        <f t="shared" si="61"/>
        <v>0</v>
      </c>
      <c r="L130" s="23">
        <f t="shared" si="61"/>
        <v>0</v>
      </c>
      <c r="M130" s="23">
        <f t="shared" si="61"/>
        <v>0</v>
      </c>
      <c r="N130" s="23">
        <f t="shared" si="61"/>
        <v>0</v>
      </c>
      <c r="O130" s="23">
        <f t="shared" ref="O130:Q130" si="62">O119*O124</f>
        <v>0</v>
      </c>
      <c r="P130" s="23">
        <f t="shared" si="62"/>
        <v>0</v>
      </c>
      <c r="Q130" s="23">
        <f t="shared" si="62"/>
        <v>0</v>
      </c>
      <c r="R130" s="23">
        <f>SUM(F130:Q130)</f>
        <v>0</v>
      </c>
    </row>
    <row r="131" spans="1:19" x14ac:dyDescent="0.2">
      <c r="A131" t="s">
        <v>551</v>
      </c>
      <c r="B131" t="s">
        <v>552</v>
      </c>
      <c r="D131">
        <v>149</v>
      </c>
      <c r="F131" s="23">
        <f>F120*F124</f>
        <v>9.0666304000000011</v>
      </c>
      <c r="G131" s="23">
        <f t="shared" ref="G131:Q131" si="63">G120*G124</f>
        <v>9.2747648000000016</v>
      </c>
      <c r="H131" s="23">
        <f t="shared" si="63"/>
        <v>10.927219200000001</v>
      </c>
      <c r="I131" s="23">
        <f t="shared" si="63"/>
        <v>20.216236800000001</v>
      </c>
      <c r="J131" s="23">
        <f t="shared" si="63"/>
        <v>26.333299200000003</v>
      </c>
      <c r="K131" s="23">
        <f t="shared" si="63"/>
        <v>39.6016768</v>
      </c>
      <c r="L131" s="23">
        <f t="shared" si="63"/>
        <v>25.641984000000004</v>
      </c>
      <c r="M131" s="23">
        <f t="shared" si="63"/>
        <v>29.522553599999998</v>
      </c>
      <c r="N131" s="23">
        <f t="shared" si="63"/>
        <v>24.380339200000002</v>
      </c>
      <c r="O131" s="23">
        <f t="shared" si="63"/>
        <v>16.4822208</v>
      </c>
      <c r="P131" s="23">
        <f t="shared" si="63"/>
        <v>10.6125696</v>
      </c>
      <c r="Q131" s="23">
        <f t="shared" si="63"/>
        <v>10.390400000000001</v>
      </c>
      <c r="R131" s="23">
        <f>SUM(F131:Q131)</f>
        <v>232.44989440000003</v>
      </c>
    </row>
    <row r="132" spans="1:19" x14ac:dyDescent="0.2">
      <c r="B132" t="s">
        <v>24</v>
      </c>
      <c r="F132" s="24">
        <f>SUM(F127:F131)</f>
        <v>962.81397890000005</v>
      </c>
      <c r="G132" s="24">
        <f t="shared" ref="G132:R132" si="64">SUM(G127:G131)</f>
        <v>968.67407179999998</v>
      </c>
      <c r="H132" s="24">
        <f t="shared" si="64"/>
        <v>1368.9694721999999</v>
      </c>
      <c r="I132" s="24">
        <f t="shared" si="64"/>
        <v>1276.7348362999999</v>
      </c>
      <c r="J132" s="24">
        <f t="shared" si="64"/>
        <v>1448.9627522000001</v>
      </c>
      <c r="K132" s="24">
        <f t="shared" si="64"/>
        <v>1822.5456820136003</v>
      </c>
      <c r="L132" s="24">
        <f t="shared" si="64"/>
        <v>1429.498544</v>
      </c>
      <c r="M132" s="24">
        <f t="shared" si="64"/>
        <v>1538.7572651</v>
      </c>
      <c r="N132" s="24">
        <f t="shared" si="64"/>
        <v>1393.9765172000002</v>
      </c>
      <c r="O132" s="24">
        <f t="shared" si="64"/>
        <v>1171.6023803000003</v>
      </c>
      <c r="P132" s="24">
        <f t="shared" si="64"/>
        <v>1006.3404085999999</v>
      </c>
      <c r="Q132" s="24">
        <f t="shared" si="64"/>
        <v>1000.0851499999999</v>
      </c>
      <c r="R132" s="24">
        <f t="shared" si="64"/>
        <v>15388.9610586136</v>
      </c>
    </row>
    <row r="133" spans="1:19" s="30" customFormat="1" x14ac:dyDescent="0.2">
      <c r="A133"/>
      <c r="B133"/>
      <c r="C133"/>
      <c r="D133"/>
      <c r="E13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100"/>
    </row>
    <row r="134" spans="1:19" s="50" customFormat="1" x14ac:dyDescent="0.2">
      <c r="A134" t="s">
        <v>305</v>
      </c>
      <c r="B134" t="s">
        <v>304</v>
      </c>
      <c r="C134"/>
      <c r="D134"/>
      <c r="E134"/>
      <c r="F134" s="23">
        <f t="shared" ref="F134:N134" si="65">F129</f>
        <v>0.58333100000000004</v>
      </c>
      <c r="G134" s="23">
        <f t="shared" si="65"/>
        <v>0.59672199999999997</v>
      </c>
      <c r="H134" s="23">
        <f t="shared" si="65"/>
        <v>0.70303800000000005</v>
      </c>
      <c r="I134" s="23">
        <f t="shared" si="65"/>
        <v>1.3006769999999999</v>
      </c>
      <c r="J134" s="23">
        <f t="shared" si="65"/>
        <v>1.6942380000000001</v>
      </c>
      <c r="K134" s="23">
        <f t="shared" si="65"/>
        <v>2.5479019999999997</v>
      </c>
      <c r="L134" s="23">
        <f t="shared" si="65"/>
        <v>1.6497600000000001</v>
      </c>
      <c r="M134" s="23">
        <f t="shared" si="65"/>
        <v>1.8994289999999998</v>
      </c>
      <c r="N134" s="23">
        <f t="shared" si="65"/>
        <v>1.5685880000000001</v>
      </c>
      <c r="O134" s="23">
        <f t="shared" ref="O134:Q134" si="66">O129</f>
        <v>1.0604370000000001</v>
      </c>
      <c r="P134" s="23">
        <f t="shared" si="66"/>
        <v>0.68279400000000001</v>
      </c>
      <c r="Q134" s="23">
        <f t="shared" si="66"/>
        <v>0.66849999999999998</v>
      </c>
      <c r="R134" s="100">
        <f>SUM(F134:Q134)</f>
        <v>14.955416</v>
      </c>
      <c r="S134" s="31"/>
    </row>
    <row r="136" spans="1:19" s="30" customFormat="1" x14ac:dyDescent="0.2">
      <c r="A136"/>
      <c r="B136" s="648" t="s">
        <v>536</v>
      </c>
      <c r="C136" s="648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9" s="30" customFormat="1" x14ac:dyDescent="0.2">
      <c r="A137"/>
      <c r="B137" s="648" t="s">
        <v>7</v>
      </c>
      <c r="C137" s="648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9" s="30" customFormat="1" x14ac:dyDescent="0.2">
      <c r="A138"/>
      <c r="B138" t="s">
        <v>282</v>
      </c>
      <c r="C138"/>
      <c r="D138" s="21" t="s">
        <v>387</v>
      </c>
      <c r="E138" t="s">
        <v>5</v>
      </c>
      <c r="F138" s="619">
        <f>'Rate Design C&amp;I'!$H$24</f>
        <v>353.77</v>
      </c>
      <c r="G138" s="619">
        <f>'Rate Design C&amp;I'!$H$24</f>
        <v>353.77</v>
      </c>
      <c r="H138" s="619">
        <f>'Rate Design C&amp;I'!$H$24</f>
        <v>353.77</v>
      </c>
      <c r="I138" s="619">
        <f>'Rate Design C&amp;I'!$H$24</f>
        <v>353.77</v>
      </c>
      <c r="J138" s="619">
        <f>'Rate Design C&amp;I'!$H$24</f>
        <v>353.77</v>
      </c>
      <c r="K138" s="619">
        <f>'Rate Design C&amp;I'!$H$24</f>
        <v>353.77</v>
      </c>
      <c r="L138" s="619">
        <f>'Rate Design C&amp;I'!$H$24</f>
        <v>353.77</v>
      </c>
      <c r="M138" s="619">
        <f>'Rate Design C&amp;I'!$H$24</f>
        <v>353.77</v>
      </c>
      <c r="N138" s="619">
        <f>'Rate Design C&amp;I'!$H$24</f>
        <v>353.77</v>
      </c>
      <c r="O138" s="619">
        <f>'Rate Design C&amp;I'!$H$24</f>
        <v>353.77</v>
      </c>
      <c r="P138" s="619">
        <f>'Rate Design C&amp;I'!$H$24</f>
        <v>353.77</v>
      </c>
      <c r="Q138" s="619">
        <f>'Rate Design C&amp;I'!$H$24</f>
        <v>353.77</v>
      </c>
      <c r="R138" s="26"/>
    </row>
    <row r="139" spans="1:19" x14ac:dyDescent="0.2">
      <c r="B139" t="s">
        <v>3</v>
      </c>
      <c r="D139" s="21" t="s">
        <v>387</v>
      </c>
      <c r="E139" t="s">
        <v>6</v>
      </c>
      <c r="F139" s="160">
        <f>'Rate Design C&amp;I'!$H$25</f>
        <v>0.29475000000000001</v>
      </c>
      <c r="G139" s="160">
        <f>'Rate Design C&amp;I'!$H$25</f>
        <v>0.29475000000000001</v>
      </c>
      <c r="H139" s="160">
        <f>'Rate Design C&amp;I'!$H$25</f>
        <v>0.29475000000000001</v>
      </c>
      <c r="I139" s="160">
        <f>'Rate Design C&amp;I'!$H$25</f>
        <v>0.29475000000000001</v>
      </c>
      <c r="J139" s="160">
        <f>'Rate Design C&amp;I'!$H$25</f>
        <v>0.29475000000000001</v>
      </c>
      <c r="K139" s="160">
        <f>'Rate Design C&amp;I'!$H$25</f>
        <v>0.29475000000000001</v>
      </c>
      <c r="L139" s="160">
        <f>'Rate Design C&amp;I'!$H$25</f>
        <v>0.29475000000000001</v>
      </c>
      <c r="M139" s="160">
        <f>'Rate Design C&amp;I'!$H$25</f>
        <v>0.29475000000000001</v>
      </c>
      <c r="N139" s="160">
        <f>'Rate Design C&amp;I'!$H$25</f>
        <v>0.29475000000000001</v>
      </c>
      <c r="O139" s="160">
        <f>'Rate Design C&amp;I'!$H$25</f>
        <v>0.29475000000000001</v>
      </c>
      <c r="P139" s="160">
        <f>'Rate Design C&amp;I'!$H$25</f>
        <v>0.29475000000000001</v>
      </c>
      <c r="Q139" s="160">
        <f>'Rate Design C&amp;I'!$H$25</f>
        <v>0.29475000000000001</v>
      </c>
      <c r="R139" s="20"/>
      <c r="S139"/>
    </row>
    <row r="140" spans="1:19" x14ac:dyDescent="0.2">
      <c r="A140" s="30"/>
      <c r="B140" s="30" t="s">
        <v>301</v>
      </c>
      <c r="D140" s="21" t="s">
        <v>387</v>
      </c>
      <c r="E140" t="s">
        <v>6</v>
      </c>
      <c r="F140" s="160">
        <f>'Rate Design C&amp;I'!$H$29</f>
        <v>6.9999999999999999E-4</v>
      </c>
      <c r="G140" s="160">
        <f>'Rate Design C&amp;I'!$H$29</f>
        <v>6.9999999999999999E-4</v>
      </c>
      <c r="H140" s="160">
        <f>'Rate Design C&amp;I'!$H$29</f>
        <v>6.9999999999999999E-4</v>
      </c>
      <c r="I140" s="160">
        <f>'Rate Design C&amp;I'!$H$29</f>
        <v>6.9999999999999999E-4</v>
      </c>
      <c r="J140" s="160">
        <f>'Rate Design C&amp;I'!$H$29</f>
        <v>6.9999999999999999E-4</v>
      </c>
      <c r="K140" s="160">
        <f>'Rate Design C&amp;I'!$H$29</f>
        <v>6.9999999999999999E-4</v>
      </c>
      <c r="L140" s="160">
        <f>'Rate Design C&amp;I'!$H$29</f>
        <v>6.9999999999999999E-4</v>
      </c>
      <c r="M140" s="160">
        <f>'Rate Design C&amp;I'!$H$29</f>
        <v>6.9999999999999999E-4</v>
      </c>
      <c r="N140" s="160">
        <f>'Rate Design C&amp;I'!$H$29</f>
        <v>6.9999999999999999E-4</v>
      </c>
      <c r="O140" s="160">
        <f>'Rate Design C&amp;I'!$H$29</f>
        <v>6.9999999999999999E-4</v>
      </c>
      <c r="P140" s="160">
        <f>'Rate Design C&amp;I'!$H$29</f>
        <v>6.9999999999999999E-4</v>
      </c>
      <c r="Q140" s="160">
        <f>'Rate Design C&amp;I'!$H$29</f>
        <v>6.9999999999999999E-4</v>
      </c>
      <c r="R140" s="20"/>
      <c r="S140"/>
    </row>
    <row r="141" spans="1:19" x14ac:dyDescent="0.2">
      <c r="A141" s="30"/>
      <c r="B141" t="s">
        <v>237</v>
      </c>
      <c r="D141" s="21" t="s">
        <v>387</v>
      </c>
      <c r="E141" t="s">
        <v>6</v>
      </c>
      <c r="F141" s="131">
        <f>'Rate Design C&amp;I'!$H$26</f>
        <v>0</v>
      </c>
      <c r="G141" s="131">
        <f>'Rate Design C&amp;I'!$H$26</f>
        <v>0</v>
      </c>
      <c r="H141" s="131">
        <f>'Rate Design C&amp;I'!$H$26</f>
        <v>0</v>
      </c>
      <c r="I141" s="131">
        <f>'Rate Design C&amp;I'!$H$26</f>
        <v>0</v>
      </c>
      <c r="J141" s="131">
        <f>'Rate Design C&amp;I'!$H$26</f>
        <v>0</v>
      </c>
      <c r="K141" s="131">
        <f>'Rate Design C&amp;I'!$H$26</f>
        <v>0</v>
      </c>
      <c r="L141" s="131">
        <f>'Rate Design C&amp;I'!$H$26</f>
        <v>0</v>
      </c>
      <c r="M141" s="131">
        <f>'Rate Design C&amp;I'!$H$26</f>
        <v>0</v>
      </c>
      <c r="N141" s="131">
        <f>'Rate Design C&amp;I'!$H$26</f>
        <v>0</v>
      </c>
      <c r="O141" s="131">
        <f>'Rate Design C&amp;I'!$H$26</f>
        <v>0</v>
      </c>
      <c r="P141" s="131">
        <f>'Rate Design C&amp;I'!$H$26</f>
        <v>0</v>
      </c>
      <c r="Q141" s="131">
        <f>'Rate Design C&amp;I'!$H$26</f>
        <v>0</v>
      </c>
      <c r="R141" s="20"/>
      <c r="S141"/>
    </row>
    <row r="142" spans="1:19" x14ac:dyDescent="0.2">
      <c r="A142" s="30"/>
      <c r="B142" t="s">
        <v>550</v>
      </c>
      <c r="D142" s="21">
        <v>149</v>
      </c>
      <c r="E142" t="s">
        <v>6</v>
      </c>
      <c r="F142" s="772">
        <f>F75</f>
        <v>1.0880000000000001E-2</v>
      </c>
      <c r="G142" s="772">
        <f t="shared" ref="G142:Q142" si="67">G75</f>
        <v>1.0880000000000001E-2</v>
      </c>
      <c r="H142" s="772">
        <f t="shared" si="67"/>
        <v>1.0880000000000001E-2</v>
      </c>
      <c r="I142" s="772">
        <f t="shared" si="67"/>
        <v>1.0880000000000001E-2</v>
      </c>
      <c r="J142" s="772">
        <f t="shared" si="67"/>
        <v>1.0880000000000001E-2</v>
      </c>
      <c r="K142" s="772">
        <f t="shared" si="67"/>
        <v>1.0880000000000001E-2</v>
      </c>
      <c r="L142" s="772">
        <f t="shared" si="67"/>
        <v>1.0880000000000001E-2</v>
      </c>
      <c r="M142" s="772">
        <f t="shared" si="67"/>
        <v>1.0880000000000001E-2</v>
      </c>
      <c r="N142" s="772">
        <f t="shared" si="67"/>
        <v>1.0880000000000001E-2</v>
      </c>
      <c r="O142" s="772">
        <f t="shared" si="67"/>
        <v>1.0880000000000001E-2</v>
      </c>
      <c r="P142" s="772">
        <f t="shared" si="67"/>
        <v>1.0880000000000001E-2</v>
      </c>
      <c r="Q142" s="772">
        <f t="shared" si="67"/>
        <v>1.0880000000000001E-2</v>
      </c>
      <c r="R142" s="20"/>
      <c r="S142"/>
    </row>
    <row r="143" spans="1:19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/>
    </row>
    <row r="144" spans="1:19" x14ac:dyDescent="0.2">
      <c r="A144" s="30"/>
      <c r="B144" s="651" t="s">
        <v>8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/>
    </row>
    <row r="145" spans="1:19" x14ac:dyDescent="0.2">
      <c r="A145" s="30"/>
      <c r="B145" s="30" t="s">
        <v>22</v>
      </c>
      <c r="C145" s="30"/>
      <c r="D145" s="30"/>
      <c r="E145" s="30" t="s">
        <v>22</v>
      </c>
      <c r="F145" s="603">
        <f>'(R) Data'!C17</f>
        <v>1</v>
      </c>
      <c r="G145" s="603">
        <f>'(R) Data'!D17</f>
        <v>1</v>
      </c>
      <c r="H145" s="603">
        <f>'(R) Data'!E17</f>
        <v>1</v>
      </c>
      <c r="I145" s="603">
        <f>'(R) Data'!F17</f>
        <v>1</v>
      </c>
      <c r="J145" s="603">
        <f>'(R) Data'!G17</f>
        <v>1</v>
      </c>
      <c r="K145" s="603">
        <f>'(R) Data'!H17</f>
        <v>1.0000104138474155</v>
      </c>
      <c r="L145" s="603">
        <f>'(R) Data'!I17</f>
        <v>1</v>
      </c>
      <c r="M145" s="603">
        <f>'(R) Data'!J17</f>
        <v>1</v>
      </c>
      <c r="N145" s="603">
        <f>'(R) Data'!K17</f>
        <v>1</v>
      </c>
      <c r="O145" s="603">
        <f>'(R) Data'!L17</f>
        <v>1</v>
      </c>
      <c r="P145" s="603">
        <f>'(R) Data'!M17</f>
        <v>1</v>
      </c>
      <c r="Q145" s="603">
        <f>'(R) Data'!N17</f>
        <v>1</v>
      </c>
      <c r="R145" s="649">
        <f>SUM(F145:Q145)</f>
        <v>12.000010413847416</v>
      </c>
      <c r="S145"/>
    </row>
    <row r="146" spans="1:19" s="30" customFormat="1" x14ac:dyDescent="0.2">
      <c r="A146"/>
      <c r="B146" t="s">
        <v>30</v>
      </c>
      <c r="C146"/>
      <c r="D146"/>
      <c r="E146" t="s">
        <v>10</v>
      </c>
      <c r="F146" s="599">
        <f>'Weather Adj'!D179</f>
        <v>76.98</v>
      </c>
      <c r="G146" s="599">
        <f>'Weather Adj'!E179</f>
        <v>27.25</v>
      </c>
      <c r="H146" s="599">
        <f>'Weather Adj'!F179</f>
        <v>242.87</v>
      </c>
      <c r="I146" s="599">
        <f>'Weather Adj'!G179</f>
        <v>1980.63</v>
      </c>
      <c r="J146" s="599">
        <f>'Weather Adj'!H179</f>
        <v>3346.76</v>
      </c>
      <c r="K146" s="599">
        <f>'Weather Adj'!I179</f>
        <v>4385.21</v>
      </c>
      <c r="L146" s="599">
        <f>'Weather Adj'!J179</f>
        <v>2645.87</v>
      </c>
      <c r="M146" s="599">
        <f>'Weather Adj'!K179</f>
        <v>3836.98</v>
      </c>
      <c r="N146" s="599">
        <f>'Weather Adj'!L179</f>
        <v>2823.34</v>
      </c>
      <c r="O146" s="599">
        <f>'Weather Adj'!M179</f>
        <v>2002.65</v>
      </c>
      <c r="P146" s="599">
        <f>'Weather Adj'!N179</f>
        <v>642.91</v>
      </c>
      <c r="Q146" s="599">
        <f>'Weather Adj'!O179</f>
        <v>37.44</v>
      </c>
      <c r="R146" s="649">
        <f>SUM(F146:Q146)</f>
        <v>22048.89</v>
      </c>
    </row>
    <row r="147" spans="1:19" s="30" customForma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 s="647"/>
    </row>
    <row r="148" spans="1:19" s="30" customFormat="1" x14ac:dyDescent="0.2">
      <c r="A148"/>
      <c r="B148" s="648" t="s">
        <v>9</v>
      </c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 s="647"/>
    </row>
    <row r="149" spans="1:19" x14ac:dyDescent="0.2">
      <c r="A149" t="s">
        <v>147</v>
      </c>
      <c r="B149" t="s">
        <v>282</v>
      </c>
      <c r="D149" s="21" t="s">
        <v>387</v>
      </c>
      <c r="F149" s="23">
        <f t="shared" ref="F149:Q149" si="68">F138*F145</f>
        <v>353.77</v>
      </c>
      <c r="G149" s="23">
        <f t="shared" si="68"/>
        <v>353.77</v>
      </c>
      <c r="H149" s="23">
        <f t="shared" si="68"/>
        <v>353.77</v>
      </c>
      <c r="I149" s="23">
        <f t="shared" si="68"/>
        <v>353.77</v>
      </c>
      <c r="J149" s="23">
        <f t="shared" si="68"/>
        <v>353.77</v>
      </c>
      <c r="K149" s="23">
        <f t="shared" si="68"/>
        <v>353.77368410680015</v>
      </c>
      <c r="L149" s="23">
        <f t="shared" si="68"/>
        <v>353.77</v>
      </c>
      <c r="M149" s="23">
        <f t="shared" si="68"/>
        <v>353.77</v>
      </c>
      <c r="N149" s="23">
        <f t="shared" si="68"/>
        <v>353.77</v>
      </c>
      <c r="O149" s="23">
        <f t="shared" si="68"/>
        <v>353.77</v>
      </c>
      <c r="P149" s="23">
        <f t="shared" si="68"/>
        <v>353.77</v>
      </c>
      <c r="Q149" s="23">
        <f t="shared" si="68"/>
        <v>353.77</v>
      </c>
      <c r="R149" s="100">
        <f>SUM(F149:Q149)</f>
        <v>4245.2436841068002</v>
      </c>
      <c r="S149"/>
    </row>
    <row r="150" spans="1:19" x14ac:dyDescent="0.2">
      <c r="A150" t="s">
        <v>147</v>
      </c>
      <c r="B150" t="s">
        <v>3</v>
      </c>
      <c r="D150" s="21" t="s">
        <v>387</v>
      </c>
      <c r="F150" s="23">
        <f t="shared" ref="F150:Q150" si="69">F139*F146</f>
        <v>22.689855000000001</v>
      </c>
      <c r="G150" s="23">
        <f t="shared" si="69"/>
        <v>8.0319374999999997</v>
      </c>
      <c r="H150" s="23">
        <f t="shared" si="69"/>
        <v>71.585932499999998</v>
      </c>
      <c r="I150" s="23">
        <f t="shared" si="69"/>
        <v>583.79069250000009</v>
      </c>
      <c r="J150" s="23">
        <f t="shared" si="69"/>
        <v>986.45751000000007</v>
      </c>
      <c r="K150" s="23">
        <f t="shared" si="69"/>
        <v>1292.5406475</v>
      </c>
      <c r="L150" s="23">
        <f t="shared" si="69"/>
        <v>779.87018250000006</v>
      </c>
      <c r="M150" s="23">
        <f t="shared" si="69"/>
        <v>1130.9498550000001</v>
      </c>
      <c r="N150" s="23">
        <f t="shared" si="69"/>
        <v>832.17946500000005</v>
      </c>
      <c r="O150" s="23">
        <f t="shared" si="69"/>
        <v>590.28108750000001</v>
      </c>
      <c r="P150" s="23">
        <f t="shared" si="69"/>
        <v>189.49772250000001</v>
      </c>
      <c r="Q150" s="23">
        <f t="shared" si="69"/>
        <v>11.035439999999999</v>
      </c>
      <c r="R150" s="100">
        <f>SUM(F150:Q150)</f>
        <v>6498.9103274999998</v>
      </c>
      <c r="S150"/>
    </row>
    <row r="151" spans="1:19" x14ac:dyDescent="0.2">
      <c r="A151" t="s">
        <v>130</v>
      </c>
      <c r="B151" s="30" t="s">
        <v>301</v>
      </c>
      <c r="D151" s="21" t="s">
        <v>387</v>
      </c>
      <c r="F151" s="23">
        <f t="shared" ref="F151:Q151" si="70">F140*F146</f>
        <v>5.3886000000000003E-2</v>
      </c>
      <c r="G151" s="23">
        <f t="shared" si="70"/>
        <v>1.9074999999999998E-2</v>
      </c>
      <c r="H151" s="23">
        <f t="shared" si="70"/>
        <v>0.17000899999999999</v>
      </c>
      <c r="I151" s="23">
        <f t="shared" si="70"/>
        <v>1.386441</v>
      </c>
      <c r="J151" s="23">
        <f t="shared" si="70"/>
        <v>2.3427320000000003</v>
      </c>
      <c r="K151" s="23">
        <f t="shared" si="70"/>
        <v>3.0696469999999998</v>
      </c>
      <c r="L151" s="23">
        <f t="shared" si="70"/>
        <v>1.852109</v>
      </c>
      <c r="M151" s="23">
        <f t="shared" si="70"/>
        <v>2.685886</v>
      </c>
      <c r="N151" s="23">
        <f t="shared" si="70"/>
        <v>1.9763380000000002</v>
      </c>
      <c r="O151" s="23">
        <f t="shared" si="70"/>
        <v>1.4018550000000001</v>
      </c>
      <c r="P151" s="23">
        <f t="shared" si="70"/>
        <v>0.45003699999999996</v>
      </c>
      <c r="Q151" s="23">
        <f t="shared" si="70"/>
        <v>2.6207999999999999E-2</v>
      </c>
      <c r="R151" s="23">
        <f>SUM(F151:Q151)</f>
        <v>15.434222999999999</v>
      </c>
      <c r="S151"/>
    </row>
    <row r="152" spans="1:19" x14ac:dyDescent="0.2">
      <c r="A152" t="s">
        <v>147</v>
      </c>
      <c r="B152" t="s">
        <v>237</v>
      </c>
      <c r="F152" s="23">
        <f t="shared" ref="F152:Q152" si="71">F141*F146</f>
        <v>0</v>
      </c>
      <c r="G152" s="23">
        <f t="shared" si="71"/>
        <v>0</v>
      </c>
      <c r="H152" s="23">
        <f t="shared" si="71"/>
        <v>0</v>
      </c>
      <c r="I152" s="23">
        <f t="shared" si="71"/>
        <v>0</v>
      </c>
      <c r="J152" s="23">
        <f t="shared" si="71"/>
        <v>0</v>
      </c>
      <c r="K152" s="23">
        <f t="shared" si="71"/>
        <v>0</v>
      </c>
      <c r="L152" s="23">
        <f t="shared" si="71"/>
        <v>0</v>
      </c>
      <c r="M152" s="23">
        <f t="shared" si="71"/>
        <v>0</v>
      </c>
      <c r="N152" s="23">
        <f t="shared" si="71"/>
        <v>0</v>
      </c>
      <c r="O152" s="23">
        <f t="shared" si="71"/>
        <v>0</v>
      </c>
      <c r="P152" s="23">
        <f t="shared" si="71"/>
        <v>0</v>
      </c>
      <c r="Q152" s="23">
        <f t="shared" si="71"/>
        <v>0</v>
      </c>
      <c r="R152" s="23">
        <f>SUM(F152:Q152)</f>
        <v>0</v>
      </c>
      <c r="S152"/>
    </row>
    <row r="153" spans="1:19" x14ac:dyDescent="0.2">
      <c r="A153" t="s">
        <v>551</v>
      </c>
      <c r="B153" t="s">
        <v>552</v>
      </c>
      <c r="D153">
        <v>149</v>
      </c>
      <c r="F153" s="23">
        <f>F142*F146</f>
        <v>0.83754240000000013</v>
      </c>
      <c r="G153" s="23">
        <f t="shared" ref="G153:Q153" si="72">G142*G146</f>
        <v>0.29648000000000002</v>
      </c>
      <c r="H153" s="23">
        <f t="shared" si="72"/>
        <v>2.6424256000000002</v>
      </c>
      <c r="I153" s="23">
        <f t="shared" si="72"/>
        <v>21.549254400000002</v>
      </c>
      <c r="J153" s="23">
        <f t="shared" si="72"/>
        <v>36.412748800000003</v>
      </c>
      <c r="K153" s="23">
        <f t="shared" si="72"/>
        <v>47.711084800000002</v>
      </c>
      <c r="L153" s="23">
        <f t="shared" si="72"/>
        <v>28.787065600000002</v>
      </c>
      <c r="M153" s="23">
        <f t="shared" si="72"/>
        <v>41.746342400000003</v>
      </c>
      <c r="N153" s="23">
        <f t="shared" si="72"/>
        <v>30.717939200000004</v>
      </c>
      <c r="O153" s="23">
        <f t="shared" si="72"/>
        <v>21.788832000000003</v>
      </c>
      <c r="P153" s="23">
        <f t="shared" si="72"/>
        <v>6.9948608000000005</v>
      </c>
      <c r="Q153" s="23">
        <f t="shared" si="72"/>
        <v>0.40734720000000002</v>
      </c>
      <c r="R153" s="23">
        <f>SUM(F153:Q153)</f>
        <v>239.89192320000004</v>
      </c>
      <c r="S153"/>
    </row>
    <row r="154" spans="1:19" x14ac:dyDescent="0.2">
      <c r="B154" t="s">
        <v>24</v>
      </c>
      <c r="F154" s="24">
        <f>SUM(F149:F153)</f>
        <v>377.3512834</v>
      </c>
      <c r="G154" s="24">
        <f t="shared" ref="G154:R154" si="73">SUM(G149:G153)</f>
        <v>362.11749249999997</v>
      </c>
      <c r="H154" s="24">
        <f t="shared" si="73"/>
        <v>428.16836710000001</v>
      </c>
      <c r="I154" s="24">
        <f t="shared" si="73"/>
        <v>960.49638790000006</v>
      </c>
      <c r="J154" s="24">
        <f t="shared" si="73"/>
        <v>1378.9829908000002</v>
      </c>
      <c r="K154" s="24">
        <f t="shared" si="73"/>
        <v>1697.0950634068001</v>
      </c>
      <c r="L154" s="24">
        <f t="shared" si="73"/>
        <v>1164.2793571</v>
      </c>
      <c r="M154" s="24">
        <f t="shared" si="73"/>
        <v>1529.1520834</v>
      </c>
      <c r="N154" s="24">
        <f t="shared" si="73"/>
        <v>1218.6437422000001</v>
      </c>
      <c r="O154" s="24">
        <f t="shared" si="73"/>
        <v>967.24177449999991</v>
      </c>
      <c r="P154" s="24">
        <f t="shared" si="73"/>
        <v>550.71262029999991</v>
      </c>
      <c r="Q154" s="24">
        <f t="shared" si="73"/>
        <v>365.23899519999998</v>
      </c>
      <c r="R154" s="24">
        <f t="shared" si="73"/>
        <v>10999.4801578068</v>
      </c>
      <c r="S154"/>
    </row>
    <row r="155" spans="1:19" x14ac:dyDescent="0.2"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100"/>
      <c r="S155"/>
    </row>
    <row r="156" spans="1:19" x14ac:dyDescent="0.2">
      <c r="A156" t="s">
        <v>305</v>
      </c>
      <c r="B156" t="s">
        <v>304</v>
      </c>
      <c r="F156" s="23">
        <f t="shared" ref="F156:Q156" si="74">F151</f>
        <v>5.3886000000000003E-2</v>
      </c>
      <c r="G156" s="23">
        <f t="shared" si="74"/>
        <v>1.9074999999999998E-2</v>
      </c>
      <c r="H156" s="23">
        <f t="shared" si="74"/>
        <v>0.17000899999999999</v>
      </c>
      <c r="I156" s="23">
        <f t="shared" si="74"/>
        <v>1.386441</v>
      </c>
      <c r="J156" s="23">
        <f t="shared" si="74"/>
        <v>2.3427320000000003</v>
      </c>
      <c r="K156" s="23">
        <f t="shared" si="74"/>
        <v>3.0696469999999998</v>
      </c>
      <c r="L156" s="23">
        <f t="shared" si="74"/>
        <v>1.852109</v>
      </c>
      <c r="M156" s="23">
        <f t="shared" si="74"/>
        <v>2.685886</v>
      </c>
      <c r="N156" s="23">
        <f t="shared" si="74"/>
        <v>1.9763380000000002</v>
      </c>
      <c r="O156" s="23">
        <f t="shared" si="74"/>
        <v>1.4018550000000001</v>
      </c>
      <c r="P156" s="23">
        <f t="shared" si="74"/>
        <v>0.45003699999999996</v>
      </c>
      <c r="Q156" s="23">
        <f t="shared" si="74"/>
        <v>2.6207999999999999E-2</v>
      </c>
      <c r="R156" s="100">
        <f>SUM(F156:Q156)</f>
        <v>15.434222999999999</v>
      </c>
      <c r="S156"/>
    </row>
    <row r="157" spans="1:19" x14ac:dyDescent="0.2">
      <c r="S157"/>
    </row>
    <row r="158" spans="1:19" x14ac:dyDescent="0.2">
      <c r="B158" s="15" t="s">
        <v>92</v>
      </c>
      <c r="C158" s="15"/>
      <c r="S158"/>
    </row>
    <row r="159" spans="1:19" x14ac:dyDescent="0.2">
      <c r="B159" s="15" t="s">
        <v>7</v>
      </c>
      <c r="C159" s="15"/>
      <c r="S159"/>
    </row>
    <row r="160" spans="1:19" x14ac:dyDescent="0.2">
      <c r="B160" t="s">
        <v>282</v>
      </c>
      <c r="D160">
        <v>41</v>
      </c>
      <c r="E160" t="s">
        <v>5</v>
      </c>
      <c r="F160" s="159">
        <f>'Rate Design C&amp;I'!$H$47</f>
        <v>106.43</v>
      </c>
      <c r="G160" s="159">
        <f>'Rate Design C&amp;I'!$H$47</f>
        <v>106.43</v>
      </c>
      <c r="H160" s="159">
        <f>'Rate Design C&amp;I'!$H$47</f>
        <v>106.43</v>
      </c>
      <c r="I160" s="159">
        <f>'Rate Design C&amp;I'!$H$47</f>
        <v>106.43</v>
      </c>
      <c r="J160" s="159">
        <f>'Rate Design C&amp;I'!$H$47</f>
        <v>106.43</v>
      </c>
      <c r="K160" s="159">
        <f>'Rate Design C&amp;I'!$H$47</f>
        <v>106.43</v>
      </c>
      <c r="L160" s="159">
        <f>'Rate Design C&amp;I'!$H$47</f>
        <v>106.43</v>
      </c>
      <c r="M160" s="159">
        <f>'Rate Design C&amp;I'!$H$47</f>
        <v>106.43</v>
      </c>
      <c r="N160" s="159">
        <f>'Rate Design C&amp;I'!$H$47</f>
        <v>106.43</v>
      </c>
      <c r="O160" s="159">
        <f>'Rate Design C&amp;I'!$H$47</f>
        <v>106.43</v>
      </c>
      <c r="P160" s="159">
        <f>'Rate Design C&amp;I'!$H$47</f>
        <v>106.43</v>
      </c>
      <c r="Q160" s="159">
        <f>'Rate Design C&amp;I'!$H$47</f>
        <v>106.43</v>
      </c>
      <c r="R160" s="26"/>
      <c r="S160"/>
    </row>
    <row r="161" spans="1:19" x14ac:dyDescent="0.2">
      <c r="B161" t="s">
        <v>3</v>
      </c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20"/>
    </row>
    <row r="162" spans="1:19" x14ac:dyDescent="0.2">
      <c r="C162" t="s">
        <v>15</v>
      </c>
      <c r="D162">
        <v>41</v>
      </c>
      <c r="E162" t="s">
        <v>6</v>
      </c>
      <c r="F162" s="160">
        <f>'Rate Design C&amp;I'!$H$52</f>
        <v>0.12876000000000001</v>
      </c>
      <c r="G162" s="160">
        <f>'Rate Design C&amp;I'!$H$52</f>
        <v>0.12876000000000001</v>
      </c>
      <c r="H162" s="160">
        <f>'Rate Design C&amp;I'!$H$52</f>
        <v>0.12876000000000001</v>
      </c>
      <c r="I162" s="160">
        <f>'Rate Design C&amp;I'!$H$52</f>
        <v>0.12876000000000001</v>
      </c>
      <c r="J162" s="160">
        <f>'Rate Design C&amp;I'!$H$52</f>
        <v>0.12876000000000001</v>
      </c>
      <c r="K162" s="160">
        <f>'Rate Design C&amp;I'!$H$52</f>
        <v>0.12876000000000001</v>
      </c>
      <c r="L162" s="160">
        <f>'Rate Design C&amp;I'!$H$52</f>
        <v>0.12876000000000001</v>
      </c>
      <c r="M162" s="160">
        <f>'Rate Design C&amp;I'!$H$52</f>
        <v>0.12876000000000001</v>
      </c>
      <c r="N162" s="160">
        <f>'Rate Design C&amp;I'!$H$52</f>
        <v>0.12876000000000001</v>
      </c>
      <c r="O162" s="160">
        <f>'Rate Design C&amp;I'!$H$52</f>
        <v>0.12876000000000001</v>
      </c>
      <c r="P162" s="160">
        <f>'Rate Design C&amp;I'!$H$52</f>
        <v>0.12876000000000001</v>
      </c>
      <c r="Q162" s="160">
        <f>'Rate Design C&amp;I'!$H$52</f>
        <v>0.12876000000000001</v>
      </c>
      <c r="R162" s="20"/>
    </row>
    <row r="163" spans="1:19" x14ac:dyDescent="0.2">
      <c r="C163" t="s">
        <v>16</v>
      </c>
      <c r="D163">
        <v>41</v>
      </c>
      <c r="E163" t="s">
        <v>6</v>
      </c>
      <c r="F163" s="160">
        <f>'Rate Design C&amp;I'!$H$54</f>
        <v>0.10364</v>
      </c>
      <c r="G163" s="160">
        <f>'Rate Design C&amp;I'!$H$54</f>
        <v>0.10364</v>
      </c>
      <c r="H163" s="160">
        <f>'Rate Design C&amp;I'!$H$54</f>
        <v>0.10364</v>
      </c>
      <c r="I163" s="160">
        <f>'Rate Design C&amp;I'!$H$54</f>
        <v>0.10364</v>
      </c>
      <c r="J163" s="160">
        <f>'Rate Design C&amp;I'!$H$54</f>
        <v>0.10364</v>
      </c>
      <c r="K163" s="160">
        <f>'Rate Design C&amp;I'!$H$54</f>
        <v>0.10364</v>
      </c>
      <c r="L163" s="160">
        <f>'Rate Design C&amp;I'!$H$54</f>
        <v>0.10364</v>
      </c>
      <c r="M163" s="160">
        <f>'Rate Design C&amp;I'!$H$54</f>
        <v>0.10364</v>
      </c>
      <c r="N163" s="160">
        <f>'Rate Design C&amp;I'!$H$54</f>
        <v>0.10364</v>
      </c>
      <c r="O163" s="160">
        <f>'Rate Design C&amp;I'!$H$54</f>
        <v>0.10364</v>
      </c>
      <c r="P163" s="160">
        <f>'Rate Design C&amp;I'!$H$54</f>
        <v>0.10364</v>
      </c>
      <c r="Q163" s="160">
        <f>'Rate Design C&amp;I'!$H$54</f>
        <v>0.10364</v>
      </c>
      <c r="R163" s="20"/>
    </row>
    <row r="164" spans="1:19" x14ac:dyDescent="0.2">
      <c r="B164" t="s">
        <v>441</v>
      </c>
      <c r="D164">
        <v>41</v>
      </c>
      <c r="E164" t="s">
        <v>6</v>
      </c>
      <c r="F164" s="160">
        <f>'Rate Design C&amp;I'!$H$56</f>
        <v>6.0899999999999999E-3</v>
      </c>
      <c r="G164" s="160">
        <f>'Rate Design C&amp;I'!$H$56</f>
        <v>6.0899999999999999E-3</v>
      </c>
      <c r="H164" s="160">
        <f>'Rate Design C&amp;I'!$H$56</f>
        <v>6.0899999999999999E-3</v>
      </c>
      <c r="I164" s="160">
        <f>'Rate Design C&amp;I'!$H$56</f>
        <v>6.0899999999999999E-3</v>
      </c>
      <c r="J164" s="160">
        <f>'Rate Design C&amp;I'!$H$56</f>
        <v>6.0899999999999999E-3</v>
      </c>
      <c r="K164" s="160">
        <f>'Rate Design C&amp;I'!$H$56</f>
        <v>6.0899999999999999E-3</v>
      </c>
      <c r="L164" s="160">
        <f>'Rate Design C&amp;I'!$H$56</f>
        <v>6.0899999999999999E-3</v>
      </c>
      <c r="M164" s="160">
        <f>'Rate Design C&amp;I'!$H$56</f>
        <v>6.0899999999999999E-3</v>
      </c>
      <c r="N164" s="160">
        <f>'Rate Design C&amp;I'!$H$56</f>
        <v>6.0899999999999999E-3</v>
      </c>
      <c r="O164" s="160">
        <f>'Rate Design C&amp;I'!$H$56</f>
        <v>6.0899999999999999E-3</v>
      </c>
      <c r="P164" s="160">
        <f>'Rate Design C&amp;I'!$H$56</f>
        <v>6.0899999999999999E-3</v>
      </c>
      <c r="Q164" s="160">
        <f>'Rate Design C&amp;I'!$H$56</f>
        <v>6.0899999999999999E-3</v>
      </c>
      <c r="R164" s="20"/>
    </row>
    <row r="165" spans="1:19" x14ac:dyDescent="0.2">
      <c r="A165" s="30"/>
      <c r="B165" t="s">
        <v>303</v>
      </c>
      <c r="D165">
        <v>101</v>
      </c>
      <c r="E165" t="s">
        <v>6</v>
      </c>
      <c r="F165" s="182">
        <v>0.2271</v>
      </c>
      <c r="G165" s="182">
        <v>0.2271</v>
      </c>
      <c r="H165" s="182">
        <v>0.2271</v>
      </c>
      <c r="I165" s="182">
        <v>0.2271</v>
      </c>
      <c r="J165" s="182">
        <v>0.2271</v>
      </c>
      <c r="K165" s="182">
        <v>0.2271</v>
      </c>
      <c r="L165" s="182">
        <v>0.2271</v>
      </c>
      <c r="M165" s="182">
        <v>0.2271</v>
      </c>
      <c r="N165" s="182">
        <v>0.2271</v>
      </c>
      <c r="O165" s="182">
        <v>0.2271</v>
      </c>
      <c r="P165" s="182">
        <v>0.2271</v>
      </c>
      <c r="Q165" s="182">
        <v>0.2271</v>
      </c>
      <c r="R165" s="20"/>
    </row>
    <row r="166" spans="1:19" x14ac:dyDescent="0.2">
      <c r="A166" s="30"/>
      <c r="B166" t="s">
        <v>553</v>
      </c>
      <c r="D166">
        <v>149</v>
      </c>
      <c r="E166" t="s">
        <v>6</v>
      </c>
      <c r="F166" s="182">
        <v>6.2199999999999998E-3</v>
      </c>
      <c r="G166" s="182">
        <v>6.2199999999999998E-3</v>
      </c>
      <c r="H166" s="182">
        <v>6.2199999999999998E-3</v>
      </c>
      <c r="I166" s="182">
        <v>6.2199999999999998E-3</v>
      </c>
      <c r="J166" s="182">
        <v>6.2199999999999998E-3</v>
      </c>
      <c r="K166" s="182">
        <v>6.2199999999999998E-3</v>
      </c>
      <c r="L166" s="182">
        <v>6.2199999999999998E-3</v>
      </c>
      <c r="M166" s="182">
        <v>6.2199999999999998E-3</v>
      </c>
      <c r="N166" s="182">
        <v>6.2199999999999998E-3</v>
      </c>
      <c r="O166" s="182">
        <v>6.2199999999999998E-3</v>
      </c>
      <c r="P166" s="182">
        <v>6.2199999999999998E-3</v>
      </c>
      <c r="Q166" s="182">
        <v>6.2199999999999998E-3</v>
      </c>
      <c r="R166" s="20"/>
    </row>
    <row r="167" spans="1:19" x14ac:dyDescent="0.2">
      <c r="B167" t="s">
        <v>18</v>
      </c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20"/>
    </row>
    <row r="168" spans="1:19" x14ac:dyDescent="0.2">
      <c r="A168" s="30"/>
      <c r="C168" t="s">
        <v>19</v>
      </c>
      <c r="D168">
        <v>41</v>
      </c>
      <c r="E168" t="s">
        <v>6</v>
      </c>
      <c r="F168" s="159">
        <f>'Rate Design C&amp;I'!$H$49</f>
        <v>1.17</v>
      </c>
      <c r="G168" s="159">
        <f>'Rate Design C&amp;I'!$H$49</f>
        <v>1.17</v>
      </c>
      <c r="H168" s="159">
        <f>'Rate Design C&amp;I'!$H$49</f>
        <v>1.17</v>
      </c>
      <c r="I168" s="159">
        <f>'Rate Design C&amp;I'!$H$49</f>
        <v>1.17</v>
      </c>
      <c r="J168" s="159">
        <f>'Rate Design C&amp;I'!$H$49</f>
        <v>1.17</v>
      </c>
      <c r="K168" s="159">
        <f>'Rate Design C&amp;I'!$H$49</f>
        <v>1.17</v>
      </c>
      <c r="L168" s="159">
        <f>'Rate Design C&amp;I'!$H$49</f>
        <v>1.17</v>
      </c>
      <c r="M168" s="159">
        <f>'Rate Design C&amp;I'!$H$49</f>
        <v>1.17</v>
      </c>
      <c r="N168" s="159">
        <f>'Rate Design C&amp;I'!$H$49</f>
        <v>1.17</v>
      </c>
      <c r="O168" s="159">
        <f>'Rate Design C&amp;I'!$H$49</f>
        <v>1.17</v>
      </c>
      <c r="P168" s="159">
        <f>'Rate Design C&amp;I'!$H$49</f>
        <v>1.17</v>
      </c>
      <c r="Q168" s="159">
        <f>'Rate Design C&amp;I'!$H$49</f>
        <v>1.17</v>
      </c>
      <c r="R168" s="20"/>
    </row>
    <row r="169" spans="1:19" x14ac:dyDescent="0.2">
      <c r="A169" s="30"/>
      <c r="C169" t="s">
        <v>20</v>
      </c>
      <c r="D169">
        <v>101</v>
      </c>
      <c r="E169" t="s">
        <v>6</v>
      </c>
      <c r="F169" s="183">
        <v>1.05</v>
      </c>
      <c r="G169" s="183">
        <v>1.05</v>
      </c>
      <c r="H169" s="183">
        <v>1.05</v>
      </c>
      <c r="I169" s="183">
        <v>1.05</v>
      </c>
      <c r="J169" s="183">
        <v>1.05</v>
      </c>
      <c r="K169" s="183">
        <v>1.05</v>
      </c>
      <c r="L169" s="183">
        <v>1.05</v>
      </c>
      <c r="M169" s="183">
        <v>1.05</v>
      </c>
      <c r="N169" s="183">
        <v>1.05</v>
      </c>
      <c r="O169" s="183">
        <v>1.05</v>
      </c>
      <c r="P169" s="183">
        <v>1.05</v>
      </c>
      <c r="Q169" s="183">
        <v>1.05</v>
      </c>
      <c r="R169" s="20"/>
    </row>
    <row r="170" spans="1:19" x14ac:dyDescent="0.2">
      <c r="B170" t="s">
        <v>21</v>
      </c>
      <c r="D170">
        <v>41</v>
      </c>
      <c r="E170" t="s">
        <v>22</v>
      </c>
      <c r="F170" s="159">
        <f>'Rate Design C&amp;I'!$H$48</f>
        <v>115.88</v>
      </c>
      <c r="G170" s="159">
        <f>'Rate Design C&amp;I'!$H$48</f>
        <v>115.88</v>
      </c>
      <c r="H170" s="159">
        <f>'Rate Design C&amp;I'!$H$48</f>
        <v>115.88</v>
      </c>
      <c r="I170" s="159">
        <f>'Rate Design C&amp;I'!$H$48</f>
        <v>115.88</v>
      </c>
      <c r="J170" s="159">
        <f>'Rate Design C&amp;I'!$H$48</f>
        <v>115.88</v>
      </c>
      <c r="K170" s="159">
        <f>'Rate Design C&amp;I'!$H$48</f>
        <v>115.88</v>
      </c>
      <c r="L170" s="159">
        <f>'Rate Design C&amp;I'!$H$48</f>
        <v>115.88</v>
      </c>
      <c r="M170" s="159">
        <f>'Rate Design C&amp;I'!$H$48</f>
        <v>115.88</v>
      </c>
      <c r="N170" s="159">
        <f>'Rate Design C&amp;I'!$H$48</f>
        <v>115.88</v>
      </c>
      <c r="O170" s="159">
        <f>'Rate Design C&amp;I'!$H$48</f>
        <v>115.88</v>
      </c>
      <c r="P170" s="159">
        <f>'Rate Design C&amp;I'!$H$48</f>
        <v>115.88</v>
      </c>
      <c r="Q170" s="159">
        <f>'Rate Design C&amp;I'!$H$48</f>
        <v>115.88</v>
      </c>
      <c r="R170" s="20"/>
    </row>
    <row r="171" spans="1:19" x14ac:dyDescent="0.2">
      <c r="B171" t="s">
        <v>304</v>
      </c>
      <c r="E171" t="s">
        <v>6</v>
      </c>
      <c r="F171" s="182">
        <v>0.21678</v>
      </c>
      <c r="G171" s="182">
        <v>0.21678</v>
      </c>
      <c r="H171" s="182">
        <v>0.21678</v>
      </c>
      <c r="I171" s="182">
        <v>0.21678</v>
      </c>
      <c r="J171" s="182">
        <v>0.21678</v>
      </c>
      <c r="K171" s="182">
        <v>0.21678</v>
      </c>
      <c r="L171" s="182">
        <v>0.21678</v>
      </c>
      <c r="M171" s="182">
        <v>0.21678</v>
      </c>
      <c r="N171" s="182">
        <v>0.21678</v>
      </c>
      <c r="O171" s="182">
        <v>0.21678</v>
      </c>
      <c r="P171" s="182">
        <v>0.21678</v>
      </c>
      <c r="Q171" s="182">
        <v>0.21678</v>
      </c>
      <c r="R171" s="20"/>
    </row>
    <row r="172" spans="1:19" x14ac:dyDescent="0.2">
      <c r="B172" t="s">
        <v>310</v>
      </c>
      <c r="E172" t="s">
        <v>6</v>
      </c>
      <c r="F172" s="183">
        <v>1</v>
      </c>
      <c r="G172" s="183">
        <v>1</v>
      </c>
      <c r="H172" s="183">
        <v>1</v>
      </c>
      <c r="I172" s="183">
        <v>1</v>
      </c>
      <c r="J172" s="183">
        <v>1</v>
      </c>
      <c r="K172" s="183">
        <v>1</v>
      </c>
      <c r="L172" s="183">
        <v>1</v>
      </c>
      <c r="M172" s="183">
        <v>1</v>
      </c>
      <c r="N172" s="183">
        <v>1</v>
      </c>
      <c r="O172" s="183">
        <v>1</v>
      </c>
      <c r="P172" s="183">
        <v>1</v>
      </c>
      <c r="Q172" s="183">
        <v>1</v>
      </c>
      <c r="R172" s="20"/>
      <c r="S172"/>
    </row>
    <row r="174" spans="1:19" x14ac:dyDescent="0.2">
      <c r="B174" s="15" t="s">
        <v>8</v>
      </c>
      <c r="S174"/>
    </row>
    <row r="175" spans="1:19" x14ac:dyDescent="0.2">
      <c r="B175" t="s">
        <v>22</v>
      </c>
      <c r="E175" t="s">
        <v>22</v>
      </c>
      <c r="F175" s="63">
        <f>'(R) Data'!C18</f>
        <v>1287.9778656126482</v>
      </c>
      <c r="G175" s="63">
        <f>'(R) Data'!D18</f>
        <v>1316.455248133509</v>
      </c>
      <c r="H175" s="63">
        <f>'(R) Data'!E18</f>
        <v>1244.5072463768115</v>
      </c>
      <c r="I175" s="63">
        <f>'(R) Data'!F18</f>
        <v>1291.2735177865613</v>
      </c>
      <c r="J175" s="63">
        <f>'(R) Data'!G18</f>
        <v>1236.0861660079051</v>
      </c>
      <c r="K175" s="63">
        <f>'(R) Data'!H18</f>
        <v>1293.4686895375128</v>
      </c>
      <c r="L175" s="63">
        <f>'(R) Data'!I18</f>
        <v>1289.8973869259485</v>
      </c>
      <c r="M175" s="63">
        <f>'(R) Data'!J18</f>
        <v>1185.0315131521834</v>
      </c>
      <c r="N175" s="63">
        <f>'(R) Data'!K18</f>
        <v>1331.4759093671325</v>
      </c>
      <c r="O175" s="63">
        <f>'(R) Data'!L18</f>
        <v>1305.7300112857019</v>
      </c>
      <c r="P175" s="63">
        <f>'(R) Data'!M18</f>
        <v>1296.0508315324626</v>
      </c>
      <c r="Q175" s="63">
        <f>'(R) Data'!N18</f>
        <v>817.19421215822592</v>
      </c>
      <c r="R175" s="107">
        <f>SUM(F175:Q175)</f>
        <v>14895.148597876603</v>
      </c>
      <c r="S175"/>
    </row>
    <row r="176" spans="1:19" x14ac:dyDescent="0.2">
      <c r="B176" t="s">
        <v>30</v>
      </c>
      <c r="D176" s="30"/>
      <c r="E176" s="30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91"/>
      <c r="S176"/>
    </row>
    <row r="177" spans="1:19" s="30" customFormat="1" x14ac:dyDescent="0.2">
      <c r="A177"/>
      <c r="B177"/>
      <c r="C177" t="s">
        <v>241</v>
      </c>
      <c r="E177" s="30" t="s">
        <v>10</v>
      </c>
      <c r="F177" s="161">
        <f>'(R) Therms By Block'!B9</f>
        <v>886832.65700000001</v>
      </c>
      <c r="G177" s="170">
        <f>'(R) Therms By Block'!C9</f>
        <v>884440.07</v>
      </c>
      <c r="H177" s="170">
        <f>'(R) Therms By Block'!D9</f>
        <v>973850.66299999994</v>
      </c>
      <c r="I177" s="170">
        <f>'(R) Therms By Block'!E9</f>
        <v>1142376.115</v>
      </c>
      <c r="J177" s="170">
        <f>'(R) Therms By Block'!F9</f>
        <v>1109547.08</v>
      </c>
      <c r="K177" s="170">
        <f>'(R) Therms By Block'!G9</f>
        <v>1160802.577</v>
      </c>
      <c r="L177" s="170">
        <f>'(R) Therms By Block'!H9</f>
        <v>1157860.787</v>
      </c>
      <c r="M177" s="170">
        <f>'(R) Therms By Block'!I9</f>
        <v>1062897.169</v>
      </c>
      <c r="N177" s="170">
        <f>'(R) Therms By Block'!J9</f>
        <v>1190628.3959999999</v>
      </c>
      <c r="O177" s="170">
        <f>'(R) Therms By Block'!K9</f>
        <v>1151326.18</v>
      </c>
      <c r="P177" s="170">
        <f>'(R) Therms By Block'!L9</f>
        <v>1069778.638</v>
      </c>
      <c r="Q177" s="170">
        <f>'(R) Therms By Block'!M9</f>
        <v>624301.44700000004</v>
      </c>
      <c r="R177" s="107">
        <f>SUM(F177:Q177)</f>
        <v>12414641.779000001</v>
      </c>
    </row>
    <row r="178" spans="1:19" s="30" customFormat="1" x14ac:dyDescent="0.2">
      <c r="C178" t="s">
        <v>242</v>
      </c>
      <c r="E178" s="30" t="s">
        <v>10</v>
      </c>
      <c r="F178" s="170">
        <f>'(R) Therms By Block'!B10</f>
        <v>1083303.8770000001</v>
      </c>
      <c r="G178" s="170">
        <f>'(R) Therms By Block'!C10</f>
        <v>1035590.325</v>
      </c>
      <c r="H178" s="170">
        <f>'(R) Therms By Block'!D10</f>
        <v>1324279.4210000001</v>
      </c>
      <c r="I178" s="170">
        <f>'(R) Therms By Block'!E10</f>
        <v>2293452.0189999999</v>
      </c>
      <c r="J178" s="170">
        <f>'(R) Therms By Block'!F10</f>
        <v>2912216.0520000001</v>
      </c>
      <c r="K178" s="170">
        <f>'(R) Therms By Block'!G10</f>
        <v>3410283.6340000001</v>
      </c>
      <c r="L178" s="170">
        <f>'(R) Therms By Block'!H10</f>
        <v>3303141.4559999998</v>
      </c>
      <c r="M178" s="170">
        <f>'(R) Therms By Block'!I10</f>
        <v>3137631.9730000002</v>
      </c>
      <c r="N178" s="170">
        <f>'(R) Therms By Block'!J10</f>
        <v>3158401.8859999999</v>
      </c>
      <c r="O178" s="170">
        <f>'(R) Therms By Block'!K10</f>
        <v>2445650.395</v>
      </c>
      <c r="P178" s="170">
        <f>'(R) Therms By Block'!L10</f>
        <v>1621469.713</v>
      </c>
      <c r="Q178" s="170">
        <f>'(R) Therms By Block'!M10</f>
        <v>790567.19799999997</v>
      </c>
      <c r="R178" s="107">
        <f>SUM(F178:Q178)</f>
        <v>26515987.948999997</v>
      </c>
    </row>
    <row r="179" spans="1:19" x14ac:dyDescent="0.2">
      <c r="A179" s="30"/>
      <c r="B179" s="30"/>
      <c r="C179" t="s">
        <v>16</v>
      </c>
      <c r="D179" s="30"/>
      <c r="E179" s="30" t="s">
        <v>10</v>
      </c>
      <c r="F179" s="107">
        <f t="shared" ref="F179:N179" si="75">F180-F177-F178</f>
        <v>466554.5699999996</v>
      </c>
      <c r="G179" s="107">
        <f t="shared" si="75"/>
        <v>385023.02100000042</v>
      </c>
      <c r="H179" s="107">
        <f t="shared" si="75"/>
        <v>570645.81799999974</v>
      </c>
      <c r="I179" s="107">
        <f t="shared" si="75"/>
        <v>1008265.2689999999</v>
      </c>
      <c r="J179" s="107">
        <f t="shared" si="75"/>
        <v>1781232.83</v>
      </c>
      <c r="K179" s="107">
        <f t="shared" si="75"/>
        <v>2232703.0239999997</v>
      </c>
      <c r="L179" s="107">
        <f t="shared" si="75"/>
        <v>2753328.6930000004</v>
      </c>
      <c r="M179" s="107">
        <f t="shared" si="75"/>
        <v>1792421.9410000006</v>
      </c>
      <c r="N179" s="107">
        <f t="shared" si="75"/>
        <v>1912575.4010000005</v>
      </c>
      <c r="O179" s="107">
        <f t="shared" ref="O179:Q179" si="76">O180-O177-O178</f>
        <v>1329123.5960000004</v>
      </c>
      <c r="P179" s="107">
        <f t="shared" si="76"/>
        <v>1065385.1719999998</v>
      </c>
      <c r="Q179" s="107">
        <f t="shared" si="76"/>
        <v>273617.25100000005</v>
      </c>
      <c r="R179" s="107">
        <f>SUM(F179:Q179)</f>
        <v>15570876.586000003</v>
      </c>
      <c r="S179"/>
    </row>
    <row r="180" spans="1:19" s="30" customFormat="1" x14ac:dyDescent="0.2">
      <c r="A180"/>
      <c r="B180"/>
      <c r="C180" t="s">
        <v>17</v>
      </c>
      <c r="D180"/>
      <c r="E180" t="s">
        <v>10</v>
      </c>
      <c r="F180" s="110">
        <f>'Weather Adj'!D172</f>
        <v>2436691.1039999998</v>
      </c>
      <c r="G180" s="110">
        <f>'Weather Adj'!E172</f>
        <v>2305053.4160000002</v>
      </c>
      <c r="H180" s="110">
        <f>'Weather Adj'!F172</f>
        <v>2868775.9019999998</v>
      </c>
      <c r="I180" s="110">
        <f>'Weather Adj'!G172</f>
        <v>4444093.4029999999</v>
      </c>
      <c r="J180" s="110">
        <f>'Weather Adj'!H172</f>
        <v>5802995.9620000003</v>
      </c>
      <c r="K180" s="110">
        <f>'Weather Adj'!I172</f>
        <v>6803789.2349999994</v>
      </c>
      <c r="L180" s="110">
        <f>'Weather Adj'!J172</f>
        <v>7214330.9359999998</v>
      </c>
      <c r="M180" s="110">
        <f>'Weather Adj'!K172</f>
        <v>5992951.0830000006</v>
      </c>
      <c r="N180" s="110">
        <f>'Weather Adj'!L172</f>
        <v>6261605.6830000002</v>
      </c>
      <c r="O180" s="110">
        <f>'Weather Adj'!M172</f>
        <v>4926100.1710000001</v>
      </c>
      <c r="P180" s="110">
        <f>'Weather Adj'!N172</f>
        <v>3756633.523</v>
      </c>
      <c r="Q180" s="110">
        <f>'Weather Adj'!O172</f>
        <v>1688485.8959999999</v>
      </c>
      <c r="R180" s="108">
        <f>SUM(R177:R179)</f>
        <v>54501506.314000003</v>
      </c>
    </row>
    <row r="181" spans="1:19" s="30" customFormat="1" x14ac:dyDescent="0.2">
      <c r="B181" s="30" t="s">
        <v>29</v>
      </c>
      <c r="E181" s="30" t="s">
        <v>100</v>
      </c>
      <c r="F181" s="76">
        <f>'(R) Data'!C39</f>
        <v>299206.70899999997</v>
      </c>
      <c r="G181" s="156">
        <f>'(R) Data'!D39</f>
        <v>286382.19699999999</v>
      </c>
      <c r="H181" s="156">
        <f>'(R) Data'!E39</f>
        <v>273422.99099999998</v>
      </c>
      <c r="I181" s="156">
        <f>'(R) Data'!F39</f>
        <v>280968.92</v>
      </c>
      <c r="J181" s="156">
        <f>'(R) Data'!G39</f>
        <v>269903.56099999999</v>
      </c>
      <c r="K181" s="156">
        <f>'(R) Data'!H39</f>
        <v>284689.35600000003</v>
      </c>
      <c r="L181" s="156">
        <f>'(R) Data'!I39</f>
        <v>289438.478</v>
      </c>
      <c r="M181" s="156">
        <f>'(R) Data'!J39</f>
        <v>267079.92800000001</v>
      </c>
      <c r="N181" s="156">
        <f>'(R) Data'!K39</f>
        <v>290554.50799999997</v>
      </c>
      <c r="O181" s="156">
        <f>'(R) Data'!L39</f>
        <v>287258.95400000003</v>
      </c>
      <c r="P181" s="156">
        <f>'(R) Data'!M39</f>
        <v>285611.61800000002</v>
      </c>
      <c r="Q181" s="156">
        <f>'(R) Data'!N39</f>
        <v>338595.58</v>
      </c>
      <c r="R181" s="107">
        <f>SUM(F181:Q181)</f>
        <v>3453112.8</v>
      </c>
    </row>
    <row r="182" spans="1:19" x14ac:dyDescent="0.2">
      <c r="A182" s="30"/>
      <c r="B182" s="30" t="s">
        <v>21</v>
      </c>
      <c r="C182" s="30"/>
      <c r="D182" s="30"/>
      <c r="E182" s="30" t="s">
        <v>22</v>
      </c>
      <c r="F182" s="107">
        <f>F175</f>
        <v>1287.9778656126482</v>
      </c>
      <c r="G182" s="107">
        <f t="shared" ref="G182:N182" si="77">G175</f>
        <v>1316.455248133509</v>
      </c>
      <c r="H182" s="107">
        <f t="shared" si="77"/>
        <v>1244.5072463768115</v>
      </c>
      <c r="I182" s="107">
        <f t="shared" si="77"/>
        <v>1291.2735177865613</v>
      </c>
      <c r="J182" s="107">
        <f t="shared" si="77"/>
        <v>1236.0861660079051</v>
      </c>
      <c r="K182" s="107">
        <f t="shared" si="77"/>
        <v>1293.4686895375128</v>
      </c>
      <c r="L182" s="107">
        <f t="shared" si="77"/>
        <v>1289.8973869259485</v>
      </c>
      <c r="M182" s="107">
        <f t="shared" si="77"/>
        <v>1185.0315131521834</v>
      </c>
      <c r="N182" s="107">
        <f t="shared" si="77"/>
        <v>1331.4759093671325</v>
      </c>
      <c r="O182" s="107">
        <f t="shared" ref="O182:Q182" si="78">O175</f>
        <v>1305.7300112857019</v>
      </c>
      <c r="P182" s="107">
        <f t="shared" si="78"/>
        <v>1296.0508315324626</v>
      </c>
      <c r="Q182" s="107">
        <f t="shared" si="78"/>
        <v>817.19421215822592</v>
      </c>
      <c r="R182" s="107">
        <f>SUM(F182:Q182)</f>
        <v>14895.148597876603</v>
      </c>
      <c r="S182"/>
    </row>
    <row r="183" spans="1:19" x14ac:dyDescent="0.2"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/>
    </row>
    <row r="184" spans="1:19" x14ac:dyDescent="0.2">
      <c r="B184" s="15" t="s">
        <v>9</v>
      </c>
      <c r="R184" s="102"/>
      <c r="S184"/>
    </row>
    <row r="185" spans="1:19" x14ac:dyDescent="0.2">
      <c r="A185" t="s">
        <v>147</v>
      </c>
      <c r="B185" t="s">
        <v>282</v>
      </c>
      <c r="D185">
        <v>41</v>
      </c>
      <c r="F185" s="23">
        <f t="shared" ref="F185:N185" si="79">F160*F175</f>
        <v>137079.48423715416</v>
      </c>
      <c r="G185" s="23">
        <f t="shared" si="79"/>
        <v>140110.33205884937</v>
      </c>
      <c r="H185" s="23">
        <f t="shared" si="79"/>
        <v>132452.90623188406</v>
      </c>
      <c r="I185" s="23">
        <f t="shared" si="79"/>
        <v>137430.24049802372</v>
      </c>
      <c r="J185" s="23">
        <f t="shared" si="79"/>
        <v>131556.65064822134</v>
      </c>
      <c r="K185" s="23">
        <f t="shared" si="79"/>
        <v>137663.87262747748</v>
      </c>
      <c r="L185" s="23">
        <f t="shared" si="79"/>
        <v>137283.77889052872</v>
      </c>
      <c r="M185" s="23">
        <f t="shared" si="79"/>
        <v>126122.90394478689</v>
      </c>
      <c r="N185" s="23">
        <f t="shared" si="79"/>
        <v>141708.98103394391</v>
      </c>
      <c r="O185" s="23">
        <f t="shared" ref="O185:Q185" si="80">O160*O175</f>
        <v>138968.84510113727</v>
      </c>
      <c r="P185" s="23">
        <f t="shared" si="80"/>
        <v>137938.69</v>
      </c>
      <c r="Q185" s="23">
        <f t="shared" si="80"/>
        <v>86973.98</v>
      </c>
      <c r="R185" s="100">
        <f>SUM(F185:Q185)</f>
        <v>1585290.6652720068</v>
      </c>
      <c r="S185"/>
    </row>
    <row r="186" spans="1:19" x14ac:dyDescent="0.2">
      <c r="B186" t="s">
        <v>3</v>
      </c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100"/>
      <c r="S186"/>
    </row>
    <row r="187" spans="1:19" x14ac:dyDescent="0.2">
      <c r="C187" t="s">
        <v>241</v>
      </c>
      <c r="F187" s="104">
        <v>0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104">
        <v>0</v>
      </c>
      <c r="O187" s="104">
        <v>0</v>
      </c>
      <c r="P187" s="104">
        <v>0</v>
      </c>
      <c r="Q187" s="104">
        <v>0</v>
      </c>
      <c r="R187" s="104">
        <v>0</v>
      </c>
      <c r="S187"/>
    </row>
    <row r="188" spans="1:19" x14ac:dyDescent="0.2">
      <c r="C188" t="s">
        <v>242</v>
      </c>
      <c r="D188">
        <v>41</v>
      </c>
      <c r="F188" s="23">
        <f t="shared" ref="F188:N188" si="81">F162*F178</f>
        <v>139486.20720252002</v>
      </c>
      <c r="G188" s="23">
        <f t="shared" si="81"/>
        <v>133342.610247</v>
      </c>
      <c r="H188" s="23">
        <f t="shared" si="81"/>
        <v>170514.21824796003</v>
      </c>
      <c r="I188" s="23">
        <f t="shared" si="81"/>
        <v>295304.88196644001</v>
      </c>
      <c r="J188" s="23">
        <f t="shared" si="81"/>
        <v>374976.93885552004</v>
      </c>
      <c r="K188" s="23">
        <f t="shared" si="81"/>
        <v>439108.12071384006</v>
      </c>
      <c r="L188" s="23">
        <f t="shared" si="81"/>
        <v>425312.49387455999</v>
      </c>
      <c r="M188" s="23">
        <f t="shared" si="81"/>
        <v>404001.49284348008</v>
      </c>
      <c r="N188" s="23">
        <f t="shared" si="81"/>
        <v>406675.82684136002</v>
      </c>
      <c r="O188" s="23">
        <f t="shared" ref="O188:Q188" si="82">O162*O178</f>
        <v>314901.94486020005</v>
      </c>
      <c r="P188" s="23">
        <f t="shared" si="82"/>
        <v>208780.44024588002</v>
      </c>
      <c r="Q188" s="23">
        <f t="shared" si="82"/>
        <v>101793.43241448</v>
      </c>
      <c r="R188" s="100">
        <f>SUM(F188:Q188)</f>
        <v>3414198.6083132401</v>
      </c>
      <c r="S188"/>
    </row>
    <row r="189" spans="1:19" x14ac:dyDescent="0.2">
      <c r="C189" t="s">
        <v>16</v>
      </c>
      <c r="D189">
        <v>41</v>
      </c>
      <c r="F189" s="23">
        <f t="shared" ref="F189:N189" si="83">F163*F179</f>
        <v>48353.715634799955</v>
      </c>
      <c r="G189" s="23">
        <f t="shared" si="83"/>
        <v>39903.785896440044</v>
      </c>
      <c r="H189" s="23">
        <f t="shared" si="83"/>
        <v>59141.732577519972</v>
      </c>
      <c r="I189" s="23">
        <f t="shared" si="83"/>
        <v>104496.61247915999</v>
      </c>
      <c r="J189" s="23">
        <f t="shared" si="83"/>
        <v>184606.9705012</v>
      </c>
      <c r="K189" s="23">
        <f t="shared" si="83"/>
        <v>231397.34140735996</v>
      </c>
      <c r="L189" s="23">
        <f t="shared" si="83"/>
        <v>285354.98574252002</v>
      </c>
      <c r="M189" s="23">
        <f t="shared" si="83"/>
        <v>185766.60996524006</v>
      </c>
      <c r="N189" s="23">
        <f t="shared" si="83"/>
        <v>198219.31455964004</v>
      </c>
      <c r="O189" s="23">
        <f t="shared" ref="O189:Q189" si="84">O163*O179</f>
        <v>137750.36948944003</v>
      </c>
      <c r="P189" s="23">
        <f t="shared" si="84"/>
        <v>110416.51922607997</v>
      </c>
      <c r="Q189" s="23">
        <f t="shared" si="84"/>
        <v>28357.691893640003</v>
      </c>
      <c r="R189" s="100">
        <f>SUM(F189:Q189)</f>
        <v>1613765.6493730401</v>
      </c>
      <c r="S189"/>
    </row>
    <row r="190" spans="1:19" x14ac:dyDescent="0.2">
      <c r="A190" t="s">
        <v>147</v>
      </c>
      <c r="C190" t="s">
        <v>26</v>
      </c>
      <c r="F190" s="24">
        <f t="shared" ref="F190:N190" si="85">SUM(F187:F189)</f>
        <v>187839.92283731996</v>
      </c>
      <c r="G190" s="24">
        <f t="shared" si="85"/>
        <v>173246.39614344004</v>
      </c>
      <c r="H190" s="24">
        <f t="shared" si="85"/>
        <v>229655.95082547999</v>
      </c>
      <c r="I190" s="24">
        <f t="shared" si="85"/>
        <v>399801.49444559996</v>
      </c>
      <c r="J190" s="24">
        <f t="shared" si="85"/>
        <v>559583.90935672005</v>
      </c>
      <c r="K190" s="24">
        <f t="shared" si="85"/>
        <v>670505.46212120005</v>
      </c>
      <c r="L190" s="24">
        <f t="shared" si="85"/>
        <v>710667.47961707995</v>
      </c>
      <c r="M190" s="24">
        <f t="shared" si="85"/>
        <v>589768.1028087202</v>
      </c>
      <c r="N190" s="24">
        <f t="shared" si="85"/>
        <v>604895.14140100009</v>
      </c>
      <c r="O190" s="24">
        <f t="shared" ref="O190:Q190" si="86">SUM(O187:O189)</f>
        <v>452652.31434964004</v>
      </c>
      <c r="P190" s="24">
        <f t="shared" si="86"/>
        <v>319196.95947195997</v>
      </c>
      <c r="Q190" s="24">
        <f t="shared" si="86"/>
        <v>130151.12430812001</v>
      </c>
      <c r="R190" s="24">
        <f>SUM(R187:R189)</f>
        <v>5027964.2576862797</v>
      </c>
      <c r="S190"/>
    </row>
    <row r="191" spans="1:19" x14ac:dyDescent="0.2">
      <c r="A191" t="s">
        <v>147</v>
      </c>
      <c r="B191" t="s">
        <v>441</v>
      </c>
      <c r="D191">
        <v>41</v>
      </c>
      <c r="F191" s="40">
        <f>F164*F180</f>
        <v>14839.448823359999</v>
      </c>
      <c r="G191" s="40">
        <f t="shared" ref="G191:Q191" si="87">G164*G180</f>
        <v>14037.775303440001</v>
      </c>
      <c r="H191" s="40">
        <f t="shared" si="87"/>
        <v>17470.84524318</v>
      </c>
      <c r="I191" s="40">
        <f t="shared" si="87"/>
        <v>27064.528824270001</v>
      </c>
      <c r="J191" s="40">
        <f t="shared" si="87"/>
        <v>35340.245408579998</v>
      </c>
      <c r="K191" s="40">
        <f t="shared" si="87"/>
        <v>41435.076441149999</v>
      </c>
      <c r="L191" s="40">
        <f t="shared" si="87"/>
        <v>43935.275400239996</v>
      </c>
      <c r="M191" s="40">
        <f t="shared" si="87"/>
        <v>36497.072095470001</v>
      </c>
      <c r="N191" s="40">
        <f t="shared" si="87"/>
        <v>38133.17860947</v>
      </c>
      <c r="O191" s="40">
        <f t="shared" si="87"/>
        <v>29999.950041389999</v>
      </c>
      <c r="P191" s="40">
        <f t="shared" si="87"/>
        <v>22877.898155070001</v>
      </c>
      <c r="Q191" s="40">
        <f t="shared" si="87"/>
        <v>10282.879106639999</v>
      </c>
      <c r="R191" s="100">
        <f>SUM(F191:Q191)</f>
        <v>331914.17345226009</v>
      </c>
      <c r="S191"/>
    </row>
    <row r="192" spans="1:19" x14ac:dyDescent="0.2">
      <c r="A192" t="s">
        <v>130</v>
      </c>
      <c r="B192" t="s">
        <v>303</v>
      </c>
      <c r="D192">
        <v>101</v>
      </c>
      <c r="F192" s="23">
        <f t="shared" ref="F192:N192" si="88">F165*F180</f>
        <v>553372.5497184</v>
      </c>
      <c r="G192" s="23">
        <f t="shared" si="88"/>
        <v>523477.63077360002</v>
      </c>
      <c r="H192" s="23">
        <f t="shared" si="88"/>
        <v>651499.00734419993</v>
      </c>
      <c r="I192" s="23">
        <f t="shared" si="88"/>
        <v>1009253.6118213</v>
      </c>
      <c r="J192" s="34">
        <f t="shared" si="88"/>
        <v>1317860.3829702002</v>
      </c>
      <c r="K192" s="23">
        <f t="shared" si="88"/>
        <v>1545140.5352684997</v>
      </c>
      <c r="L192" s="23">
        <f t="shared" si="88"/>
        <v>1638374.5555655998</v>
      </c>
      <c r="M192" s="23">
        <f t="shared" si="88"/>
        <v>1360999.1909493001</v>
      </c>
      <c r="N192" s="23">
        <f t="shared" si="88"/>
        <v>1422010.6506093</v>
      </c>
      <c r="O192" s="23">
        <f t="shared" ref="O192:Q192" si="89">O165*O180</f>
        <v>1118717.3488340999</v>
      </c>
      <c r="P192" s="23">
        <f t="shared" si="89"/>
        <v>853131.47307329997</v>
      </c>
      <c r="Q192" s="23">
        <f t="shared" si="89"/>
        <v>383455.14698159997</v>
      </c>
      <c r="R192" s="100">
        <f>SUM(F192:Q192)</f>
        <v>12377292.0839094</v>
      </c>
      <c r="S192"/>
    </row>
    <row r="193" spans="1:19" x14ac:dyDescent="0.2">
      <c r="A193" t="s">
        <v>551</v>
      </c>
      <c r="B193" t="s">
        <v>552</v>
      </c>
      <c r="D193">
        <v>149</v>
      </c>
      <c r="F193" s="23">
        <f>F166*F180</f>
        <v>15156.218666879999</v>
      </c>
      <c r="G193" s="23">
        <f t="shared" ref="G193:Q193" si="90">G166*G180</f>
        <v>14337.432247520001</v>
      </c>
      <c r="H193" s="23">
        <f t="shared" si="90"/>
        <v>17843.78611044</v>
      </c>
      <c r="I193" s="23">
        <f t="shared" si="90"/>
        <v>27642.26096666</v>
      </c>
      <c r="J193" s="23">
        <f t="shared" si="90"/>
        <v>36094.634883639999</v>
      </c>
      <c r="K193" s="23">
        <f t="shared" si="90"/>
        <v>42319.569041699993</v>
      </c>
      <c r="L193" s="23">
        <f t="shared" si="90"/>
        <v>44873.138421919997</v>
      </c>
      <c r="M193" s="23">
        <f t="shared" si="90"/>
        <v>37276.15573626</v>
      </c>
      <c r="N193" s="23">
        <f t="shared" si="90"/>
        <v>38947.187348259999</v>
      </c>
      <c r="O193" s="23">
        <f t="shared" si="90"/>
        <v>30640.343063619999</v>
      </c>
      <c r="P193" s="23">
        <f t="shared" si="90"/>
        <v>23366.260513059999</v>
      </c>
      <c r="Q193" s="23">
        <f t="shared" si="90"/>
        <v>10502.38227312</v>
      </c>
      <c r="R193" s="100">
        <f>SUM(F193:Q193)</f>
        <v>338999.36927308002</v>
      </c>
      <c r="S193"/>
    </row>
    <row r="194" spans="1:19" s="30" customFormat="1" x14ac:dyDescent="0.2">
      <c r="A194"/>
      <c r="B194" t="s">
        <v>18</v>
      </c>
      <c r="C194"/>
      <c r="D194"/>
      <c r="E194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100"/>
    </row>
    <row r="195" spans="1:19" x14ac:dyDescent="0.2">
      <c r="A195" t="s">
        <v>147</v>
      </c>
      <c r="C195" t="s">
        <v>19</v>
      </c>
      <c r="D195">
        <v>41</v>
      </c>
      <c r="F195" s="23">
        <f t="shared" ref="F195:N195" si="91">F168*F181</f>
        <v>350071.84952999995</v>
      </c>
      <c r="G195" s="23">
        <f t="shared" si="91"/>
        <v>335067.17048999999</v>
      </c>
      <c r="H195" s="23">
        <f t="shared" si="91"/>
        <v>319904.89946999995</v>
      </c>
      <c r="I195" s="23">
        <f t="shared" si="91"/>
        <v>328733.63639999996</v>
      </c>
      <c r="J195" s="23">
        <f t="shared" si="91"/>
        <v>315787.16636999999</v>
      </c>
      <c r="K195" s="23">
        <f t="shared" si="91"/>
        <v>333086.54652000003</v>
      </c>
      <c r="L195" s="23">
        <f t="shared" si="91"/>
        <v>338643.01925999997</v>
      </c>
      <c r="M195" s="23">
        <f t="shared" si="91"/>
        <v>312483.51575999998</v>
      </c>
      <c r="N195" s="23">
        <f t="shared" si="91"/>
        <v>339948.77435999992</v>
      </c>
      <c r="O195" s="23">
        <f t="shared" ref="O195:Q195" si="92">O168*O181</f>
        <v>336092.97618</v>
      </c>
      <c r="P195" s="23">
        <f t="shared" si="92"/>
        <v>334165.59305999998</v>
      </c>
      <c r="Q195" s="23">
        <f t="shared" si="92"/>
        <v>396156.82860000001</v>
      </c>
      <c r="R195" s="100">
        <f>SUM(F195:Q195)</f>
        <v>4040141.9760000003</v>
      </c>
      <c r="S195"/>
    </row>
    <row r="196" spans="1:19" x14ac:dyDescent="0.2">
      <c r="A196" t="s">
        <v>130</v>
      </c>
      <c r="C196" t="s">
        <v>20</v>
      </c>
      <c r="D196">
        <v>101</v>
      </c>
      <c r="F196" s="23">
        <f t="shared" ref="F196:N196" si="93">F169*F181</f>
        <v>314167.04444999999</v>
      </c>
      <c r="G196" s="23">
        <f t="shared" si="93"/>
        <v>300701.30684999999</v>
      </c>
      <c r="H196" s="23">
        <f t="shared" si="93"/>
        <v>287094.14055000001</v>
      </c>
      <c r="I196" s="23">
        <f t="shared" si="93"/>
        <v>295017.36599999998</v>
      </c>
      <c r="J196" s="34">
        <f t="shared" si="93"/>
        <v>283398.73904999997</v>
      </c>
      <c r="K196" s="23">
        <f t="shared" si="93"/>
        <v>298923.82380000007</v>
      </c>
      <c r="L196" s="23">
        <f t="shared" si="93"/>
        <v>303910.4019</v>
      </c>
      <c r="M196" s="23">
        <f t="shared" si="93"/>
        <v>280433.92440000002</v>
      </c>
      <c r="N196" s="23">
        <f t="shared" si="93"/>
        <v>305082.23339999997</v>
      </c>
      <c r="O196" s="23">
        <f t="shared" ref="O196:Q196" si="94">O169*O181</f>
        <v>301621.90170000005</v>
      </c>
      <c r="P196" s="23">
        <f t="shared" si="94"/>
        <v>299892.19890000002</v>
      </c>
      <c r="Q196" s="23">
        <f t="shared" si="94"/>
        <v>355525.35900000005</v>
      </c>
      <c r="R196" s="100">
        <f>SUM(F196:Q196)</f>
        <v>3625768.4400000004</v>
      </c>
      <c r="S196"/>
    </row>
    <row r="197" spans="1:19" x14ac:dyDescent="0.2">
      <c r="C197" t="s">
        <v>23</v>
      </c>
      <c r="F197" s="24">
        <f>SUM(F195:F196)</f>
        <v>664238.89397999994</v>
      </c>
      <c r="G197" s="24">
        <f t="shared" ref="G197:N197" si="95">SUM(G195:G196)</f>
        <v>635768.47733999998</v>
      </c>
      <c r="H197" s="24">
        <f t="shared" si="95"/>
        <v>606999.04001999996</v>
      </c>
      <c r="I197" s="24">
        <f t="shared" si="95"/>
        <v>623751.00239999988</v>
      </c>
      <c r="J197" s="24">
        <f t="shared" si="95"/>
        <v>599185.90541999997</v>
      </c>
      <c r="K197" s="24">
        <f t="shared" si="95"/>
        <v>632010.3703200001</v>
      </c>
      <c r="L197" s="24">
        <f t="shared" si="95"/>
        <v>642553.42115999991</v>
      </c>
      <c r="M197" s="24">
        <f t="shared" si="95"/>
        <v>592917.44016</v>
      </c>
      <c r="N197" s="24">
        <f t="shared" si="95"/>
        <v>645031.00775999995</v>
      </c>
      <c r="O197" s="24">
        <f t="shared" ref="O197:Q197" si="96">SUM(O195:O196)</f>
        <v>637714.87788000004</v>
      </c>
      <c r="P197" s="24">
        <f t="shared" si="96"/>
        <v>634057.79196000006</v>
      </c>
      <c r="Q197" s="24">
        <f t="shared" si="96"/>
        <v>751682.18760000006</v>
      </c>
      <c r="R197" s="24">
        <f>SUM(R195:R196)</f>
        <v>7665910.4160000011</v>
      </c>
      <c r="S197"/>
    </row>
    <row r="198" spans="1:19" x14ac:dyDescent="0.2">
      <c r="A198" s="30" t="s">
        <v>147</v>
      </c>
      <c r="B198" s="30" t="s">
        <v>21</v>
      </c>
      <c r="C198" s="30"/>
      <c r="D198" s="30">
        <v>41</v>
      </c>
      <c r="E198" s="30"/>
      <c r="F198" s="34">
        <f t="shared" ref="F198:N198" si="97">F182*F170</f>
        <v>149250.87506719367</v>
      </c>
      <c r="G198" s="34">
        <f t="shared" si="97"/>
        <v>152550.83415371101</v>
      </c>
      <c r="H198" s="34">
        <f t="shared" si="97"/>
        <v>144213.49971014491</v>
      </c>
      <c r="I198" s="34">
        <f t="shared" si="97"/>
        <v>149632.77524110672</v>
      </c>
      <c r="J198" s="34">
        <f t="shared" si="97"/>
        <v>143237.66491699603</v>
      </c>
      <c r="K198" s="34">
        <f t="shared" si="97"/>
        <v>149887.15174360698</v>
      </c>
      <c r="L198" s="34">
        <f t="shared" si="97"/>
        <v>149473.30919697889</v>
      </c>
      <c r="M198" s="34">
        <f t="shared" si="97"/>
        <v>137321.45174407499</v>
      </c>
      <c r="N198" s="34">
        <f t="shared" si="97"/>
        <v>154291.42837746331</v>
      </c>
      <c r="O198" s="34">
        <f t="shared" ref="O198:Q198" si="98">O182*O170</f>
        <v>151307.99370778713</v>
      </c>
      <c r="P198" s="34">
        <f t="shared" si="98"/>
        <v>150186.37035798177</v>
      </c>
      <c r="Q198" s="34">
        <f t="shared" si="98"/>
        <v>94696.465304895217</v>
      </c>
      <c r="R198" s="70">
        <f>SUM(F198:Q198)</f>
        <v>1726049.8195219408</v>
      </c>
      <c r="S198"/>
    </row>
    <row r="199" spans="1:19" s="30" customFormat="1" x14ac:dyDescent="0.2">
      <c r="A199" s="50"/>
      <c r="B199" s="50" t="s">
        <v>25</v>
      </c>
      <c r="C199" s="50"/>
      <c r="D199" s="50"/>
      <c r="E199" s="50"/>
      <c r="F199" s="40">
        <f>F192+F196</f>
        <v>867539.59416839993</v>
      </c>
      <c r="G199" s="40">
        <f t="shared" ref="G199:N199" si="99">G192+G196</f>
        <v>824178.93762360001</v>
      </c>
      <c r="H199" s="40">
        <f t="shared" si="99"/>
        <v>938593.14789419994</v>
      </c>
      <c r="I199" s="40">
        <f t="shared" si="99"/>
        <v>1304270.9778213</v>
      </c>
      <c r="J199" s="40">
        <f t="shared" si="99"/>
        <v>1601259.1220202001</v>
      </c>
      <c r="K199" s="40">
        <f t="shared" si="99"/>
        <v>1844064.3590684999</v>
      </c>
      <c r="L199" s="40">
        <f t="shared" si="99"/>
        <v>1942284.9574655998</v>
      </c>
      <c r="M199" s="40">
        <f t="shared" si="99"/>
        <v>1641433.1153493002</v>
      </c>
      <c r="N199" s="40">
        <f t="shared" si="99"/>
        <v>1727092.8840093</v>
      </c>
      <c r="O199" s="40">
        <f t="shared" ref="O199:Q199" si="100">O192+O196</f>
        <v>1420339.2505341</v>
      </c>
      <c r="P199" s="40">
        <f t="shared" si="100"/>
        <v>1153023.6719732999</v>
      </c>
      <c r="Q199" s="40">
        <f t="shared" si="100"/>
        <v>738980.50598160003</v>
      </c>
      <c r="R199" s="40">
        <f>R192+R196</f>
        <v>16003060.523909401</v>
      </c>
    </row>
    <row r="200" spans="1:19" x14ac:dyDescent="0.2">
      <c r="B200" t="s">
        <v>24</v>
      </c>
      <c r="F200" s="24">
        <f>F185+F190+F191+F192+F193+F197+F198</f>
        <v>1721777.3933303079</v>
      </c>
      <c r="G200" s="24">
        <f t="shared" ref="G200:R200" si="101">G185+G190+G191+G192+G193+G197+G198</f>
        <v>1653528.8780205606</v>
      </c>
      <c r="H200" s="24">
        <f t="shared" si="101"/>
        <v>1800135.0354853289</v>
      </c>
      <c r="I200" s="24">
        <f t="shared" si="101"/>
        <v>2374575.9141969606</v>
      </c>
      <c r="J200" s="24">
        <f t="shared" si="101"/>
        <v>2822859.3936043577</v>
      </c>
      <c r="K200" s="24">
        <f t="shared" si="101"/>
        <v>3218962.037563635</v>
      </c>
      <c r="L200" s="24">
        <f t="shared" si="101"/>
        <v>3367160.9582523475</v>
      </c>
      <c r="M200" s="24">
        <f t="shared" si="101"/>
        <v>2880902.3174386118</v>
      </c>
      <c r="N200" s="24">
        <f t="shared" si="101"/>
        <v>3045017.5751394378</v>
      </c>
      <c r="O200" s="24">
        <f t="shared" si="101"/>
        <v>2560001.6729776748</v>
      </c>
      <c r="P200" s="24">
        <f t="shared" si="101"/>
        <v>2140755.4435313717</v>
      </c>
      <c r="Q200" s="24">
        <f t="shared" si="101"/>
        <v>1467744.1655743753</v>
      </c>
      <c r="R200" s="24">
        <f t="shared" si="101"/>
        <v>29053420.78511497</v>
      </c>
      <c r="S200"/>
    </row>
    <row r="201" spans="1:19" x14ac:dyDescent="0.2">
      <c r="A201" s="30"/>
      <c r="B201" s="30"/>
      <c r="C201" s="30"/>
      <c r="D201" s="30"/>
      <c r="E201" s="30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70"/>
      <c r="S201"/>
    </row>
    <row r="202" spans="1:19" x14ac:dyDescent="0.2">
      <c r="A202" s="30" t="s">
        <v>305</v>
      </c>
      <c r="B202" s="30" t="s">
        <v>304</v>
      </c>
      <c r="C202" s="30"/>
      <c r="D202" s="30"/>
      <c r="E202" s="30"/>
      <c r="F202" s="34">
        <f t="shared" ref="F202:N202" si="102">F171*F180+F181*F172</f>
        <v>827432.60652511986</v>
      </c>
      <c r="G202" s="34">
        <f t="shared" si="102"/>
        <v>786071.67652048008</v>
      </c>
      <c r="H202" s="34">
        <f t="shared" si="102"/>
        <v>895316.2310355599</v>
      </c>
      <c r="I202" s="34">
        <f t="shared" si="102"/>
        <v>1244359.48790234</v>
      </c>
      <c r="J202" s="34">
        <f t="shared" si="102"/>
        <v>1527877.0256423601</v>
      </c>
      <c r="K202" s="34">
        <f t="shared" si="102"/>
        <v>1759614.7863632999</v>
      </c>
      <c r="L202" s="34">
        <f t="shared" si="102"/>
        <v>1853361.1383060799</v>
      </c>
      <c r="M202" s="34">
        <f t="shared" si="102"/>
        <v>1566231.8637727401</v>
      </c>
      <c r="N202" s="34">
        <f t="shared" si="102"/>
        <v>1647945.3879607399</v>
      </c>
      <c r="O202" s="34">
        <f t="shared" ref="O202:Q202" si="103">O171*O180+O181*O172</f>
        <v>1355138.9490693798</v>
      </c>
      <c r="P202" s="34">
        <f t="shared" si="103"/>
        <v>1099974.63311594</v>
      </c>
      <c r="Q202" s="34">
        <f t="shared" si="103"/>
        <v>704625.55253488</v>
      </c>
      <c r="R202" s="70">
        <f>SUM(F202:Q202)</f>
        <v>15267949.338748919</v>
      </c>
      <c r="S202"/>
    </row>
    <row r="204" spans="1:19" x14ac:dyDescent="0.2">
      <c r="B204" s="15" t="s">
        <v>96</v>
      </c>
      <c r="C204" s="15"/>
      <c r="S204"/>
    </row>
    <row r="205" spans="1:19" x14ac:dyDescent="0.2">
      <c r="B205" s="15" t="s">
        <v>7</v>
      </c>
      <c r="C205" s="15"/>
      <c r="S205"/>
    </row>
    <row r="206" spans="1:19" s="30" customFormat="1" x14ac:dyDescent="0.2">
      <c r="A206"/>
      <c r="B206" t="s">
        <v>282</v>
      </c>
      <c r="C206"/>
      <c r="D206">
        <v>41</v>
      </c>
      <c r="E206" t="s">
        <v>5</v>
      </c>
      <c r="F206" s="17">
        <f t="shared" ref="F206:Q206" si="104">F160</f>
        <v>106.43</v>
      </c>
      <c r="G206" s="17">
        <f t="shared" si="104"/>
        <v>106.43</v>
      </c>
      <c r="H206" s="17">
        <f t="shared" si="104"/>
        <v>106.43</v>
      </c>
      <c r="I206" s="17">
        <f t="shared" si="104"/>
        <v>106.43</v>
      </c>
      <c r="J206" s="17">
        <f t="shared" si="104"/>
        <v>106.43</v>
      </c>
      <c r="K206" s="17">
        <f t="shared" si="104"/>
        <v>106.43</v>
      </c>
      <c r="L206" s="17">
        <f t="shared" si="104"/>
        <v>106.43</v>
      </c>
      <c r="M206" s="17">
        <f t="shared" si="104"/>
        <v>106.43</v>
      </c>
      <c r="N206" s="17">
        <f t="shared" si="104"/>
        <v>106.43</v>
      </c>
      <c r="O206" s="17">
        <f t="shared" si="104"/>
        <v>106.43</v>
      </c>
      <c r="P206" s="17">
        <f t="shared" si="104"/>
        <v>106.43</v>
      </c>
      <c r="Q206" s="17">
        <f t="shared" si="104"/>
        <v>106.43</v>
      </c>
      <c r="R206" s="26"/>
    </row>
    <row r="207" spans="1:19" s="30" customFormat="1" x14ac:dyDescent="0.2">
      <c r="A207"/>
      <c r="B207" t="s">
        <v>3</v>
      </c>
      <c r="C207"/>
      <c r="D207"/>
      <c r="E207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20"/>
    </row>
    <row r="208" spans="1:19" s="30" customFormat="1" x14ac:dyDescent="0.2">
      <c r="A208"/>
      <c r="B208"/>
      <c r="C208" t="s">
        <v>15</v>
      </c>
      <c r="D208">
        <v>41</v>
      </c>
      <c r="E208" t="s">
        <v>6</v>
      </c>
      <c r="F208" s="18">
        <f t="shared" ref="F208:Q208" si="105">F162</f>
        <v>0.12876000000000001</v>
      </c>
      <c r="G208" s="18">
        <f t="shared" si="105"/>
        <v>0.12876000000000001</v>
      </c>
      <c r="H208" s="18">
        <f t="shared" si="105"/>
        <v>0.12876000000000001</v>
      </c>
      <c r="I208" s="18">
        <f t="shared" si="105"/>
        <v>0.12876000000000001</v>
      </c>
      <c r="J208" s="18">
        <f t="shared" si="105"/>
        <v>0.12876000000000001</v>
      </c>
      <c r="K208" s="18">
        <f t="shared" si="105"/>
        <v>0.12876000000000001</v>
      </c>
      <c r="L208" s="18">
        <f t="shared" si="105"/>
        <v>0.12876000000000001</v>
      </c>
      <c r="M208" s="18">
        <f t="shared" si="105"/>
        <v>0.12876000000000001</v>
      </c>
      <c r="N208" s="18">
        <f t="shared" si="105"/>
        <v>0.12876000000000001</v>
      </c>
      <c r="O208" s="18">
        <f t="shared" si="105"/>
        <v>0.12876000000000001</v>
      </c>
      <c r="P208" s="18">
        <f t="shared" si="105"/>
        <v>0.12876000000000001</v>
      </c>
      <c r="Q208" s="18">
        <f t="shared" si="105"/>
        <v>0.12876000000000001</v>
      </c>
      <c r="R208" s="20"/>
    </row>
    <row r="209" spans="1:18" s="30" customFormat="1" x14ac:dyDescent="0.2">
      <c r="A209"/>
      <c r="B209"/>
      <c r="C209" t="s">
        <v>16</v>
      </c>
      <c r="D209">
        <v>41</v>
      </c>
      <c r="E209" t="s">
        <v>6</v>
      </c>
      <c r="F209" s="18">
        <f t="shared" ref="F209:Q209" si="106">F163</f>
        <v>0.10364</v>
      </c>
      <c r="G209" s="18">
        <f t="shared" si="106"/>
        <v>0.10364</v>
      </c>
      <c r="H209" s="18">
        <f t="shared" si="106"/>
        <v>0.10364</v>
      </c>
      <c r="I209" s="18">
        <f t="shared" si="106"/>
        <v>0.10364</v>
      </c>
      <c r="J209" s="18">
        <f t="shared" si="106"/>
        <v>0.10364</v>
      </c>
      <c r="K209" s="18">
        <f t="shared" si="106"/>
        <v>0.10364</v>
      </c>
      <c r="L209" s="18">
        <f t="shared" si="106"/>
        <v>0.10364</v>
      </c>
      <c r="M209" s="18">
        <f t="shared" si="106"/>
        <v>0.10364</v>
      </c>
      <c r="N209" s="18">
        <f t="shared" si="106"/>
        <v>0.10364</v>
      </c>
      <c r="O209" s="18">
        <f t="shared" si="106"/>
        <v>0.10364</v>
      </c>
      <c r="P209" s="18">
        <f t="shared" si="106"/>
        <v>0.10364</v>
      </c>
      <c r="Q209" s="18">
        <f t="shared" si="106"/>
        <v>0.10364</v>
      </c>
      <c r="R209" s="20"/>
    </row>
    <row r="210" spans="1:18" s="30" customFormat="1" x14ac:dyDescent="0.2">
      <c r="A210"/>
      <c r="B210" t="s">
        <v>441</v>
      </c>
      <c r="C210"/>
      <c r="D210">
        <v>41</v>
      </c>
      <c r="E210" t="s">
        <v>6</v>
      </c>
      <c r="F210" s="18">
        <f t="shared" ref="F210:Q210" si="107">F164</f>
        <v>6.0899999999999999E-3</v>
      </c>
      <c r="G210" s="18">
        <f t="shared" si="107"/>
        <v>6.0899999999999999E-3</v>
      </c>
      <c r="H210" s="18">
        <f t="shared" si="107"/>
        <v>6.0899999999999999E-3</v>
      </c>
      <c r="I210" s="18">
        <f t="shared" si="107"/>
        <v>6.0899999999999999E-3</v>
      </c>
      <c r="J210" s="18">
        <f t="shared" si="107"/>
        <v>6.0899999999999999E-3</v>
      </c>
      <c r="K210" s="18">
        <f t="shared" si="107"/>
        <v>6.0899999999999999E-3</v>
      </c>
      <c r="L210" s="18">
        <f t="shared" si="107"/>
        <v>6.0899999999999999E-3</v>
      </c>
      <c r="M210" s="18">
        <f t="shared" si="107"/>
        <v>6.0899999999999999E-3</v>
      </c>
      <c r="N210" s="18">
        <f t="shared" si="107"/>
        <v>6.0899999999999999E-3</v>
      </c>
      <c r="O210" s="18">
        <f t="shared" si="107"/>
        <v>6.0899999999999999E-3</v>
      </c>
      <c r="P210" s="18">
        <f t="shared" si="107"/>
        <v>6.0899999999999999E-3</v>
      </c>
      <c r="Q210" s="18">
        <f t="shared" si="107"/>
        <v>6.0899999999999999E-3</v>
      </c>
      <c r="R210" s="20"/>
    </row>
    <row r="211" spans="1:18" s="30" customFormat="1" x14ac:dyDescent="0.2">
      <c r="A211"/>
      <c r="B211" t="s">
        <v>303</v>
      </c>
      <c r="C211"/>
      <c r="D211">
        <v>101</v>
      </c>
      <c r="E211" t="s">
        <v>6</v>
      </c>
      <c r="F211" s="98">
        <f t="shared" ref="F211:Q212" si="108">F165</f>
        <v>0.2271</v>
      </c>
      <c r="G211" s="98">
        <f t="shared" si="108"/>
        <v>0.2271</v>
      </c>
      <c r="H211" s="98">
        <f t="shared" si="108"/>
        <v>0.2271</v>
      </c>
      <c r="I211" s="98">
        <f t="shared" si="108"/>
        <v>0.2271</v>
      </c>
      <c r="J211" s="98">
        <f t="shared" si="108"/>
        <v>0.2271</v>
      </c>
      <c r="K211" s="98">
        <f t="shared" si="108"/>
        <v>0.2271</v>
      </c>
      <c r="L211" s="98">
        <f t="shared" si="108"/>
        <v>0.2271</v>
      </c>
      <c r="M211" s="98">
        <f t="shared" si="108"/>
        <v>0.2271</v>
      </c>
      <c r="N211" s="98">
        <f t="shared" si="108"/>
        <v>0.2271</v>
      </c>
      <c r="O211" s="98">
        <f t="shared" si="108"/>
        <v>0.2271</v>
      </c>
      <c r="P211" s="98">
        <f t="shared" si="108"/>
        <v>0.2271</v>
      </c>
      <c r="Q211" s="98">
        <f t="shared" si="108"/>
        <v>0.2271</v>
      </c>
      <c r="R211" s="20"/>
    </row>
    <row r="212" spans="1:18" s="30" customFormat="1" x14ac:dyDescent="0.2">
      <c r="A212"/>
      <c r="B212" t="s">
        <v>553</v>
      </c>
      <c r="C212"/>
      <c r="D212">
        <v>149</v>
      </c>
      <c r="E212" t="s">
        <v>6</v>
      </c>
      <c r="F212" s="98">
        <f t="shared" si="108"/>
        <v>6.2199999999999998E-3</v>
      </c>
      <c r="G212" s="98">
        <f t="shared" si="108"/>
        <v>6.2199999999999998E-3</v>
      </c>
      <c r="H212" s="98">
        <f t="shared" si="108"/>
        <v>6.2199999999999998E-3</v>
      </c>
      <c r="I212" s="98">
        <f t="shared" si="108"/>
        <v>6.2199999999999998E-3</v>
      </c>
      <c r="J212" s="98">
        <f t="shared" si="108"/>
        <v>6.2199999999999998E-3</v>
      </c>
      <c r="K212" s="98">
        <f t="shared" si="108"/>
        <v>6.2199999999999998E-3</v>
      </c>
      <c r="L212" s="98">
        <f t="shared" si="108"/>
        <v>6.2199999999999998E-3</v>
      </c>
      <c r="M212" s="98">
        <f t="shared" si="108"/>
        <v>6.2199999999999998E-3</v>
      </c>
      <c r="N212" s="98">
        <f t="shared" si="108"/>
        <v>6.2199999999999998E-3</v>
      </c>
      <c r="O212" s="98">
        <f t="shared" si="108"/>
        <v>6.2199999999999998E-3</v>
      </c>
      <c r="P212" s="98">
        <f t="shared" si="108"/>
        <v>6.2199999999999998E-3</v>
      </c>
      <c r="Q212" s="98">
        <f t="shared" si="108"/>
        <v>6.2199999999999998E-3</v>
      </c>
      <c r="R212" s="20"/>
    </row>
    <row r="213" spans="1:18" s="30" customFormat="1" x14ac:dyDescent="0.2">
      <c r="A213"/>
      <c r="B213" t="s">
        <v>18</v>
      </c>
      <c r="C213"/>
      <c r="D213"/>
      <c r="E213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</row>
    <row r="214" spans="1:18" s="30" customFormat="1" x14ac:dyDescent="0.2">
      <c r="A214"/>
      <c r="B214"/>
      <c r="C214" t="s">
        <v>19</v>
      </c>
      <c r="D214">
        <v>101</v>
      </c>
      <c r="E214" t="s">
        <v>6</v>
      </c>
      <c r="F214" s="112">
        <f t="shared" ref="F214:Q214" si="109">F168</f>
        <v>1.17</v>
      </c>
      <c r="G214" s="112">
        <f t="shared" si="109"/>
        <v>1.17</v>
      </c>
      <c r="H214" s="112">
        <f t="shared" si="109"/>
        <v>1.17</v>
      </c>
      <c r="I214" s="112">
        <f t="shared" si="109"/>
        <v>1.17</v>
      </c>
      <c r="J214" s="112">
        <f t="shared" si="109"/>
        <v>1.17</v>
      </c>
      <c r="K214" s="112">
        <f t="shared" si="109"/>
        <v>1.17</v>
      </c>
      <c r="L214" s="112">
        <f t="shared" si="109"/>
        <v>1.17</v>
      </c>
      <c r="M214" s="112">
        <f t="shared" si="109"/>
        <v>1.17</v>
      </c>
      <c r="N214" s="112">
        <f t="shared" si="109"/>
        <v>1.17</v>
      </c>
      <c r="O214" s="112">
        <f t="shared" si="109"/>
        <v>1.17</v>
      </c>
      <c r="P214" s="112">
        <f t="shared" si="109"/>
        <v>1.17</v>
      </c>
      <c r="Q214" s="112">
        <f t="shared" si="109"/>
        <v>1.17</v>
      </c>
      <c r="R214" s="20"/>
    </row>
    <row r="215" spans="1:18" s="30" customFormat="1" x14ac:dyDescent="0.2">
      <c r="A215"/>
      <c r="B215"/>
      <c r="C215" t="s">
        <v>20</v>
      </c>
      <c r="D215">
        <v>101</v>
      </c>
      <c r="E215" t="s">
        <v>6</v>
      </c>
      <c r="F215" s="112">
        <f t="shared" ref="F215:Q215" si="110">F169</f>
        <v>1.05</v>
      </c>
      <c r="G215" s="112">
        <f t="shared" si="110"/>
        <v>1.05</v>
      </c>
      <c r="H215" s="112">
        <f t="shared" si="110"/>
        <v>1.05</v>
      </c>
      <c r="I215" s="112">
        <f t="shared" si="110"/>
        <v>1.05</v>
      </c>
      <c r="J215" s="112">
        <f t="shared" si="110"/>
        <v>1.05</v>
      </c>
      <c r="K215" s="112">
        <f t="shared" si="110"/>
        <v>1.05</v>
      </c>
      <c r="L215" s="112">
        <f t="shared" si="110"/>
        <v>1.05</v>
      </c>
      <c r="M215" s="112">
        <f t="shared" si="110"/>
        <v>1.05</v>
      </c>
      <c r="N215" s="112">
        <f t="shared" si="110"/>
        <v>1.05</v>
      </c>
      <c r="O215" s="112">
        <f t="shared" si="110"/>
        <v>1.05</v>
      </c>
      <c r="P215" s="112">
        <f t="shared" si="110"/>
        <v>1.05</v>
      </c>
      <c r="Q215" s="112">
        <f t="shared" si="110"/>
        <v>1.05</v>
      </c>
      <c r="R215" s="20"/>
    </row>
    <row r="216" spans="1:18" s="30" customFormat="1" x14ac:dyDescent="0.2">
      <c r="A216"/>
      <c r="B216" t="s">
        <v>21</v>
      </c>
      <c r="C216"/>
      <c r="D216">
        <v>41</v>
      </c>
      <c r="E216" t="s">
        <v>22</v>
      </c>
      <c r="F216" s="17">
        <f t="shared" ref="F216:Q216" si="111">F170</f>
        <v>115.88</v>
      </c>
      <c r="G216" s="17">
        <f t="shared" si="111"/>
        <v>115.88</v>
      </c>
      <c r="H216" s="17">
        <f t="shared" si="111"/>
        <v>115.88</v>
      </c>
      <c r="I216" s="17">
        <f t="shared" si="111"/>
        <v>115.88</v>
      </c>
      <c r="J216" s="17">
        <f t="shared" si="111"/>
        <v>115.88</v>
      </c>
      <c r="K216" s="17">
        <f t="shared" si="111"/>
        <v>115.88</v>
      </c>
      <c r="L216" s="17">
        <f t="shared" si="111"/>
        <v>115.88</v>
      </c>
      <c r="M216" s="17">
        <f t="shared" si="111"/>
        <v>115.88</v>
      </c>
      <c r="N216" s="17">
        <f t="shared" si="111"/>
        <v>115.88</v>
      </c>
      <c r="O216" s="17">
        <f t="shared" si="111"/>
        <v>115.88</v>
      </c>
      <c r="P216" s="17">
        <f t="shared" si="111"/>
        <v>115.88</v>
      </c>
      <c r="Q216" s="17">
        <f t="shared" si="111"/>
        <v>115.88</v>
      </c>
      <c r="R216" s="20"/>
    </row>
    <row r="217" spans="1:18" s="30" customFormat="1" x14ac:dyDescent="0.2">
      <c r="A217"/>
      <c r="B217" t="s">
        <v>304</v>
      </c>
      <c r="C217"/>
      <c r="D217"/>
      <c r="E217"/>
      <c r="F217" s="98">
        <f t="shared" ref="F217:Q217" si="112">F171</f>
        <v>0.21678</v>
      </c>
      <c r="G217" s="98">
        <f t="shared" si="112"/>
        <v>0.21678</v>
      </c>
      <c r="H217" s="98">
        <f t="shared" si="112"/>
        <v>0.21678</v>
      </c>
      <c r="I217" s="98">
        <f t="shared" si="112"/>
        <v>0.21678</v>
      </c>
      <c r="J217" s="98">
        <f t="shared" si="112"/>
        <v>0.21678</v>
      </c>
      <c r="K217" s="98">
        <f t="shared" si="112"/>
        <v>0.21678</v>
      </c>
      <c r="L217" s="98">
        <f t="shared" si="112"/>
        <v>0.21678</v>
      </c>
      <c r="M217" s="98">
        <f t="shared" si="112"/>
        <v>0.21678</v>
      </c>
      <c r="N217" s="98">
        <f t="shared" si="112"/>
        <v>0.21678</v>
      </c>
      <c r="O217" s="98">
        <f t="shared" si="112"/>
        <v>0.21678</v>
      </c>
      <c r="P217" s="98">
        <f t="shared" si="112"/>
        <v>0.21678</v>
      </c>
      <c r="Q217" s="98">
        <f t="shared" si="112"/>
        <v>0.21678</v>
      </c>
      <c r="R217" s="20"/>
    </row>
    <row r="218" spans="1:18" s="30" customFormat="1" x14ac:dyDescent="0.2">
      <c r="A218"/>
      <c r="B218" t="s">
        <v>310</v>
      </c>
      <c r="C218"/>
      <c r="D218"/>
      <c r="E218"/>
      <c r="F218" s="112">
        <f t="shared" ref="F218:Q218" si="113">F172</f>
        <v>1</v>
      </c>
      <c r="G218" s="112">
        <f t="shared" si="113"/>
        <v>1</v>
      </c>
      <c r="H218" s="112">
        <f t="shared" si="113"/>
        <v>1</v>
      </c>
      <c r="I218" s="112">
        <f t="shared" si="113"/>
        <v>1</v>
      </c>
      <c r="J218" s="112">
        <f t="shared" si="113"/>
        <v>1</v>
      </c>
      <c r="K218" s="112">
        <f t="shared" si="113"/>
        <v>1</v>
      </c>
      <c r="L218" s="112">
        <f t="shared" si="113"/>
        <v>1</v>
      </c>
      <c r="M218" s="112">
        <f t="shared" si="113"/>
        <v>1</v>
      </c>
      <c r="N218" s="112">
        <f t="shared" si="113"/>
        <v>1</v>
      </c>
      <c r="O218" s="112">
        <f t="shared" si="113"/>
        <v>1</v>
      </c>
      <c r="P218" s="112">
        <f t="shared" si="113"/>
        <v>1</v>
      </c>
      <c r="Q218" s="112">
        <f t="shared" si="113"/>
        <v>1</v>
      </c>
      <c r="R218" s="20"/>
    </row>
    <row r="219" spans="1:18" s="30" customForma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30" customFormat="1" x14ac:dyDescent="0.2">
      <c r="A220"/>
      <c r="B220" s="15" t="s">
        <v>8</v>
      </c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30" customFormat="1" x14ac:dyDescent="0.2">
      <c r="A221"/>
      <c r="B221" t="s">
        <v>22</v>
      </c>
      <c r="C221"/>
      <c r="D221"/>
      <c r="E221" t="s">
        <v>22</v>
      </c>
      <c r="F221" s="76">
        <f>'(R) Data'!C19</f>
        <v>80.497848045674132</v>
      </c>
      <c r="G221" s="156">
        <f>'(R) Data'!D19</f>
        <v>80.037417654808962</v>
      </c>
      <c r="H221" s="156">
        <f>'(R) Data'!E19</f>
        <v>76.810803689064556</v>
      </c>
      <c r="I221" s="156">
        <f>'(R) Data'!F19</f>
        <v>78.018093983311388</v>
      </c>
      <c r="J221" s="156">
        <f>'(R) Data'!G19</f>
        <v>73.751075977162927</v>
      </c>
      <c r="K221" s="156">
        <f>'(R) Data'!H19</f>
        <v>76.034583865049214</v>
      </c>
      <c r="L221" s="156">
        <f>'(R) Data'!I19</f>
        <v>73.09532077437278</v>
      </c>
      <c r="M221" s="156">
        <f>'(R) Data'!J19</f>
        <v>69.06155048181266</v>
      </c>
      <c r="N221" s="156">
        <f>'(R) Data'!K19</f>
        <v>74.83974303324942</v>
      </c>
      <c r="O221" s="156">
        <f>'(R) Data'!L19</f>
        <v>74.071099921868225</v>
      </c>
      <c r="P221" s="156">
        <f>'(R) Data'!M19</f>
        <v>74.148642300103347</v>
      </c>
      <c r="Q221" s="156">
        <f>'(R) Data'!N19</f>
        <v>31.613924645306774</v>
      </c>
      <c r="R221" s="107">
        <f>SUM(F221:Q221)</f>
        <v>861.98010437178436</v>
      </c>
    </row>
    <row r="222" spans="1:18" s="30" customFormat="1" x14ac:dyDescent="0.2">
      <c r="B222" s="30" t="s">
        <v>30</v>
      </c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107"/>
    </row>
    <row r="223" spans="1:18" s="30" customFormat="1" x14ac:dyDescent="0.2">
      <c r="C223" t="s">
        <v>241</v>
      </c>
      <c r="E223" s="30" t="s">
        <v>10</v>
      </c>
      <c r="F223" s="161">
        <f>'(R) Therms By Block'!B16</f>
        <v>66455.850999999995</v>
      </c>
      <c r="G223" s="170">
        <f>'(R) Therms By Block'!C16</f>
        <v>65810.383000000002</v>
      </c>
      <c r="H223" s="170">
        <f>'(R) Therms By Block'!D16</f>
        <v>65174.857000000004</v>
      </c>
      <c r="I223" s="170">
        <f>'(R) Therms By Block'!E16</f>
        <v>68991.076000000001</v>
      </c>
      <c r="J223" s="170">
        <f>'(R) Therms By Block'!F16</f>
        <v>65734.865000000005</v>
      </c>
      <c r="K223" s="170">
        <f>'(R) Therms By Block'!G16</f>
        <v>68226.277000000002</v>
      </c>
      <c r="L223" s="170">
        <f>'(R) Therms By Block'!H16</f>
        <v>65669.274000000005</v>
      </c>
      <c r="M223" s="170">
        <f>'(R) Therms By Block'!I16</f>
        <v>62094.766000000003</v>
      </c>
      <c r="N223" s="170">
        <f>'(R) Therms By Block'!J16</f>
        <v>67369.051000000007</v>
      </c>
      <c r="O223" s="170">
        <f>'(R) Therms By Block'!K16</f>
        <v>65894.456000000006</v>
      </c>
      <c r="P223" s="170">
        <f>'(R) Therms By Block'!L16</f>
        <v>64681.207000000002</v>
      </c>
      <c r="Q223" s="170">
        <f>'(R) Therms By Block'!M16</f>
        <v>28021.076000000001</v>
      </c>
      <c r="R223" s="107">
        <f>SUM(F223:Q223)</f>
        <v>754123.13899999997</v>
      </c>
    </row>
    <row r="224" spans="1:18" s="30" customFormat="1" x14ac:dyDescent="0.2">
      <c r="C224" t="s">
        <v>242</v>
      </c>
      <c r="E224" s="30" t="s">
        <v>10</v>
      </c>
      <c r="F224" s="170">
        <f>'(R) Therms By Block'!B17</f>
        <v>206546.99400000001</v>
      </c>
      <c r="G224" s="170">
        <f>'(R) Therms By Block'!C17</f>
        <v>207953.351</v>
      </c>
      <c r="H224" s="170">
        <f>'(R) Therms By Block'!D17</f>
        <v>213176.33499999999</v>
      </c>
      <c r="I224" s="170">
        <f>'(R) Therms By Block'!E17</f>
        <v>248447.16800000001</v>
      </c>
      <c r="J224" s="170">
        <f>'(R) Therms By Block'!F17</f>
        <v>249445.00899999999</v>
      </c>
      <c r="K224" s="170">
        <f>'(R) Therms By Block'!G17</f>
        <v>260066.27799999999</v>
      </c>
      <c r="L224" s="170">
        <f>'(R) Therms By Block'!H17</f>
        <v>251095.27799999999</v>
      </c>
      <c r="M224" s="170">
        <f>'(R) Therms By Block'!I17</f>
        <v>239327.72</v>
      </c>
      <c r="N224" s="170">
        <f>'(R) Therms By Block'!J17</f>
        <v>254583.26</v>
      </c>
      <c r="O224" s="170">
        <f>'(R) Therms By Block'!K17</f>
        <v>240732.26</v>
      </c>
      <c r="P224" s="170">
        <f>'(R) Therms By Block'!L17</f>
        <v>216637.33</v>
      </c>
      <c r="Q224" s="170">
        <f>'(R) Therms By Block'!M17</f>
        <v>81984.774000000005</v>
      </c>
      <c r="R224" s="107">
        <f>SUM(F224:Q224)</f>
        <v>2669995.7570000002</v>
      </c>
    </row>
    <row r="225" spans="1:37" s="30" customFormat="1" x14ac:dyDescent="0.2">
      <c r="C225" t="s">
        <v>16</v>
      </c>
      <c r="E225" s="30" t="s">
        <v>10</v>
      </c>
      <c r="F225" s="107">
        <f t="shared" ref="F225:N225" si="114">F226-SUM(F223:F224)</f>
        <v>442683.80099999998</v>
      </c>
      <c r="G225" s="107">
        <f t="shared" si="114"/>
        <v>449558.81</v>
      </c>
      <c r="H225" s="107">
        <f t="shared" si="114"/>
        <v>443236.66699999996</v>
      </c>
      <c r="I225" s="107">
        <f t="shared" si="114"/>
        <v>576262.05900000012</v>
      </c>
      <c r="J225" s="107">
        <f t="shared" si="114"/>
        <v>587366.56000000006</v>
      </c>
      <c r="K225" s="107">
        <f t="shared" si="114"/>
        <v>638998.39800000004</v>
      </c>
      <c r="L225" s="107">
        <f t="shared" si="114"/>
        <v>668159.36899999995</v>
      </c>
      <c r="M225" s="107">
        <f t="shared" si="114"/>
        <v>579906.53700000001</v>
      </c>
      <c r="N225" s="107">
        <f t="shared" si="114"/>
        <v>599326.31599999999</v>
      </c>
      <c r="O225" s="107">
        <f t="shared" ref="O225:Q225" si="115">O226-SUM(O223:O224)</f>
        <v>513261.34400000004</v>
      </c>
      <c r="P225" s="107">
        <f t="shared" si="115"/>
        <v>443799.62199999997</v>
      </c>
      <c r="Q225" s="107">
        <f t="shared" si="115"/>
        <v>98683.323999999993</v>
      </c>
      <c r="R225" s="107">
        <f>SUM(F225:Q225)</f>
        <v>6041242.8069999991</v>
      </c>
    </row>
    <row r="226" spans="1:37" x14ac:dyDescent="0.2">
      <c r="A226" s="30"/>
      <c r="B226" s="30"/>
      <c r="C226" s="30" t="s">
        <v>17</v>
      </c>
      <c r="D226" s="30"/>
      <c r="E226" s="30" t="s">
        <v>10</v>
      </c>
      <c r="F226" s="111">
        <f>'Weather Adj'!D181</f>
        <v>715686.64599999995</v>
      </c>
      <c r="G226" s="111">
        <f>'Weather Adj'!E181</f>
        <v>723322.54399999999</v>
      </c>
      <c r="H226" s="111">
        <f>'Weather Adj'!F181</f>
        <v>721587.85899999994</v>
      </c>
      <c r="I226" s="111">
        <f>'Weather Adj'!G181</f>
        <v>893700.30300000007</v>
      </c>
      <c r="J226" s="111">
        <f>'Weather Adj'!H181</f>
        <v>902546.43400000012</v>
      </c>
      <c r="K226" s="111">
        <f>'Weather Adj'!I181</f>
        <v>967290.95299999998</v>
      </c>
      <c r="L226" s="111">
        <f>'Weather Adj'!J181</f>
        <v>984923.92099999997</v>
      </c>
      <c r="M226" s="111">
        <f>'Weather Adj'!K181</f>
        <v>881329.02300000004</v>
      </c>
      <c r="N226" s="111">
        <f>'Weather Adj'!L181</f>
        <v>921278.62699999998</v>
      </c>
      <c r="O226" s="111">
        <f>'Weather Adj'!M181</f>
        <v>819888.06</v>
      </c>
      <c r="P226" s="111">
        <f>'Weather Adj'!N181</f>
        <v>725118.15899999999</v>
      </c>
      <c r="Q226" s="111">
        <f>'Weather Adj'!O181</f>
        <v>208689.174</v>
      </c>
      <c r="R226" s="109">
        <f>SUM(R223:R225)</f>
        <v>9465361.7029999997</v>
      </c>
    </row>
    <row r="227" spans="1:37" x14ac:dyDescent="0.2">
      <c r="A227" s="30"/>
      <c r="B227" s="30" t="s">
        <v>29</v>
      </c>
      <c r="C227" s="30"/>
      <c r="D227" s="30"/>
      <c r="E227" s="30" t="s">
        <v>100</v>
      </c>
      <c r="F227" s="76">
        <f>'(R) Data'!C40</f>
        <v>43084.084999999999</v>
      </c>
      <c r="G227" s="156">
        <f>'(R) Data'!D40</f>
        <v>40720.915000000001</v>
      </c>
      <c r="H227" s="156">
        <f>'(R) Data'!E40</f>
        <v>39251.000999999997</v>
      </c>
      <c r="I227" s="156">
        <f>'(R) Data'!F40</f>
        <v>41478.165000000001</v>
      </c>
      <c r="J227" s="156">
        <f>'(R) Data'!G40</f>
        <v>35383.019</v>
      </c>
      <c r="K227" s="156">
        <f>'(R) Data'!H40</f>
        <v>34661.311000000002</v>
      </c>
      <c r="L227" s="156">
        <f>'(R) Data'!I40</f>
        <v>35039.822</v>
      </c>
      <c r="M227" s="156">
        <f>'(R) Data'!J40</f>
        <v>32922.214999999997</v>
      </c>
      <c r="N227" s="156">
        <f>'(R) Data'!K40</f>
        <v>35515.919000000002</v>
      </c>
      <c r="O227" s="156">
        <f>'(R) Data'!L40</f>
        <v>35497.504000000001</v>
      </c>
      <c r="P227" s="156">
        <f>'(R) Data'!M40</f>
        <v>34267.963000000003</v>
      </c>
      <c r="Q227" s="156">
        <f>'(R) Data'!N40</f>
        <v>41493.053999999996</v>
      </c>
      <c r="R227" s="107">
        <f>SUM(F227:Q227)</f>
        <v>449314.97299999994</v>
      </c>
    </row>
    <row r="228" spans="1:37" x14ac:dyDescent="0.2">
      <c r="A228" s="30"/>
      <c r="B228" s="30" t="s">
        <v>21</v>
      </c>
      <c r="C228" s="30"/>
      <c r="D228" s="30"/>
      <c r="E228" s="30" t="s">
        <v>22</v>
      </c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107"/>
    </row>
    <row r="229" spans="1:37" x14ac:dyDescent="0.2">
      <c r="A229" s="30"/>
      <c r="B229" s="30"/>
      <c r="C229" s="30"/>
      <c r="D229" s="30"/>
      <c r="E229" s="30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</row>
    <row r="230" spans="1:37" s="30" customFormat="1" x14ac:dyDescent="0.2">
      <c r="B230" s="29" t="s">
        <v>9</v>
      </c>
      <c r="R230" s="96"/>
    </row>
    <row r="231" spans="1:37" x14ac:dyDescent="0.2">
      <c r="A231" s="30" t="s">
        <v>147</v>
      </c>
      <c r="B231" s="30" t="s">
        <v>282</v>
      </c>
      <c r="C231" s="30"/>
      <c r="D231" s="30">
        <v>41</v>
      </c>
      <c r="E231" s="30"/>
      <c r="F231" s="34">
        <f t="shared" ref="F231:N231" si="116">F206*F221</f>
        <v>8567.385967501099</v>
      </c>
      <c r="G231" s="34">
        <f t="shared" si="116"/>
        <v>8518.3823610013187</v>
      </c>
      <c r="H231" s="34">
        <f t="shared" si="116"/>
        <v>8174.9738366271413</v>
      </c>
      <c r="I231" s="34">
        <f t="shared" si="116"/>
        <v>8303.4657426438316</v>
      </c>
      <c r="J231" s="34">
        <f t="shared" si="116"/>
        <v>7849.3270162494509</v>
      </c>
      <c r="K231" s="34">
        <f t="shared" si="116"/>
        <v>8092.3607607571885</v>
      </c>
      <c r="L231" s="34">
        <f t="shared" si="116"/>
        <v>7779.5349900164956</v>
      </c>
      <c r="M231" s="34">
        <f t="shared" si="116"/>
        <v>7350.2208177793218</v>
      </c>
      <c r="N231" s="34">
        <f t="shared" si="116"/>
        <v>7965.1938510287364</v>
      </c>
      <c r="O231" s="34">
        <f t="shared" ref="O231:Q231" si="117">O206*O221</f>
        <v>7883.3871646844354</v>
      </c>
      <c r="P231" s="34">
        <f t="shared" si="117"/>
        <v>7891.6399999999994</v>
      </c>
      <c r="Q231" s="34">
        <f t="shared" si="117"/>
        <v>3364.67</v>
      </c>
      <c r="R231" s="70">
        <f>SUM(F231:Q231)</f>
        <v>91740.542508289029</v>
      </c>
    </row>
    <row r="232" spans="1:37" s="30" customFormat="1" x14ac:dyDescent="0.2">
      <c r="B232" s="30" t="s">
        <v>3</v>
      </c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70"/>
    </row>
    <row r="233" spans="1:37" s="30" customFormat="1" x14ac:dyDescent="0.2">
      <c r="C233" t="s">
        <v>241</v>
      </c>
      <c r="F233" s="104">
        <v>0</v>
      </c>
      <c r="G233" s="104">
        <v>0</v>
      </c>
      <c r="H233" s="104">
        <v>0</v>
      </c>
      <c r="I233" s="104">
        <v>0</v>
      </c>
      <c r="J233" s="104">
        <v>0</v>
      </c>
      <c r="K233" s="104">
        <v>0</v>
      </c>
      <c r="L233" s="104">
        <v>0</v>
      </c>
      <c r="M233" s="104">
        <v>0</v>
      </c>
      <c r="N233" s="104">
        <v>0</v>
      </c>
      <c r="O233" s="104">
        <v>0</v>
      </c>
      <c r="P233" s="104">
        <v>0</v>
      </c>
      <c r="Q233" s="104">
        <v>0</v>
      </c>
      <c r="R233" s="70">
        <f>SUM(F233:Q233)</f>
        <v>0</v>
      </c>
    </row>
    <row r="234" spans="1:37" s="30" customFormat="1" x14ac:dyDescent="0.2">
      <c r="C234" t="s">
        <v>242</v>
      </c>
      <c r="D234" s="30">
        <v>41</v>
      </c>
      <c r="F234" s="34">
        <f t="shared" ref="F234:N234" si="118">F208*F224</f>
        <v>26594.990947440005</v>
      </c>
      <c r="G234" s="34">
        <f t="shared" si="118"/>
        <v>26776.073474760004</v>
      </c>
      <c r="H234" s="34">
        <f t="shared" si="118"/>
        <v>27448.584894600001</v>
      </c>
      <c r="I234" s="34">
        <f t="shared" si="118"/>
        <v>31990.057351680003</v>
      </c>
      <c r="J234" s="34">
        <f t="shared" si="118"/>
        <v>32118.539358840004</v>
      </c>
      <c r="K234" s="34">
        <f t="shared" si="118"/>
        <v>33486.133955280005</v>
      </c>
      <c r="L234" s="34">
        <f t="shared" si="118"/>
        <v>32331.027995280001</v>
      </c>
      <c r="M234" s="34">
        <f t="shared" si="118"/>
        <v>30815.837227200005</v>
      </c>
      <c r="N234" s="34">
        <f t="shared" si="118"/>
        <v>32780.140557600003</v>
      </c>
      <c r="O234" s="34">
        <f t="shared" ref="O234:Q234" si="119">O208*O224</f>
        <v>30996.685797600003</v>
      </c>
      <c r="P234" s="34">
        <f t="shared" si="119"/>
        <v>27894.2226108</v>
      </c>
      <c r="Q234" s="34">
        <f t="shared" si="119"/>
        <v>10556.359500240002</v>
      </c>
      <c r="R234" s="70">
        <f>SUM(F234:Q234)</f>
        <v>343788.65367132006</v>
      </c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</row>
    <row r="235" spans="1:37" s="30" customFormat="1" x14ac:dyDescent="0.2">
      <c r="C235" t="s">
        <v>16</v>
      </c>
      <c r="D235" s="30">
        <v>41</v>
      </c>
      <c r="F235" s="34">
        <f t="shared" ref="F235:N235" si="120">F209*F225</f>
        <v>45879.749135639999</v>
      </c>
      <c r="G235" s="34">
        <f t="shared" si="120"/>
        <v>46592.275068399998</v>
      </c>
      <c r="H235" s="34">
        <f t="shared" si="120"/>
        <v>45937.048167879992</v>
      </c>
      <c r="I235" s="34">
        <f t="shared" si="120"/>
        <v>59723.799794760009</v>
      </c>
      <c r="J235" s="34">
        <f t="shared" si="120"/>
        <v>60874.670278400001</v>
      </c>
      <c r="K235" s="34">
        <f t="shared" si="120"/>
        <v>66225.793968719998</v>
      </c>
      <c r="L235" s="34">
        <f t="shared" si="120"/>
        <v>69248.037003159989</v>
      </c>
      <c r="M235" s="34">
        <f t="shared" si="120"/>
        <v>60101.513494679995</v>
      </c>
      <c r="N235" s="34">
        <f t="shared" si="120"/>
        <v>62114.179390239995</v>
      </c>
      <c r="O235" s="34">
        <f t="shared" ref="O235:Q235" si="121">O209*O225</f>
        <v>53194.405692159999</v>
      </c>
      <c r="P235" s="34">
        <f t="shared" si="121"/>
        <v>45995.392824079994</v>
      </c>
      <c r="Q235" s="34">
        <f t="shared" si="121"/>
        <v>10227.539699359999</v>
      </c>
      <c r="R235" s="70">
        <f>SUM(F235:Q235)</f>
        <v>626114.40451747994</v>
      </c>
    </row>
    <row r="236" spans="1:37" s="30" customFormat="1" x14ac:dyDescent="0.2">
      <c r="A236" s="30" t="s">
        <v>147</v>
      </c>
      <c r="C236" s="30" t="s">
        <v>26</v>
      </c>
      <c r="F236" s="24">
        <f t="shared" ref="F236:N236" si="122">SUM(F233:F235)</f>
        <v>72474.740083080003</v>
      </c>
      <c r="G236" s="24">
        <f t="shared" si="122"/>
        <v>73368.348543159998</v>
      </c>
      <c r="H236" s="24">
        <f t="shared" si="122"/>
        <v>73385.633062479988</v>
      </c>
      <c r="I236" s="24">
        <f t="shared" si="122"/>
        <v>91713.857146440016</v>
      </c>
      <c r="J236" s="24">
        <f t="shared" si="122"/>
        <v>92993.209637240012</v>
      </c>
      <c r="K236" s="24">
        <f t="shared" si="122"/>
        <v>99711.927924000003</v>
      </c>
      <c r="L236" s="24">
        <f t="shared" si="122"/>
        <v>101579.06499843999</v>
      </c>
      <c r="M236" s="24">
        <f t="shared" si="122"/>
        <v>90917.350721880008</v>
      </c>
      <c r="N236" s="24">
        <f t="shared" si="122"/>
        <v>94894.319947840006</v>
      </c>
      <c r="O236" s="24">
        <f t="shared" ref="O236:Q236" si="123">SUM(O233:O235)</f>
        <v>84191.091489760001</v>
      </c>
      <c r="P236" s="24">
        <f t="shared" si="123"/>
        <v>73889.61543487999</v>
      </c>
      <c r="Q236" s="24">
        <f t="shared" si="123"/>
        <v>20783.8991996</v>
      </c>
      <c r="R236" s="24">
        <f>SUM(R233:R235)</f>
        <v>969903.0581888</v>
      </c>
    </row>
    <row r="237" spans="1:37" s="30" customFormat="1" x14ac:dyDescent="0.2">
      <c r="A237" s="30" t="s">
        <v>147</v>
      </c>
      <c r="B237" s="30" t="s">
        <v>441</v>
      </c>
      <c r="D237" s="30">
        <v>41</v>
      </c>
      <c r="F237" s="40">
        <f>F210*F226</f>
        <v>4358.5316741399993</v>
      </c>
      <c r="G237" s="40">
        <f t="shared" ref="G237:Q237" si="124">G210*G226</f>
        <v>4405.0342929600001</v>
      </c>
      <c r="H237" s="40">
        <f t="shared" si="124"/>
        <v>4394.4700613099994</v>
      </c>
      <c r="I237" s="40">
        <f t="shared" si="124"/>
        <v>5442.6348452700004</v>
      </c>
      <c r="J237" s="40">
        <f t="shared" si="124"/>
        <v>5496.5077830600003</v>
      </c>
      <c r="K237" s="40">
        <f t="shared" si="124"/>
        <v>5890.8019037699996</v>
      </c>
      <c r="L237" s="40">
        <f t="shared" si="124"/>
        <v>5998.1866788899997</v>
      </c>
      <c r="M237" s="40">
        <f t="shared" si="124"/>
        <v>5367.29375007</v>
      </c>
      <c r="N237" s="40">
        <f t="shared" si="124"/>
        <v>5610.5868384300002</v>
      </c>
      <c r="O237" s="40">
        <f t="shared" si="124"/>
        <v>4993.1182853999999</v>
      </c>
      <c r="P237" s="40">
        <f t="shared" si="124"/>
        <v>4415.9695883100003</v>
      </c>
      <c r="Q237" s="40">
        <f t="shared" si="124"/>
        <v>1270.9170696599999</v>
      </c>
      <c r="R237" s="622">
        <f>SUM(F237:Q237)</f>
        <v>57644.052771269991</v>
      </c>
    </row>
    <row r="238" spans="1:37" s="30" customFormat="1" x14ac:dyDescent="0.2">
      <c r="A238" s="30" t="s">
        <v>130</v>
      </c>
      <c r="B238" s="30" t="s">
        <v>306</v>
      </c>
      <c r="D238" s="30">
        <v>101</v>
      </c>
      <c r="F238" s="34">
        <f t="shared" ref="F238:N238" si="125">F211*F226</f>
        <v>162532.43730659998</v>
      </c>
      <c r="G238" s="34">
        <f t="shared" si="125"/>
        <v>164266.54974240001</v>
      </c>
      <c r="H238" s="34">
        <f t="shared" si="125"/>
        <v>163872.60277889998</v>
      </c>
      <c r="I238" s="34">
        <f t="shared" si="125"/>
        <v>202959.33881130003</v>
      </c>
      <c r="J238" s="34">
        <f t="shared" si="125"/>
        <v>204968.29516140002</v>
      </c>
      <c r="K238" s="34">
        <f t="shared" si="125"/>
        <v>219671.77542629998</v>
      </c>
      <c r="L238" s="34">
        <f t="shared" si="125"/>
        <v>223676.22245909998</v>
      </c>
      <c r="M238" s="34">
        <f t="shared" si="125"/>
        <v>200149.8211233</v>
      </c>
      <c r="N238" s="34">
        <f t="shared" si="125"/>
        <v>209222.37619169999</v>
      </c>
      <c r="O238" s="34">
        <f t="shared" ref="O238:Q238" si="126">O211*O226</f>
        <v>186196.57842600002</v>
      </c>
      <c r="P238" s="34">
        <f t="shared" si="126"/>
        <v>164674.33390890001</v>
      </c>
      <c r="Q238" s="34">
        <f t="shared" si="126"/>
        <v>47393.3114154</v>
      </c>
      <c r="R238" s="70">
        <f>SUM(F238:Q238)</f>
        <v>2149583.6427512993</v>
      </c>
    </row>
    <row r="239" spans="1:37" s="30" customFormat="1" x14ac:dyDescent="0.2">
      <c r="A239" s="30" t="s">
        <v>551</v>
      </c>
      <c r="B239" s="30" t="s">
        <v>552</v>
      </c>
      <c r="D239" s="30">
        <v>149</v>
      </c>
      <c r="F239" s="34">
        <f>F212*F226</f>
        <v>4451.5709381199995</v>
      </c>
      <c r="G239" s="34">
        <f t="shared" ref="G239:Q239" si="127">G212*G226</f>
        <v>4499.0662236799999</v>
      </c>
      <c r="H239" s="34">
        <f t="shared" si="127"/>
        <v>4488.2764829799999</v>
      </c>
      <c r="I239" s="34">
        <f t="shared" si="127"/>
        <v>5558.8158846599999</v>
      </c>
      <c r="J239" s="34">
        <f t="shared" si="127"/>
        <v>5613.8388194800009</v>
      </c>
      <c r="K239" s="34">
        <f t="shared" si="127"/>
        <v>6016.5497276599999</v>
      </c>
      <c r="L239" s="34">
        <f t="shared" si="127"/>
        <v>6126.2267886199998</v>
      </c>
      <c r="M239" s="34">
        <f t="shared" si="127"/>
        <v>5481.86652306</v>
      </c>
      <c r="N239" s="34">
        <f t="shared" si="127"/>
        <v>5730.3530599400001</v>
      </c>
      <c r="O239" s="34">
        <f t="shared" si="127"/>
        <v>5099.7037332</v>
      </c>
      <c r="P239" s="34">
        <f t="shared" si="127"/>
        <v>4510.2349489799999</v>
      </c>
      <c r="Q239" s="34">
        <f t="shared" si="127"/>
        <v>1298.04666228</v>
      </c>
      <c r="R239" s="622">
        <f>SUM(F239:Q239)</f>
        <v>58874.549792660007</v>
      </c>
    </row>
    <row r="240" spans="1:37" s="30" customFormat="1" x14ac:dyDescent="0.2">
      <c r="B240" s="30" t="s">
        <v>18</v>
      </c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70"/>
    </row>
    <row r="241" spans="1:19" s="30" customFormat="1" x14ac:dyDescent="0.2">
      <c r="A241" s="30" t="s">
        <v>147</v>
      </c>
      <c r="C241" s="30" t="s">
        <v>19</v>
      </c>
      <c r="D241" s="30">
        <v>41</v>
      </c>
      <c r="F241" s="34">
        <f t="shared" ref="F241:N241" si="128">F214*F227</f>
        <v>50408.379449999993</v>
      </c>
      <c r="G241" s="34">
        <f t="shared" si="128"/>
        <v>47643.470549999998</v>
      </c>
      <c r="H241" s="34">
        <f t="shared" si="128"/>
        <v>45923.671169999994</v>
      </c>
      <c r="I241" s="34">
        <f t="shared" si="128"/>
        <v>48529.453049999996</v>
      </c>
      <c r="J241" s="34">
        <f t="shared" si="128"/>
        <v>41398.132229999996</v>
      </c>
      <c r="K241" s="34">
        <f t="shared" si="128"/>
        <v>40553.733869999996</v>
      </c>
      <c r="L241" s="34">
        <f t="shared" si="128"/>
        <v>40996.591739999996</v>
      </c>
      <c r="M241" s="34">
        <f t="shared" si="128"/>
        <v>38518.991549999992</v>
      </c>
      <c r="N241" s="34">
        <f t="shared" si="128"/>
        <v>41553.625229999998</v>
      </c>
      <c r="O241" s="34">
        <f t="shared" ref="O241:Q241" si="129">O214*O227</f>
        <v>41532.079679999995</v>
      </c>
      <c r="P241" s="34">
        <f t="shared" si="129"/>
        <v>40093.516710000004</v>
      </c>
      <c r="Q241" s="34">
        <f t="shared" si="129"/>
        <v>48546.873179999995</v>
      </c>
      <c r="R241" s="70">
        <f>SUM(F241:Q241)</f>
        <v>525698.5184099999</v>
      </c>
    </row>
    <row r="242" spans="1:19" s="30" customFormat="1" x14ac:dyDescent="0.2">
      <c r="A242" s="30" t="s">
        <v>130</v>
      </c>
      <c r="C242" s="30" t="s">
        <v>20</v>
      </c>
      <c r="D242" s="30">
        <v>101</v>
      </c>
      <c r="F242" s="34">
        <f t="shared" ref="F242:N242" si="130">F215*F227</f>
        <v>45238.289250000002</v>
      </c>
      <c r="G242" s="34">
        <f t="shared" si="130"/>
        <v>42756.960750000006</v>
      </c>
      <c r="H242" s="34">
        <f t="shared" si="130"/>
        <v>41213.551049999995</v>
      </c>
      <c r="I242" s="34">
        <f t="shared" si="130"/>
        <v>43552.073250000001</v>
      </c>
      <c r="J242" s="34">
        <f t="shared" si="130"/>
        <v>37152.169950000003</v>
      </c>
      <c r="K242" s="34">
        <f t="shared" si="130"/>
        <v>36394.376550000001</v>
      </c>
      <c r="L242" s="34">
        <f t="shared" si="130"/>
        <v>36791.813099999999</v>
      </c>
      <c r="M242" s="34">
        <f t="shared" si="130"/>
        <v>34568.325749999996</v>
      </c>
      <c r="N242" s="34">
        <f t="shared" si="130"/>
        <v>37291.714950000001</v>
      </c>
      <c r="O242" s="34">
        <f t="shared" ref="O242:Q242" si="131">O215*O227</f>
        <v>37272.379200000003</v>
      </c>
      <c r="P242" s="34">
        <f t="shared" si="131"/>
        <v>35981.361150000004</v>
      </c>
      <c r="Q242" s="34">
        <f t="shared" si="131"/>
        <v>43567.706699999995</v>
      </c>
      <c r="R242" s="70">
        <f>SUM(F242:Q242)</f>
        <v>471780.72165000002</v>
      </c>
    </row>
    <row r="243" spans="1:19" s="30" customFormat="1" x14ac:dyDescent="0.2">
      <c r="C243" s="30" t="s">
        <v>23</v>
      </c>
      <c r="F243" s="35">
        <f t="shared" ref="F243:N243" si="132">SUM(F241:F242)</f>
        <v>95646.668699999995</v>
      </c>
      <c r="G243" s="35">
        <f t="shared" si="132"/>
        <v>90400.431299999997</v>
      </c>
      <c r="H243" s="35">
        <f t="shared" si="132"/>
        <v>87137.222219999996</v>
      </c>
      <c r="I243" s="35">
        <f t="shared" si="132"/>
        <v>92081.526299999998</v>
      </c>
      <c r="J243" s="35">
        <f t="shared" si="132"/>
        <v>78550.302179999999</v>
      </c>
      <c r="K243" s="35">
        <f t="shared" si="132"/>
        <v>76948.110419999997</v>
      </c>
      <c r="L243" s="35">
        <f t="shared" si="132"/>
        <v>77788.404840000003</v>
      </c>
      <c r="M243" s="35">
        <f t="shared" si="132"/>
        <v>73087.317299999995</v>
      </c>
      <c r="N243" s="35">
        <f t="shared" si="132"/>
        <v>78845.340179999999</v>
      </c>
      <c r="O243" s="35">
        <f t="shared" ref="O243:Q243" si="133">SUM(O241:O242)</f>
        <v>78804.458879999991</v>
      </c>
      <c r="P243" s="35">
        <f t="shared" si="133"/>
        <v>76074.877860000008</v>
      </c>
      <c r="Q243" s="35">
        <f t="shared" si="133"/>
        <v>92114.57987999999</v>
      </c>
      <c r="R243" s="35">
        <f>SUM(R241:R242)</f>
        <v>997479.24005999998</v>
      </c>
    </row>
    <row r="244" spans="1:19" s="30" customFormat="1" x14ac:dyDescent="0.2">
      <c r="A244" s="30" t="s">
        <v>147</v>
      </c>
      <c r="B244" s="30" t="s">
        <v>21</v>
      </c>
      <c r="D244" s="30">
        <v>41</v>
      </c>
      <c r="F244" s="34">
        <f t="shared" ref="F244:N244" si="134">F221*F216</f>
        <v>9328.0906315327175</v>
      </c>
      <c r="G244" s="34">
        <f t="shared" si="134"/>
        <v>9274.7359578392625</v>
      </c>
      <c r="H244" s="34">
        <f t="shared" si="134"/>
        <v>8900.8359314888003</v>
      </c>
      <c r="I244" s="34">
        <f t="shared" si="134"/>
        <v>9040.7367307861241</v>
      </c>
      <c r="J244" s="34">
        <f t="shared" si="134"/>
        <v>8546.2746842336401</v>
      </c>
      <c r="K244" s="34">
        <f t="shared" si="134"/>
        <v>8810.8875782819032</v>
      </c>
      <c r="L244" s="34">
        <f t="shared" si="134"/>
        <v>8470.2857713343183</v>
      </c>
      <c r="M244" s="34">
        <f t="shared" si="134"/>
        <v>8002.8524698324509</v>
      </c>
      <c r="N244" s="34">
        <f t="shared" si="134"/>
        <v>8672.4294226929433</v>
      </c>
      <c r="O244" s="34">
        <f t="shared" ref="O244:Q244" si="135">O221*O216</f>
        <v>8583.3590589460891</v>
      </c>
      <c r="P244" s="34">
        <f t="shared" si="135"/>
        <v>8592.3446697359759</v>
      </c>
      <c r="Q244" s="34">
        <f t="shared" si="135"/>
        <v>3663.421587898149</v>
      </c>
      <c r="R244" s="70">
        <f>SUM(F244:Q244)</f>
        <v>99886.254494602385</v>
      </c>
    </row>
    <row r="245" spans="1:19" s="30" customFormat="1" x14ac:dyDescent="0.2">
      <c r="B245" s="30" t="s">
        <v>25</v>
      </c>
      <c r="F245" s="35">
        <f t="shared" ref="F245:N245" si="136">F238+F242</f>
        <v>207770.72655659998</v>
      </c>
      <c r="G245" s="35">
        <f t="shared" si="136"/>
        <v>207023.5104924</v>
      </c>
      <c r="H245" s="35">
        <f t="shared" si="136"/>
        <v>205086.15382889996</v>
      </c>
      <c r="I245" s="35">
        <f t="shared" si="136"/>
        <v>246511.41206130001</v>
      </c>
      <c r="J245" s="35">
        <f t="shared" si="136"/>
        <v>242120.46511140003</v>
      </c>
      <c r="K245" s="35">
        <f t="shared" si="136"/>
        <v>256066.1519763</v>
      </c>
      <c r="L245" s="35">
        <f t="shared" si="136"/>
        <v>260468.03555909998</v>
      </c>
      <c r="M245" s="35">
        <f t="shared" si="136"/>
        <v>234718.14687329999</v>
      </c>
      <c r="N245" s="35">
        <f t="shared" si="136"/>
        <v>246514.09114169999</v>
      </c>
      <c r="O245" s="35">
        <f t="shared" ref="O245:Q245" si="137">O238+O242</f>
        <v>223468.95762600002</v>
      </c>
      <c r="P245" s="35">
        <f t="shared" si="137"/>
        <v>200655.69505890002</v>
      </c>
      <c r="Q245" s="35">
        <f t="shared" si="137"/>
        <v>90961.018115399987</v>
      </c>
      <c r="R245" s="35">
        <f>R238+R242</f>
        <v>2621364.3644012995</v>
      </c>
    </row>
    <row r="246" spans="1:19" s="30" customFormat="1" x14ac:dyDescent="0.2">
      <c r="B246" s="30" t="s">
        <v>24</v>
      </c>
      <c r="F246" s="35">
        <f>F231+F236+F237+F238+F239+F243+F244</f>
        <v>357359.42530097382</v>
      </c>
      <c r="G246" s="35">
        <f t="shared" ref="G246:R246" si="138">G231+G236+G237+G238+G239+G243+G244</f>
        <v>354732.54842104058</v>
      </c>
      <c r="H246" s="35">
        <f t="shared" si="138"/>
        <v>350354.01437378587</v>
      </c>
      <c r="I246" s="35">
        <f t="shared" si="138"/>
        <v>415100.37546109996</v>
      </c>
      <c r="J246" s="35">
        <f t="shared" si="138"/>
        <v>404017.75528166309</v>
      </c>
      <c r="K246" s="35">
        <f t="shared" si="138"/>
        <v>425142.41374076909</v>
      </c>
      <c r="L246" s="35">
        <f t="shared" si="138"/>
        <v>431417.92652640073</v>
      </c>
      <c r="M246" s="35">
        <f t="shared" si="138"/>
        <v>390356.7227059218</v>
      </c>
      <c r="N246" s="35">
        <f t="shared" si="138"/>
        <v>410940.59949163167</v>
      </c>
      <c r="O246" s="35">
        <f t="shared" si="138"/>
        <v>375751.6970379905</v>
      </c>
      <c r="P246" s="35">
        <f t="shared" si="138"/>
        <v>340049.01641080598</v>
      </c>
      <c r="Q246" s="35">
        <f t="shared" si="138"/>
        <v>169888.84581483816</v>
      </c>
      <c r="R246" s="35">
        <f t="shared" si="138"/>
        <v>4425111.340566921</v>
      </c>
    </row>
    <row r="247" spans="1:19" s="30" customFormat="1" x14ac:dyDescent="0.2"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70"/>
    </row>
    <row r="248" spans="1:19" s="30" customFormat="1" x14ac:dyDescent="0.2">
      <c r="A248" s="30" t="s">
        <v>305</v>
      </c>
      <c r="B248" s="30" t="s">
        <v>304</v>
      </c>
      <c r="F248" s="34">
        <f t="shared" ref="F248:N248" si="139">F217*F226+F227*F218</f>
        <v>198230.63611987999</v>
      </c>
      <c r="G248" s="34">
        <f t="shared" si="139"/>
        <v>197522.77608832001</v>
      </c>
      <c r="H248" s="34">
        <f t="shared" si="139"/>
        <v>195676.81707401999</v>
      </c>
      <c r="I248" s="34">
        <f t="shared" si="139"/>
        <v>235214.51668434002</v>
      </c>
      <c r="J248" s="34">
        <f t="shared" si="139"/>
        <v>231037.03496252003</v>
      </c>
      <c r="K248" s="34">
        <f t="shared" si="139"/>
        <v>244350.64379134</v>
      </c>
      <c r="L248" s="34">
        <f t="shared" si="139"/>
        <v>248551.62959437998</v>
      </c>
      <c r="M248" s="34">
        <f t="shared" si="139"/>
        <v>223976.72060594001</v>
      </c>
      <c r="N248" s="34">
        <f t="shared" si="139"/>
        <v>235230.69976105998</v>
      </c>
      <c r="O248" s="34">
        <f t="shared" ref="O248:Q248" si="140">O217*O226+O227*O218</f>
        <v>213232.83764680004</v>
      </c>
      <c r="P248" s="34">
        <f t="shared" si="140"/>
        <v>191459.07750801998</v>
      </c>
      <c r="Q248" s="34">
        <f t="shared" si="140"/>
        <v>86732.693139719995</v>
      </c>
      <c r="R248" s="70">
        <f>SUM(F248:Q248)</f>
        <v>2501216.0829763403</v>
      </c>
    </row>
    <row r="249" spans="1:19" s="30" customFormat="1" x14ac:dyDescent="0.2"/>
    <row r="250" spans="1:19" x14ac:dyDescent="0.2">
      <c r="B250" s="15" t="s">
        <v>294</v>
      </c>
      <c r="C250" s="15"/>
      <c r="F250" s="50"/>
      <c r="G250" s="50"/>
      <c r="S250"/>
    </row>
    <row r="251" spans="1:19" x14ac:dyDescent="0.2">
      <c r="B251" s="15" t="s">
        <v>7</v>
      </c>
      <c r="C251" s="15"/>
      <c r="F251" s="50"/>
      <c r="G251" s="50"/>
      <c r="S251"/>
    </row>
    <row r="252" spans="1:19" s="30" customFormat="1" x14ac:dyDescent="0.2">
      <c r="A252"/>
      <c r="B252" t="s">
        <v>282</v>
      </c>
      <c r="C252"/>
      <c r="D252" s="21" t="s">
        <v>236</v>
      </c>
      <c r="E252" t="s">
        <v>5</v>
      </c>
      <c r="F252" s="159">
        <f>'Rate Design C&amp;I'!$H$69</f>
        <v>410.51</v>
      </c>
      <c r="G252" s="159">
        <f>'Rate Design C&amp;I'!$H$69</f>
        <v>410.51</v>
      </c>
      <c r="H252" s="159">
        <f>'Rate Design C&amp;I'!$H$69</f>
        <v>410.51</v>
      </c>
      <c r="I252" s="159">
        <f>'Rate Design C&amp;I'!$H$69</f>
        <v>410.51</v>
      </c>
      <c r="J252" s="159">
        <f>'Rate Design C&amp;I'!$H$69</f>
        <v>410.51</v>
      </c>
      <c r="K252" s="159">
        <f>'Rate Design C&amp;I'!$H$69</f>
        <v>410.51</v>
      </c>
      <c r="L252" s="159">
        <f>'Rate Design C&amp;I'!$H$69</f>
        <v>410.51</v>
      </c>
      <c r="M252" s="159">
        <f>'Rate Design C&amp;I'!$H$69</f>
        <v>410.51</v>
      </c>
      <c r="N252" s="159">
        <f>'Rate Design C&amp;I'!$H$69</f>
        <v>410.51</v>
      </c>
      <c r="O252" s="159">
        <f>'Rate Design C&amp;I'!$H$69</f>
        <v>410.51</v>
      </c>
      <c r="P252" s="159">
        <f>'Rate Design C&amp;I'!$H$69</f>
        <v>410.51</v>
      </c>
      <c r="Q252" s="159">
        <f>'Rate Design C&amp;I'!$H$69</f>
        <v>410.51</v>
      </c>
      <c r="R252"/>
    </row>
    <row r="253" spans="1:19" s="30" customFormat="1" x14ac:dyDescent="0.2">
      <c r="A253"/>
      <c r="B253" t="s">
        <v>3</v>
      </c>
      <c r="C253"/>
      <c r="D253" s="21"/>
      <c r="E253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/>
    </row>
    <row r="254" spans="1:19" s="30" customFormat="1" x14ac:dyDescent="0.2">
      <c r="A254"/>
      <c r="B254"/>
      <c r="C254" t="s">
        <v>15</v>
      </c>
      <c r="D254" s="21" t="s">
        <v>236</v>
      </c>
      <c r="E254" t="s">
        <v>6</v>
      </c>
      <c r="F254" s="160">
        <f>'Rate Design C&amp;I'!$H$74</f>
        <v>0.12876000000000001</v>
      </c>
      <c r="G254" s="160">
        <f>'Rate Design C&amp;I'!$H$74</f>
        <v>0.12876000000000001</v>
      </c>
      <c r="H254" s="160">
        <f>'Rate Design C&amp;I'!$H$74</f>
        <v>0.12876000000000001</v>
      </c>
      <c r="I254" s="160">
        <f>'Rate Design C&amp;I'!$H$74</f>
        <v>0.12876000000000001</v>
      </c>
      <c r="J254" s="160">
        <f>'Rate Design C&amp;I'!$H$74</f>
        <v>0.12876000000000001</v>
      </c>
      <c r="K254" s="160">
        <f>'Rate Design C&amp;I'!$H$74</f>
        <v>0.12876000000000001</v>
      </c>
      <c r="L254" s="160">
        <f>'Rate Design C&amp;I'!$H$74</f>
        <v>0.12876000000000001</v>
      </c>
      <c r="M254" s="160">
        <f>'Rate Design C&amp;I'!$H$74</f>
        <v>0.12876000000000001</v>
      </c>
      <c r="N254" s="160">
        <f>'Rate Design C&amp;I'!$H$74</f>
        <v>0.12876000000000001</v>
      </c>
      <c r="O254" s="160">
        <f>'Rate Design C&amp;I'!$H$74</f>
        <v>0.12876000000000001</v>
      </c>
      <c r="P254" s="160">
        <f>'Rate Design C&amp;I'!$H$74</f>
        <v>0.12876000000000001</v>
      </c>
      <c r="Q254" s="160">
        <f>'Rate Design C&amp;I'!$H$74</f>
        <v>0.12876000000000001</v>
      </c>
      <c r="R254"/>
    </row>
    <row r="255" spans="1:19" s="30" customFormat="1" x14ac:dyDescent="0.2">
      <c r="A255"/>
      <c r="B255"/>
      <c r="C255" t="s">
        <v>16</v>
      </c>
      <c r="D255" s="21" t="s">
        <v>236</v>
      </c>
      <c r="E255" t="s">
        <v>6</v>
      </c>
      <c r="F255" s="160">
        <f>'Rate Design C&amp;I'!$H$76</f>
        <v>0.10364</v>
      </c>
      <c r="G255" s="160">
        <f>'Rate Design C&amp;I'!$H$76</f>
        <v>0.10364</v>
      </c>
      <c r="H255" s="160">
        <f>'Rate Design C&amp;I'!$H$76</f>
        <v>0.10364</v>
      </c>
      <c r="I255" s="160">
        <f>'Rate Design C&amp;I'!$H$76</f>
        <v>0.10364</v>
      </c>
      <c r="J255" s="160">
        <f>'Rate Design C&amp;I'!$H$76</f>
        <v>0.10364</v>
      </c>
      <c r="K255" s="160">
        <f>'Rate Design C&amp;I'!$H$76</f>
        <v>0.10364</v>
      </c>
      <c r="L255" s="160">
        <f>'Rate Design C&amp;I'!$H$76</f>
        <v>0.10364</v>
      </c>
      <c r="M255" s="160">
        <f>'Rate Design C&amp;I'!$H$76</f>
        <v>0.10364</v>
      </c>
      <c r="N255" s="160">
        <f>'Rate Design C&amp;I'!$H$76</f>
        <v>0.10364</v>
      </c>
      <c r="O255" s="160">
        <f>'Rate Design C&amp;I'!$H$76</f>
        <v>0.10364</v>
      </c>
      <c r="P255" s="160">
        <f>'Rate Design C&amp;I'!$H$76</f>
        <v>0.10364</v>
      </c>
      <c r="Q255" s="160">
        <f>'Rate Design C&amp;I'!$H$76</f>
        <v>0.10364</v>
      </c>
      <c r="R255"/>
    </row>
    <row r="256" spans="1:19" s="30" customFormat="1" x14ac:dyDescent="0.2">
      <c r="A256"/>
      <c r="B256" s="30" t="s">
        <v>301</v>
      </c>
      <c r="C256"/>
      <c r="D256" s="21" t="s">
        <v>236</v>
      </c>
      <c r="E256" t="s">
        <v>6</v>
      </c>
      <c r="F256" s="160">
        <f>'Rate Design C&amp;I'!$H$81</f>
        <v>6.9999999999999999E-4</v>
      </c>
      <c r="G256" s="160">
        <f>'Rate Design C&amp;I'!$H$81</f>
        <v>6.9999999999999999E-4</v>
      </c>
      <c r="H256" s="160">
        <f>'Rate Design C&amp;I'!$H$81</f>
        <v>6.9999999999999999E-4</v>
      </c>
      <c r="I256" s="160">
        <f>'Rate Design C&amp;I'!$H$81</f>
        <v>6.9999999999999999E-4</v>
      </c>
      <c r="J256" s="160">
        <f>'Rate Design C&amp;I'!$H$81</f>
        <v>6.9999999999999999E-4</v>
      </c>
      <c r="K256" s="160">
        <f>'Rate Design C&amp;I'!$H$81</f>
        <v>6.9999999999999999E-4</v>
      </c>
      <c r="L256" s="160">
        <f>'Rate Design C&amp;I'!$H$81</f>
        <v>6.9999999999999999E-4</v>
      </c>
      <c r="M256" s="160">
        <f>'Rate Design C&amp;I'!$H$81</f>
        <v>6.9999999999999999E-4</v>
      </c>
      <c r="N256" s="160">
        <f>'Rate Design C&amp;I'!$H$81</f>
        <v>6.9999999999999999E-4</v>
      </c>
      <c r="O256" s="160">
        <f>'Rate Design C&amp;I'!$H$81</f>
        <v>6.9999999999999999E-4</v>
      </c>
      <c r="P256" s="160">
        <f>'Rate Design C&amp;I'!$H$81</f>
        <v>6.9999999999999999E-4</v>
      </c>
      <c r="Q256" s="160">
        <f>'Rate Design C&amp;I'!$H$81</f>
        <v>6.9999999999999999E-4</v>
      </c>
      <c r="R256"/>
    </row>
    <row r="257" spans="1:19" s="30" customFormat="1" x14ac:dyDescent="0.2">
      <c r="A257"/>
      <c r="B257" t="s">
        <v>237</v>
      </c>
      <c r="C257"/>
      <c r="D257" s="21" t="s">
        <v>236</v>
      </c>
      <c r="E257" t="s">
        <v>6</v>
      </c>
      <c r="F257" s="160">
        <f>'Rate Design C&amp;I'!$H$78</f>
        <v>0</v>
      </c>
      <c r="G257" s="160">
        <f>'Rate Design C&amp;I'!$H$78</f>
        <v>0</v>
      </c>
      <c r="H257" s="160">
        <f>'Rate Design C&amp;I'!$H$78</f>
        <v>0</v>
      </c>
      <c r="I257" s="160">
        <f>'Rate Design C&amp;I'!$H$78</f>
        <v>0</v>
      </c>
      <c r="J257" s="160">
        <f>'Rate Design C&amp;I'!$H$78</f>
        <v>0</v>
      </c>
      <c r="K257" s="160">
        <f>'Rate Design C&amp;I'!$H$78</f>
        <v>0</v>
      </c>
      <c r="L257" s="160">
        <f>'Rate Design C&amp;I'!$H$78</f>
        <v>0</v>
      </c>
      <c r="M257" s="160">
        <f>'Rate Design C&amp;I'!$H$78</f>
        <v>0</v>
      </c>
      <c r="N257" s="160">
        <f>'Rate Design C&amp;I'!$H$78</f>
        <v>0</v>
      </c>
      <c r="O257" s="160">
        <f>'Rate Design C&amp;I'!$H$78</f>
        <v>0</v>
      </c>
      <c r="P257" s="160">
        <f>'Rate Design C&amp;I'!$H$78</f>
        <v>0</v>
      </c>
      <c r="Q257" s="160">
        <f>'Rate Design C&amp;I'!$H$78</f>
        <v>0</v>
      </c>
      <c r="R257"/>
    </row>
    <row r="258" spans="1:19" s="30" customFormat="1" x14ac:dyDescent="0.2">
      <c r="A258"/>
      <c r="B258" t="s">
        <v>550</v>
      </c>
      <c r="C258"/>
      <c r="D258" s="21">
        <v>149</v>
      </c>
      <c r="E258" t="s">
        <v>6</v>
      </c>
      <c r="F258" s="773">
        <f>F166</f>
        <v>6.2199999999999998E-3</v>
      </c>
      <c r="G258" s="773">
        <f t="shared" ref="G258:Q258" si="141">G166</f>
        <v>6.2199999999999998E-3</v>
      </c>
      <c r="H258" s="773">
        <f t="shared" si="141"/>
        <v>6.2199999999999998E-3</v>
      </c>
      <c r="I258" s="773">
        <f t="shared" si="141"/>
        <v>6.2199999999999998E-3</v>
      </c>
      <c r="J258" s="773">
        <f t="shared" si="141"/>
        <v>6.2199999999999998E-3</v>
      </c>
      <c r="K258" s="773">
        <f t="shared" si="141"/>
        <v>6.2199999999999998E-3</v>
      </c>
      <c r="L258" s="773">
        <f t="shared" si="141"/>
        <v>6.2199999999999998E-3</v>
      </c>
      <c r="M258" s="773">
        <f t="shared" si="141"/>
        <v>6.2199999999999998E-3</v>
      </c>
      <c r="N258" s="773">
        <f t="shared" si="141"/>
        <v>6.2199999999999998E-3</v>
      </c>
      <c r="O258" s="773">
        <f t="shared" si="141"/>
        <v>6.2199999999999998E-3</v>
      </c>
      <c r="P258" s="773">
        <f t="shared" si="141"/>
        <v>6.2199999999999998E-3</v>
      </c>
      <c r="Q258" s="773">
        <f t="shared" si="141"/>
        <v>6.2199999999999998E-3</v>
      </c>
      <c r="R258"/>
    </row>
    <row r="259" spans="1:19" s="30" customFormat="1" x14ac:dyDescent="0.2">
      <c r="B259" t="s">
        <v>19</v>
      </c>
      <c r="C259"/>
      <c r="D259" s="21" t="s">
        <v>236</v>
      </c>
      <c r="E259" t="s">
        <v>6</v>
      </c>
      <c r="F259" s="159">
        <f>'Rate Design C&amp;I'!$H$71</f>
        <v>1.17</v>
      </c>
      <c r="G259" s="159">
        <f>'Rate Design C&amp;I'!$H$71</f>
        <v>1.17</v>
      </c>
      <c r="H259" s="159">
        <f>'Rate Design C&amp;I'!$H$71</f>
        <v>1.17</v>
      </c>
      <c r="I259" s="159">
        <f>'Rate Design C&amp;I'!$H$71</f>
        <v>1.17</v>
      </c>
      <c r="J259" s="159">
        <f>'Rate Design C&amp;I'!$H$71</f>
        <v>1.17</v>
      </c>
      <c r="K259" s="159">
        <f>'Rate Design C&amp;I'!$H$71</f>
        <v>1.17</v>
      </c>
      <c r="L259" s="159">
        <f>'Rate Design C&amp;I'!$H$71</f>
        <v>1.17</v>
      </c>
      <c r="M259" s="159">
        <f>'Rate Design C&amp;I'!$H$71</f>
        <v>1.17</v>
      </c>
      <c r="N259" s="159">
        <f>'Rate Design C&amp;I'!$H$71</f>
        <v>1.17</v>
      </c>
      <c r="O259" s="159">
        <f>'Rate Design C&amp;I'!$H$71</f>
        <v>1.17</v>
      </c>
      <c r="P259" s="159">
        <f>'Rate Design C&amp;I'!$H$71</f>
        <v>1.17</v>
      </c>
      <c r="Q259" s="159">
        <f>'Rate Design C&amp;I'!$H$71</f>
        <v>1.17</v>
      </c>
      <c r="R259"/>
    </row>
    <row r="260" spans="1:19" s="30" customFormat="1" x14ac:dyDescent="0.2">
      <c r="A260"/>
      <c r="B260" t="s">
        <v>21</v>
      </c>
      <c r="C260"/>
      <c r="D260" s="21" t="s">
        <v>236</v>
      </c>
      <c r="E260" t="s">
        <v>22</v>
      </c>
      <c r="F260" s="159">
        <f>'Rate Design C&amp;I'!$H$70</f>
        <v>115.88</v>
      </c>
      <c r="G260" s="159">
        <f>'Rate Design C&amp;I'!$H$70</f>
        <v>115.88</v>
      </c>
      <c r="H260" s="159">
        <f>'Rate Design C&amp;I'!$H$70</f>
        <v>115.88</v>
      </c>
      <c r="I260" s="159">
        <f>'Rate Design C&amp;I'!$H$70</f>
        <v>115.88</v>
      </c>
      <c r="J260" s="159">
        <f>'Rate Design C&amp;I'!$H$70</f>
        <v>115.88</v>
      </c>
      <c r="K260" s="159">
        <f>'Rate Design C&amp;I'!$H$70</f>
        <v>115.88</v>
      </c>
      <c r="L260" s="159">
        <f>'Rate Design C&amp;I'!$H$70</f>
        <v>115.88</v>
      </c>
      <c r="M260" s="159">
        <f>'Rate Design C&amp;I'!$H$70</f>
        <v>115.88</v>
      </c>
      <c r="N260" s="159">
        <f>'Rate Design C&amp;I'!$H$70</f>
        <v>115.88</v>
      </c>
      <c r="O260" s="159">
        <f>'Rate Design C&amp;I'!$H$70</f>
        <v>115.88</v>
      </c>
      <c r="P260" s="159">
        <f>'Rate Design C&amp;I'!$H$70</f>
        <v>115.88</v>
      </c>
      <c r="Q260" s="159">
        <f>'Rate Design C&amp;I'!$H$70</f>
        <v>115.88</v>
      </c>
      <c r="R260"/>
    </row>
    <row r="261" spans="1:19" s="30" customFormat="1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9" s="30" customFormat="1" x14ac:dyDescent="0.2">
      <c r="A262"/>
      <c r="B262" s="15" t="s">
        <v>295</v>
      </c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9" s="30" customFormat="1" x14ac:dyDescent="0.2">
      <c r="A263"/>
      <c r="B263" t="s">
        <v>22</v>
      </c>
      <c r="C263"/>
      <c r="D263"/>
      <c r="E263" t="s">
        <v>22</v>
      </c>
      <c r="F263" s="64">
        <f>'(R) Data'!C20</f>
        <v>72</v>
      </c>
      <c r="G263" s="64">
        <f>'(R) Data'!D20</f>
        <v>73</v>
      </c>
      <c r="H263" s="64">
        <f>'(R) Data'!E20</f>
        <v>73</v>
      </c>
      <c r="I263" s="64">
        <f>'(R) Data'!F20</f>
        <v>74</v>
      </c>
      <c r="J263" s="64">
        <f>'(R) Data'!G20</f>
        <v>75</v>
      </c>
      <c r="K263" s="64">
        <f>'(R) Data'!H20</f>
        <v>74.999888514211207</v>
      </c>
      <c r="L263" s="64">
        <f>'(R) Data'!I20</f>
        <v>77</v>
      </c>
      <c r="M263" s="64">
        <f>'(R) Data'!J20</f>
        <v>78.999999999999986</v>
      </c>
      <c r="N263" s="64">
        <f>'(R) Data'!K20</f>
        <v>78.999999999999986</v>
      </c>
      <c r="O263" s="64">
        <f>'(R) Data'!L20</f>
        <v>81</v>
      </c>
      <c r="P263" s="64">
        <f>'(R) Data'!M20</f>
        <v>81</v>
      </c>
      <c r="Q263" s="64">
        <f>'(R) Data'!N20</f>
        <v>83</v>
      </c>
      <c r="R263" s="91">
        <f>SUM(F263:Q263)</f>
        <v>921.99988851421119</v>
      </c>
    </row>
    <row r="264" spans="1:19" s="30" customFormat="1" x14ac:dyDescent="0.2">
      <c r="A264"/>
      <c r="B264" t="s">
        <v>30</v>
      </c>
      <c r="C264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107"/>
    </row>
    <row r="265" spans="1:19" s="30" customFormat="1" x14ac:dyDescent="0.2">
      <c r="A265"/>
      <c r="B265"/>
      <c r="C265" t="s">
        <v>241</v>
      </c>
      <c r="D265" s="21" t="s">
        <v>236</v>
      </c>
      <c r="E265" s="30" t="s">
        <v>10</v>
      </c>
      <c r="F265" s="161">
        <f>'(R) Therms By Block'!B23</f>
        <v>61737.599999999999</v>
      </c>
      <c r="G265" s="170">
        <f>'(R) Therms By Block'!C23</f>
        <v>62165.19</v>
      </c>
      <c r="H265" s="170">
        <f>'(R) Therms By Block'!D23</f>
        <v>63433.68</v>
      </c>
      <c r="I265" s="170">
        <f>'(R) Therms By Block'!E23</f>
        <v>66525.899999999994</v>
      </c>
      <c r="J265" s="170">
        <f>'(R) Therms By Block'!F23</f>
        <v>67500</v>
      </c>
      <c r="K265" s="170">
        <f>'(R) Therms By Block'!G23</f>
        <v>67334.38</v>
      </c>
      <c r="L265" s="170">
        <f>'(R) Therms By Block'!H23</f>
        <v>69360</v>
      </c>
      <c r="M265" s="170">
        <f>'(R) Therms By Block'!I23</f>
        <v>70980</v>
      </c>
      <c r="N265" s="170">
        <f>'(R) Therms By Block'!J23</f>
        <v>71100</v>
      </c>
      <c r="O265" s="170">
        <f>'(R) Therms By Block'!K23</f>
        <v>72000</v>
      </c>
      <c r="P265" s="170">
        <f>'(R) Therms By Block'!L23</f>
        <v>70241.990000000005</v>
      </c>
      <c r="Q265" s="170">
        <f>'(R) Therms By Block'!M23</f>
        <v>70979.11</v>
      </c>
      <c r="R265" s="107">
        <f>SUM(F265:Q265)</f>
        <v>813357.85</v>
      </c>
    </row>
    <row r="266" spans="1:19" s="30" customFormat="1" x14ac:dyDescent="0.2">
      <c r="C266" t="s">
        <v>242</v>
      </c>
      <c r="D266" s="21" t="s">
        <v>236</v>
      </c>
      <c r="E266" s="30" t="s">
        <v>10</v>
      </c>
      <c r="F266" s="170">
        <f>'(R) Therms By Block'!B24</f>
        <v>190222.91</v>
      </c>
      <c r="G266" s="170">
        <f>'(R) Therms By Block'!C24</f>
        <v>188862.49</v>
      </c>
      <c r="H266" s="170">
        <f>'(R) Therms By Block'!D24</f>
        <v>196876.2</v>
      </c>
      <c r="I266" s="170">
        <f>'(R) Therms By Block'!E24</f>
        <v>241816.23</v>
      </c>
      <c r="J266" s="170">
        <f>'(R) Therms By Block'!F24</f>
        <v>260935.1</v>
      </c>
      <c r="K266" s="170">
        <f>'(R) Therms By Block'!G24</f>
        <v>276147.83</v>
      </c>
      <c r="L266" s="170">
        <f>'(R) Therms By Block'!H24</f>
        <v>278423.61</v>
      </c>
      <c r="M266" s="170">
        <f>'(R) Therms By Block'!I24</f>
        <v>284808.07</v>
      </c>
      <c r="N266" s="170">
        <f>'(R) Therms By Block'!J24</f>
        <v>280728.15999999997</v>
      </c>
      <c r="O266" s="170">
        <f>'(R) Therms By Block'!K24</f>
        <v>264094.78999999998</v>
      </c>
      <c r="P266" s="170">
        <f>'(R) Therms By Block'!L24</f>
        <v>232893.8</v>
      </c>
      <c r="Q266" s="170">
        <f>'(R) Therms By Block'!M24</f>
        <v>224854.84</v>
      </c>
      <c r="R266" s="107">
        <f>SUM(F266:Q266)</f>
        <v>2920664.03</v>
      </c>
    </row>
    <row r="267" spans="1:19" s="30" customFormat="1" x14ac:dyDescent="0.2">
      <c r="C267" t="s">
        <v>16</v>
      </c>
      <c r="D267" s="21" t="s">
        <v>236</v>
      </c>
      <c r="E267" s="30" t="s">
        <v>10</v>
      </c>
      <c r="F267" s="107">
        <f>F268-F265-F266</f>
        <v>590317.98</v>
      </c>
      <c r="G267" s="107">
        <f t="shared" ref="G267:N267" si="142">G268-G265-G266</f>
        <v>668176.92000000016</v>
      </c>
      <c r="H267" s="107">
        <f t="shared" si="142"/>
        <v>614308.48</v>
      </c>
      <c r="I267" s="107">
        <f t="shared" si="142"/>
        <v>730283.55</v>
      </c>
      <c r="J267" s="107">
        <f t="shared" si="142"/>
        <v>823024.13900000008</v>
      </c>
      <c r="K267" s="107">
        <f t="shared" si="142"/>
        <v>894317.43000000017</v>
      </c>
      <c r="L267" s="107">
        <f t="shared" si="142"/>
        <v>962148.78000000014</v>
      </c>
      <c r="M267" s="107">
        <f t="shared" si="142"/>
        <v>831897.94</v>
      </c>
      <c r="N267" s="107">
        <f t="shared" si="142"/>
        <v>898639.7</v>
      </c>
      <c r="O267" s="107">
        <f t="shared" ref="O267:Q267" si="143">O268-O265-O266</f>
        <v>797746.1399999999</v>
      </c>
      <c r="P267" s="107">
        <f t="shared" si="143"/>
        <v>720290.42999999993</v>
      </c>
      <c r="Q267" s="107">
        <f t="shared" si="143"/>
        <v>517322.58000000007</v>
      </c>
      <c r="R267" s="107">
        <f>SUM(F267:Q267)</f>
        <v>9048474.0690000001</v>
      </c>
    </row>
    <row r="268" spans="1:19" s="30" customFormat="1" x14ac:dyDescent="0.2">
      <c r="A268"/>
      <c r="B268"/>
      <c r="C268" t="s">
        <v>17</v>
      </c>
      <c r="D268" s="21" t="s">
        <v>236</v>
      </c>
      <c r="E268" t="s">
        <v>10</v>
      </c>
      <c r="F268" s="110">
        <f>'Weather Adj'!D173</f>
        <v>842278.49</v>
      </c>
      <c r="G268" s="110">
        <f>'Weather Adj'!E173</f>
        <v>919204.60000000009</v>
      </c>
      <c r="H268" s="110">
        <f>'Weather Adj'!F173</f>
        <v>874618.36</v>
      </c>
      <c r="I268" s="110">
        <f>'Weather Adj'!G173</f>
        <v>1038625.68</v>
      </c>
      <c r="J268" s="110">
        <f>'Weather Adj'!H173</f>
        <v>1151459.2390000001</v>
      </c>
      <c r="K268" s="110">
        <f>'Weather Adj'!I173</f>
        <v>1237799.6400000001</v>
      </c>
      <c r="L268" s="110">
        <f>'Weather Adj'!J173</f>
        <v>1309932.3900000001</v>
      </c>
      <c r="M268" s="110">
        <f>'Weather Adj'!K173</f>
        <v>1187686.01</v>
      </c>
      <c r="N268" s="110">
        <f>'Weather Adj'!L173</f>
        <v>1250467.8599999999</v>
      </c>
      <c r="O268" s="110">
        <f>'Weather Adj'!M173</f>
        <v>1133840.93</v>
      </c>
      <c r="P268" s="110">
        <f>'Weather Adj'!N173</f>
        <v>1023426.22</v>
      </c>
      <c r="Q268" s="110">
        <f>'Weather Adj'!O173</f>
        <v>813156.53</v>
      </c>
      <c r="R268" s="108">
        <f>SUM(R265:R267)</f>
        <v>12782495.949000001</v>
      </c>
    </row>
    <row r="269" spans="1:19" s="30" customFormat="1" x14ac:dyDescent="0.2">
      <c r="B269" s="30" t="s">
        <v>29</v>
      </c>
      <c r="D269" s="21" t="s">
        <v>236</v>
      </c>
      <c r="E269" s="30" t="s">
        <v>100</v>
      </c>
      <c r="F269" s="72">
        <f>'(R) Data'!C41</f>
        <v>57061</v>
      </c>
      <c r="G269" s="72">
        <f>'(R) Data'!D41</f>
        <v>58602</v>
      </c>
      <c r="H269" s="72">
        <f>'(R) Data'!E41</f>
        <v>58602</v>
      </c>
      <c r="I269" s="72">
        <f>'(R) Data'!F41</f>
        <v>59080</v>
      </c>
      <c r="J269" s="72">
        <f>'(R) Data'!G41</f>
        <v>75440</v>
      </c>
      <c r="K269" s="72">
        <f>'(R) Data'!H41</f>
        <v>65691</v>
      </c>
      <c r="L269" s="72">
        <f>'(R) Data'!I41</f>
        <v>61510.601000000002</v>
      </c>
      <c r="M269" s="72">
        <f>'(R) Data'!J41</f>
        <v>60748</v>
      </c>
      <c r="N269" s="72">
        <f>'(R) Data'!K41</f>
        <v>60798</v>
      </c>
      <c r="O269" s="72">
        <f>'(R) Data'!L41</f>
        <v>62130</v>
      </c>
      <c r="P269" s="72">
        <f>'(R) Data'!M41</f>
        <v>59713</v>
      </c>
      <c r="Q269" s="72">
        <f>'(R) Data'!N41</f>
        <v>55707</v>
      </c>
      <c r="R269" s="107">
        <f>SUM(F269:Q269)</f>
        <v>735082.60100000002</v>
      </c>
    </row>
    <row r="270" spans="1:19" x14ac:dyDescent="0.2">
      <c r="A270" s="30"/>
      <c r="B270" s="30" t="s">
        <v>21</v>
      </c>
      <c r="C270" s="30"/>
      <c r="D270" s="21" t="s">
        <v>236</v>
      </c>
      <c r="E270" s="30" t="s">
        <v>22</v>
      </c>
      <c r="F270" s="91">
        <f t="shared" ref="F270:N270" si="144">F263</f>
        <v>72</v>
      </c>
      <c r="G270" s="91">
        <f t="shared" si="144"/>
        <v>73</v>
      </c>
      <c r="H270" s="91">
        <f t="shared" si="144"/>
        <v>73</v>
      </c>
      <c r="I270" s="91">
        <f t="shared" si="144"/>
        <v>74</v>
      </c>
      <c r="J270" s="91">
        <f t="shared" si="144"/>
        <v>75</v>
      </c>
      <c r="K270" s="91">
        <f t="shared" si="144"/>
        <v>74.999888514211207</v>
      </c>
      <c r="L270" s="91">
        <f t="shared" si="144"/>
        <v>77</v>
      </c>
      <c r="M270" s="91">
        <f t="shared" si="144"/>
        <v>78.999999999999986</v>
      </c>
      <c r="N270" s="91">
        <f t="shared" si="144"/>
        <v>78.999999999999986</v>
      </c>
      <c r="O270" s="91">
        <f t="shared" ref="O270:Q270" si="145">O263</f>
        <v>81</v>
      </c>
      <c r="P270" s="91">
        <f t="shared" si="145"/>
        <v>81</v>
      </c>
      <c r="Q270" s="91">
        <f t="shared" si="145"/>
        <v>83</v>
      </c>
      <c r="R270" s="91">
        <f>SUM(F270:Q270)</f>
        <v>921.99988851421119</v>
      </c>
      <c r="S270"/>
    </row>
    <row r="271" spans="1:19" x14ac:dyDescent="0.2"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/>
    </row>
    <row r="272" spans="1:19" x14ac:dyDescent="0.2">
      <c r="B272" s="15" t="s">
        <v>299</v>
      </c>
    </row>
    <row r="273" spans="1:19" x14ac:dyDescent="0.2">
      <c r="A273" t="s">
        <v>147</v>
      </c>
      <c r="B273" t="s">
        <v>282</v>
      </c>
      <c r="D273" s="21" t="s">
        <v>236</v>
      </c>
      <c r="F273" s="23">
        <f t="shared" ref="F273:N273" si="146">F252*F263</f>
        <v>29556.720000000001</v>
      </c>
      <c r="G273" s="23">
        <f t="shared" si="146"/>
        <v>29967.23</v>
      </c>
      <c r="H273" s="23">
        <f t="shared" si="146"/>
        <v>29967.23</v>
      </c>
      <c r="I273" s="23">
        <f t="shared" si="146"/>
        <v>30377.739999999998</v>
      </c>
      <c r="J273" s="23">
        <f t="shared" si="146"/>
        <v>30788.25</v>
      </c>
      <c r="K273" s="23">
        <f t="shared" si="146"/>
        <v>30788.204233968841</v>
      </c>
      <c r="L273" s="23">
        <f t="shared" si="146"/>
        <v>31609.27</v>
      </c>
      <c r="M273" s="23">
        <f t="shared" si="146"/>
        <v>32430.289999999994</v>
      </c>
      <c r="N273" s="23">
        <f t="shared" si="146"/>
        <v>32430.289999999994</v>
      </c>
      <c r="O273" s="23">
        <f t="shared" ref="O273:Q273" si="147">O252*O263</f>
        <v>33251.31</v>
      </c>
      <c r="P273" s="23">
        <f t="shared" si="147"/>
        <v>33251.31</v>
      </c>
      <c r="Q273" s="23">
        <f t="shared" si="147"/>
        <v>34072.33</v>
      </c>
      <c r="R273" s="23">
        <f>SUM(F273:Q273)</f>
        <v>378490.17423396878</v>
      </c>
    </row>
    <row r="274" spans="1:19" s="50" customFormat="1" x14ac:dyDescent="0.2">
      <c r="A274"/>
      <c r="B274" t="s">
        <v>3</v>
      </c>
      <c r="C274"/>
      <c r="D274"/>
      <c r="E274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31"/>
    </row>
    <row r="275" spans="1:19" x14ac:dyDescent="0.2">
      <c r="C275" t="s">
        <v>241</v>
      </c>
      <c r="F275" s="42">
        <v>0</v>
      </c>
      <c r="G275" s="42">
        <v>0</v>
      </c>
      <c r="H275" s="42">
        <v>0</v>
      </c>
      <c r="I275" s="42">
        <v>0</v>
      </c>
      <c r="J275" s="42">
        <v>0</v>
      </c>
      <c r="K275" s="42">
        <v>0</v>
      </c>
      <c r="L275" s="42">
        <v>0</v>
      </c>
      <c r="M275" s="42">
        <v>0</v>
      </c>
      <c r="N275" s="42">
        <v>0</v>
      </c>
      <c r="O275" s="42">
        <v>0</v>
      </c>
      <c r="P275" s="42">
        <v>0</v>
      </c>
      <c r="Q275" s="42">
        <v>0</v>
      </c>
      <c r="R275" s="42">
        <f t="shared" ref="R275:R283" si="148">SUM(F275:Q275)</f>
        <v>0</v>
      </c>
    </row>
    <row r="276" spans="1:19" s="30" customFormat="1" x14ac:dyDescent="0.2">
      <c r="A276"/>
      <c r="B276"/>
      <c r="C276" t="s">
        <v>242</v>
      </c>
      <c r="D276" s="21" t="s">
        <v>236</v>
      </c>
      <c r="E276"/>
      <c r="F276" s="23">
        <f t="shared" ref="F276:N276" si="149">F254*F266</f>
        <v>24493.101891600003</v>
      </c>
      <c r="G276" s="23">
        <f t="shared" si="149"/>
        <v>24317.9342124</v>
      </c>
      <c r="H276" s="23">
        <f t="shared" si="149"/>
        <v>25349.779512000005</v>
      </c>
      <c r="I276" s="23">
        <f t="shared" si="149"/>
        <v>31136.257774800004</v>
      </c>
      <c r="J276" s="23">
        <f t="shared" si="149"/>
        <v>33598.003476000005</v>
      </c>
      <c r="K276" s="23">
        <f t="shared" si="149"/>
        <v>35556.794590800004</v>
      </c>
      <c r="L276" s="23">
        <f t="shared" si="149"/>
        <v>35849.824023599998</v>
      </c>
      <c r="M276" s="23">
        <f t="shared" si="149"/>
        <v>36671.887093200006</v>
      </c>
      <c r="N276" s="23">
        <f t="shared" si="149"/>
        <v>36146.557881599998</v>
      </c>
      <c r="O276" s="23">
        <f t="shared" ref="O276:Q276" si="150">O254*O266</f>
        <v>34004.8451604</v>
      </c>
      <c r="P276" s="23">
        <f t="shared" si="150"/>
        <v>29987.405688000003</v>
      </c>
      <c r="Q276" s="23">
        <f t="shared" si="150"/>
        <v>28952.309198400002</v>
      </c>
      <c r="R276" s="23">
        <f t="shared" si="148"/>
        <v>376064.70050280006</v>
      </c>
    </row>
    <row r="277" spans="1:19" s="30" customFormat="1" x14ac:dyDescent="0.2">
      <c r="A277"/>
      <c r="B277"/>
      <c r="C277" t="s">
        <v>16</v>
      </c>
      <c r="D277" s="21" t="s">
        <v>236</v>
      </c>
      <c r="E277"/>
      <c r="F277" s="23">
        <f t="shared" ref="F277:N277" si="151">F255*F267</f>
        <v>61180.555447199993</v>
      </c>
      <c r="G277" s="23">
        <f t="shared" si="151"/>
        <v>69249.855988800016</v>
      </c>
      <c r="H277" s="23">
        <f t="shared" si="151"/>
        <v>63666.930867199997</v>
      </c>
      <c r="I277" s="23">
        <f t="shared" si="151"/>
        <v>75686.587121999997</v>
      </c>
      <c r="J277" s="23">
        <f t="shared" si="151"/>
        <v>85298.221765959999</v>
      </c>
      <c r="K277" s="23">
        <f t="shared" si="151"/>
        <v>92687.058445200018</v>
      </c>
      <c r="L277" s="23">
        <f t="shared" si="151"/>
        <v>99717.099559200011</v>
      </c>
      <c r="M277" s="23">
        <f t="shared" si="151"/>
        <v>86217.902501599994</v>
      </c>
      <c r="N277" s="23">
        <f t="shared" si="151"/>
        <v>93135.018507999994</v>
      </c>
      <c r="O277" s="23">
        <f t="shared" ref="O277:Q277" si="152">O255*O267</f>
        <v>82678.409949599984</v>
      </c>
      <c r="P277" s="23">
        <f t="shared" si="152"/>
        <v>74650.900165199986</v>
      </c>
      <c r="Q277" s="23">
        <f t="shared" si="152"/>
        <v>53615.312191200006</v>
      </c>
      <c r="R277" s="23">
        <f t="shared" si="148"/>
        <v>937783.85251115996</v>
      </c>
    </row>
    <row r="278" spans="1:19" x14ac:dyDescent="0.2">
      <c r="A278" t="s">
        <v>147</v>
      </c>
      <c r="C278" t="s">
        <v>26</v>
      </c>
      <c r="F278" s="24">
        <f t="shared" ref="F278:N278" si="153">SUM(F275:F277)</f>
        <v>85673.657338799996</v>
      </c>
      <c r="G278" s="24">
        <f t="shared" si="153"/>
        <v>93567.790201200012</v>
      </c>
      <c r="H278" s="24">
        <f t="shared" si="153"/>
        <v>89016.710379199998</v>
      </c>
      <c r="I278" s="24">
        <f t="shared" si="153"/>
        <v>106822.8448968</v>
      </c>
      <c r="J278" s="24">
        <f t="shared" si="153"/>
        <v>118896.22524196</v>
      </c>
      <c r="K278" s="24">
        <f t="shared" si="153"/>
        <v>128243.85303600001</v>
      </c>
      <c r="L278" s="24">
        <f t="shared" si="153"/>
        <v>135566.92358280002</v>
      </c>
      <c r="M278" s="24">
        <f t="shared" si="153"/>
        <v>122889.78959480001</v>
      </c>
      <c r="N278" s="24">
        <f t="shared" si="153"/>
        <v>129281.5763896</v>
      </c>
      <c r="O278" s="24">
        <f t="shared" ref="O278:Q278" si="154">SUM(O275:O277)</f>
        <v>116683.25510999998</v>
      </c>
      <c r="P278" s="24">
        <f t="shared" si="154"/>
        <v>104638.30585319998</v>
      </c>
      <c r="Q278" s="24">
        <f t="shared" si="154"/>
        <v>82567.621389600012</v>
      </c>
      <c r="R278" s="24">
        <f t="shared" si="148"/>
        <v>1313848.5530139601</v>
      </c>
    </row>
    <row r="279" spans="1:19" x14ac:dyDescent="0.2">
      <c r="A279" t="s">
        <v>130</v>
      </c>
      <c r="B279" s="30" t="s">
        <v>301</v>
      </c>
      <c r="D279" s="21" t="s">
        <v>236</v>
      </c>
      <c r="F279" s="34">
        <f t="shared" ref="F279:N279" si="155">F256*F268</f>
        <v>589.59494299999994</v>
      </c>
      <c r="G279" s="34">
        <f t="shared" si="155"/>
        <v>643.44322000000011</v>
      </c>
      <c r="H279" s="34">
        <f t="shared" si="155"/>
        <v>612.23285199999998</v>
      </c>
      <c r="I279" s="34">
        <f t="shared" si="155"/>
        <v>727.03797600000007</v>
      </c>
      <c r="J279" s="34">
        <f t="shared" si="155"/>
        <v>806.02146730000004</v>
      </c>
      <c r="K279" s="34">
        <f t="shared" si="155"/>
        <v>866.4597480000001</v>
      </c>
      <c r="L279" s="34">
        <f t="shared" si="155"/>
        <v>916.95267300000012</v>
      </c>
      <c r="M279" s="34">
        <f t="shared" si="155"/>
        <v>831.38020700000004</v>
      </c>
      <c r="N279" s="34">
        <f t="shared" si="155"/>
        <v>875.32750199999987</v>
      </c>
      <c r="O279" s="34">
        <f t="shared" ref="O279:Q279" si="156">O256*O268</f>
        <v>793.68865099999994</v>
      </c>
      <c r="P279" s="34">
        <f t="shared" si="156"/>
        <v>716.39835399999993</v>
      </c>
      <c r="Q279" s="34">
        <f t="shared" si="156"/>
        <v>569.20957099999998</v>
      </c>
      <c r="R279" s="34">
        <f t="shared" si="148"/>
        <v>8947.747164299999</v>
      </c>
    </row>
    <row r="280" spans="1:19" x14ac:dyDescent="0.2">
      <c r="A280" t="s">
        <v>147</v>
      </c>
      <c r="B280" t="s">
        <v>237</v>
      </c>
      <c r="F280" s="34">
        <f t="shared" ref="F280:N280" si="157">F257*F268</f>
        <v>0</v>
      </c>
      <c r="G280" s="34">
        <f t="shared" si="157"/>
        <v>0</v>
      </c>
      <c r="H280" s="34">
        <f t="shared" si="157"/>
        <v>0</v>
      </c>
      <c r="I280" s="34">
        <f t="shared" si="157"/>
        <v>0</v>
      </c>
      <c r="J280" s="34">
        <f t="shared" si="157"/>
        <v>0</v>
      </c>
      <c r="K280" s="34">
        <f t="shared" si="157"/>
        <v>0</v>
      </c>
      <c r="L280" s="34">
        <f t="shared" si="157"/>
        <v>0</v>
      </c>
      <c r="M280" s="34">
        <f t="shared" si="157"/>
        <v>0</v>
      </c>
      <c r="N280" s="34">
        <f t="shared" si="157"/>
        <v>0</v>
      </c>
      <c r="O280" s="34">
        <f t="shared" ref="O280:Q280" si="158">O257*O268</f>
        <v>0</v>
      </c>
      <c r="P280" s="34">
        <f t="shared" si="158"/>
        <v>0</v>
      </c>
      <c r="Q280" s="34">
        <f t="shared" si="158"/>
        <v>0</v>
      </c>
      <c r="R280" s="34">
        <f t="shared" si="148"/>
        <v>0</v>
      </c>
    </row>
    <row r="281" spans="1:19" x14ac:dyDescent="0.2">
      <c r="A281" t="s">
        <v>551</v>
      </c>
      <c r="B281" t="s">
        <v>552</v>
      </c>
      <c r="D281">
        <v>149</v>
      </c>
      <c r="F281" s="34">
        <f>F258*F268</f>
        <v>5238.9722077999995</v>
      </c>
      <c r="G281" s="34">
        <f t="shared" ref="G281:Q281" si="159">G258*G268</f>
        <v>5717.452612</v>
      </c>
      <c r="H281" s="34">
        <f t="shared" si="159"/>
        <v>5440.1261992</v>
      </c>
      <c r="I281" s="34">
        <f t="shared" si="159"/>
        <v>6460.2517296000005</v>
      </c>
      <c r="J281" s="34">
        <f t="shared" si="159"/>
        <v>7162.0764665799998</v>
      </c>
      <c r="K281" s="34">
        <f t="shared" si="159"/>
        <v>7699.1137608000008</v>
      </c>
      <c r="L281" s="34">
        <f t="shared" si="159"/>
        <v>8147.7794658000003</v>
      </c>
      <c r="M281" s="34">
        <f t="shared" si="159"/>
        <v>7387.4069822000001</v>
      </c>
      <c r="N281" s="34">
        <f t="shared" si="159"/>
        <v>7777.9100891999988</v>
      </c>
      <c r="O281" s="34">
        <f t="shared" si="159"/>
        <v>7052.4905845999992</v>
      </c>
      <c r="P281" s="34">
        <f t="shared" si="159"/>
        <v>6365.7110883999994</v>
      </c>
      <c r="Q281" s="34">
        <f t="shared" si="159"/>
        <v>5057.8336165999999</v>
      </c>
      <c r="R281" s="34">
        <f t="shared" si="148"/>
        <v>79507.124802779988</v>
      </c>
    </row>
    <row r="282" spans="1:19" s="30" customFormat="1" x14ac:dyDescent="0.2">
      <c r="A282" t="s">
        <v>147</v>
      </c>
      <c r="B282" t="s">
        <v>19</v>
      </c>
      <c r="C282"/>
      <c r="D282" s="21" t="s">
        <v>236</v>
      </c>
      <c r="E282"/>
      <c r="F282" s="23">
        <f t="shared" ref="F282:N282" si="160">F259*F269</f>
        <v>66761.37</v>
      </c>
      <c r="G282" s="23">
        <f t="shared" si="160"/>
        <v>68564.34</v>
      </c>
      <c r="H282" s="23">
        <f t="shared" si="160"/>
        <v>68564.34</v>
      </c>
      <c r="I282" s="23">
        <f t="shared" si="160"/>
        <v>69123.599999999991</v>
      </c>
      <c r="J282" s="23">
        <f t="shared" si="160"/>
        <v>88264.799999999988</v>
      </c>
      <c r="K282" s="23">
        <f t="shared" si="160"/>
        <v>76858.47</v>
      </c>
      <c r="L282" s="23">
        <f t="shared" si="160"/>
        <v>71967.403170000005</v>
      </c>
      <c r="M282" s="23">
        <f t="shared" si="160"/>
        <v>71075.159999999989</v>
      </c>
      <c r="N282" s="23">
        <f t="shared" si="160"/>
        <v>71133.659999999989</v>
      </c>
      <c r="O282" s="23">
        <f t="shared" ref="O282:Q282" si="161">O259*O269</f>
        <v>72692.099999999991</v>
      </c>
      <c r="P282" s="23">
        <f t="shared" si="161"/>
        <v>69864.209999999992</v>
      </c>
      <c r="Q282" s="23">
        <f t="shared" si="161"/>
        <v>65177.189999999995</v>
      </c>
      <c r="R282" s="23">
        <f t="shared" si="148"/>
        <v>860046.64316999982</v>
      </c>
    </row>
    <row r="283" spans="1:19" x14ac:dyDescent="0.2">
      <c r="A283" s="30" t="s">
        <v>147</v>
      </c>
      <c r="B283" s="30" t="s">
        <v>21</v>
      </c>
      <c r="C283" s="30"/>
      <c r="D283" s="21" t="s">
        <v>236</v>
      </c>
      <c r="E283" s="30"/>
      <c r="F283" s="34">
        <f t="shared" ref="F283:N283" si="162">F260*F270</f>
        <v>8343.36</v>
      </c>
      <c r="G283" s="34">
        <f t="shared" si="162"/>
        <v>8459.24</v>
      </c>
      <c r="H283" s="34">
        <f t="shared" si="162"/>
        <v>8459.24</v>
      </c>
      <c r="I283" s="34">
        <f t="shared" si="162"/>
        <v>8575.119999999999</v>
      </c>
      <c r="J283" s="34">
        <f t="shared" si="162"/>
        <v>8691</v>
      </c>
      <c r="K283" s="34">
        <f t="shared" si="162"/>
        <v>8690.9870810267948</v>
      </c>
      <c r="L283" s="34">
        <f t="shared" si="162"/>
        <v>8922.76</v>
      </c>
      <c r="M283" s="34">
        <f t="shared" si="162"/>
        <v>9154.5199999999986</v>
      </c>
      <c r="N283" s="34">
        <f t="shared" si="162"/>
        <v>9154.5199999999986</v>
      </c>
      <c r="O283" s="34">
        <f t="shared" ref="O283:Q283" si="163">O260*O270</f>
        <v>9386.2799999999988</v>
      </c>
      <c r="P283" s="34">
        <f t="shared" si="163"/>
        <v>9386.2799999999988</v>
      </c>
      <c r="Q283" s="34">
        <f t="shared" si="163"/>
        <v>9618.0399999999991</v>
      </c>
      <c r="R283" s="34">
        <f t="shared" si="148"/>
        <v>106841.34708102679</v>
      </c>
    </row>
    <row r="284" spans="1:19" x14ac:dyDescent="0.2">
      <c r="B284" t="s">
        <v>24</v>
      </c>
      <c r="F284" s="24">
        <f>F273+F278+F282+F283+F279+F280+F281</f>
        <v>196163.67448959997</v>
      </c>
      <c r="G284" s="24">
        <f t="shared" ref="G284:R284" si="164">G273+G278+G282+G283+G279+G280+G281</f>
        <v>206919.49603319998</v>
      </c>
      <c r="H284" s="24">
        <f t="shared" si="164"/>
        <v>202059.87943039997</v>
      </c>
      <c r="I284" s="24">
        <f t="shared" si="164"/>
        <v>222086.59460239997</v>
      </c>
      <c r="J284" s="24">
        <f t="shared" si="164"/>
        <v>254608.37317583998</v>
      </c>
      <c r="K284" s="24">
        <f t="shared" si="164"/>
        <v>253147.08785979566</v>
      </c>
      <c r="L284" s="24">
        <f t="shared" si="164"/>
        <v>257131.08889160003</v>
      </c>
      <c r="M284" s="24">
        <f t="shared" si="164"/>
        <v>243768.54678399998</v>
      </c>
      <c r="N284" s="24">
        <f t="shared" si="164"/>
        <v>250653.28398079996</v>
      </c>
      <c r="O284" s="24">
        <f t="shared" si="164"/>
        <v>239859.12434559994</v>
      </c>
      <c r="P284" s="24">
        <f t="shared" si="164"/>
        <v>224222.21529559995</v>
      </c>
      <c r="Q284" s="24">
        <f t="shared" si="164"/>
        <v>197062.22457720002</v>
      </c>
      <c r="R284" s="24">
        <f t="shared" si="164"/>
        <v>2747681.5894660358</v>
      </c>
    </row>
    <row r="285" spans="1:19" x14ac:dyDescent="0.2"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</row>
    <row r="286" spans="1:19" x14ac:dyDescent="0.2">
      <c r="A286" t="s">
        <v>305</v>
      </c>
      <c r="B286" t="s">
        <v>304</v>
      </c>
      <c r="F286" s="23">
        <f t="shared" ref="F286:N286" si="165">F279</f>
        <v>589.59494299999994</v>
      </c>
      <c r="G286" s="23">
        <f t="shared" si="165"/>
        <v>643.44322000000011</v>
      </c>
      <c r="H286" s="23">
        <f t="shared" si="165"/>
        <v>612.23285199999998</v>
      </c>
      <c r="I286" s="23">
        <f t="shared" si="165"/>
        <v>727.03797600000007</v>
      </c>
      <c r="J286" s="23">
        <f t="shared" si="165"/>
        <v>806.02146730000004</v>
      </c>
      <c r="K286" s="23">
        <f t="shared" si="165"/>
        <v>866.4597480000001</v>
      </c>
      <c r="L286" s="23">
        <f t="shared" si="165"/>
        <v>916.95267300000012</v>
      </c>
      <c r="M286" s="23">
        <f t="shared" si="165"/>
        <v>831.38020700000004</v>
      </c>
      <c r="N286" s="23">
        <f t="shared" si="165"/>
        <v>875.32750199999987</v>
      </c>
      <c r="O286" s="23">
        <f t="shared" ref="O286:Q286" si="166">O279</f>
        <v>793.68865099999994</v>
      </c>
      <c r="P286" s="23">
        <f t="shared" si="166"/>
        <v>716.39835399999993</v>
      </c>
      <c r="Q286" s="23">
        <f t="shared" si="166"/>
        <v>569.20957099999998</v>
      </c>
      <c r="R286" s="23">
        <f>SUM(F286:Q286)</f>
        <v>8947.747164299999</v>
      </c>
    </row>
    <row r="288" spans="1:19" x14ac:dyDescent="0.2">
      <c r="A288" s="30"/>
      <c r="B288" s="29" t="s">
        <v>235</v>
      </c>
      <c r="C288" s="29"/>
      <c r="D288" s="30"/>
      <c r="E288" s="30"/>
      <c r="F288" s="31"/>
      <c r="G288" s="31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</row>
    <row r="289" spans="1:19" x14ac:dyDescent="0.2">
      <c r="A289" s="30"/>
      <c r="B289" s="29" t="s">
        <v>7</v>
      </c>
      <c r="C289" s="29"/>
      <c r="D289" s="30"/>
      <c r="E289" s="30"/>
      <c r="F289" s="31"/>
      <c r="G289" s="31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/>
    </row>
    <row r="290" spans="1:19" s="30" customFormat="1" x14ac:dyDescent="0.2">
      <c r="B290" s="30" t="s">
        <v>282</v>
      </c>
      <c r="D290" s="21" t="s">
        <v>236</v>
      </c>
      <c r="E290" s="30" t="s">
        <v>5</v>
      </c>
      <c r="F290" s="118">
        <f t="shared" ref="F290:Q290" si="167">F252</f>
        <v>410.51</v>
      </c>
      <c r="G290" s="118">
        <f t="shared" si="167"/>
        <v>410.51</v>
      </c>
      <c r="H290" s="118">
        <f t="shared" si="167"/>
        <v>410.51</v>
      </c>
      <c r="I290" s="118">
        <f t="shared" si="167"/>
        <v>410.51</v>
      </c>
      <c r="J290" s="118">
        <f t="shared" si="167"/>
        <v>410.51</v>
      </c>
      <c r="K290" s="118">
        <f t="shared" si="167"/>
        <v>410.51</v>
      </c>
      <c r="L290" s="118">
        <f t="shared" si="167"/>
        <v>410.51</v>
      </c>
      <c r="M290" s="118">
        <f t="shared" si="167"/>
        <v>410.51</v>
      </c>
      <c r="N290" s="118">
        <f t="shared" si="167"/>
        <v>410.51</v>
      </c>
      <c r="O290" s="118">
        <f t="shared" si="167"/>
        <v>410.51</v>
      </c>
      <c r="P290" s="118">
        <f t="shared" si="167"/>
        <v>410.51</v>
      </c>
      <c r="Q290" s="118">
        <f t="shared" si="167"/>
        <v>410.51</v>
      </c>
    </row>
    <row r="291" spans="1:19" s="30" customFormat="1" x14ac:dyDescent="0.2">
      <c r="B291" s="30" t="s">
        <v>3</v>
      </c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</row>
    <row r="292" spans="1:19" s="30" customFormat="1" x14ac:dyDescent="0.2">
      <c r="C292" s="30" t="s">
        <v>15</v>
      </c>
      <c r="D292" s="21" t="s">
        <v>236</v>
      </c>
      <c r="E292" s="30" t="s">
        <v>6</v>
      </c>
      <c r="F292" s="119">
        <f t="shared" ref="F292:Q292" si="168">F254</f>
        <v>0.12876000000000001</v>
      </c>
      <c r="G292" s="119">
        <f t="shared" si="168"/>
        <v>0.12876000000000001</v>
      </c>
      <c r="H292" s="119">
        <f t="shared" si="168"/>
        <v>0.12876000000000001</v>
      </c>
      <c r="I292" s="119">
        <f t="shared" si="168"/>
        <v>0.12876000000000001</v>
      </c>
      <c r="J292" s="119">
        <f t="shared" si="168"/>
        <v>0.12876000000000001</v>
      </c>
      <c r="K292" s="119">
        <f t="shared" si="168"/>
        <v>0.12876000000000001</v>
      </c>
      <c r="L292" s="119">
        <f t="shared" si="168"/>
        <v>0.12876000000000001</v>
      </c>
      <c r="M292" s="119">
        <f t="shared" si="168"/>
        <v>0.12876000000000001</v>
      </c>
      <c r="N292" s="119">
        <f t="shared" si="168"/>
        <v>0.12876000000000001</v>
      </c>
      <c r="O292" s="119">
        <f t="shared" si="168"/>
        <v>0.12876000000000001</v>
      </c>
      <c r="P292" s="119">
        <f t="shared" si="168"/>
        <v>0.12876000000000001</v>
      </c>
      <c r="Q292" s="119">
        <f t="shared" si="168"/>
        <v>0.12876000000000001</v>
      </c>
    </row>
    <row r="293" spans="1:19" s="30" customFormat="1" x14ac:dyDescent="0.2">
      <c r="C293" s="30" t="s">
        <v>16</v>
      </c>
      <c r="D293" s="21" t="s">
        <v>236</v>
      </c>
      <c r="E293" s="30" t="s">
        <v>6</v>
      </c>
      <c r="F293" s="119">
        <f t="shared" ref="F293:Q293" si="169">F255</f>
        <v>0.10364</v>
      </c>
      <c r="G293" s="119">
        <f t="shared" si="169"/>
        <v>0.10364</v>
      </c>
      <c r="H293" s="119">
        <f t="shared" si="169"/>
        <v>0.10364</v>
      </c>
      <c r="I293" s="119">
        <f t="shared" si="169"/>
        <v>0.10364</v>
      </c>
      <c r="J293" s="119">
        <f t="shared" si="169"/>
        <v>0.10364</v>
      </c>
      <c r="K293" s="119">
        <f t="shared" si="169"/>
        <v>0.10364</v>
      </c>
      <c r="L293" s="119">
        <f t="shared" si="169"/>
        <v>0.10364</v>
      </c>
      <c r="M293" s="119">
        <f t="shared" si="169"/>
        <v>0.10364</v>
      </c>
      <c r="N293" s="119">
        <f t="shared" si="169"/>
        <v>0.10364</v>
      </c>
      <c r="O293" s="119">
        <f t="shared" si="169"/>
        <v>0.10364</v>
      </c>
      <c r="P293" s="119">
        <f t="shared" si="169"/>
        <v>0.10364</v>
      </c>
      <c r="Q293" s="119">
        <f t="shared" si="169"/>
        <v>0.10364</v>
      </c>
    </row>
    <row r="294" spans="1:19" s="30" customFormat="1" x14ac:dyDescent="0.2">
      <c r="A294"/>
      <c r="B294" s="30" t="s">
        <v>301</v>
      </c>
      <c r="C294"/>
      <c r="D294" s="21" t="s">
        <v>236</v>
      </c>
      <c r="E294" t="s">
        <v>6</v>
      </c>
      <c r="F294" s="120">
        <f t="shared" ref="F294:Q294" si="170">F256</f>
        <v>6.9999999999999999E-4</v>
      </c>
      <c r="G294" s="120">
        <f t="shared" si="170"/>
        <v>6.9999999999999999E-4</v>
      </c>
      <c r="H294" s="120">
        <f t="shared" si="170"/>
        <v>6.9999999999999999E-4</v>
      </c>
      <c r="I294" s="120">
        <f t="shared" si="170"/>
        <v>6.9999999999999999E-4</v>
      </c>
      <c r="J294" s="120">
        <f t="shared" si="170"/>
        <v>6.9999999999999999E-4</v>
      </c>
      <c r="K294" s="120">
        <f t="shared" si="170"/>
        <v>6.9999999999999999E-4</v>
      </c>
      <c r="L294" s="120">
        <f t="shared" si="170"/>
        <v>6.9999999999999999E-4</v>
      </c>
      <c r="M294" s="120">
        <f t="shared" si="170"/>
        <v>6.9999999999999999E-4</v>
      </c>
      <c r="N294" s="120">
        <f t="shared" si="170"/>
        <v>6.9999999999999999E-4</v>
      </c>
      <c r="O294" s="120">
        <f t="shared" si="170"/>
        <v>6.9999999999999999E-4</v>
      </c>
      <c r="P294" s="120">
        <f t="shared" si="170"/>
        <v>6.9999999999999999E-4</v>
      </c>
      <c r="Q294" s="120">
        <f t="shared" si="170"/>
        <v>6.9999999999999999E-4</v>
      </c>
      <c r="R294"/>
    </row>
    <row r="295" spans="1:19" s="30" customFormat="1" x14ac:dyDescent="0.2">
      <c r="A295"/>
      <c r="B295" t="s">
        <v>237</v>
      </c>
      <c r="C295"/>
      <c r="D295"/>
      <c r="E295"/>
      <c r="F295" s="120">
        <f t="shared" ref="F295:Q295" si="171">F257</f>
        <v>0</v>
      </c>
      <c r="G295" s="120">
        <f t="shared" si="171"/>
        <v>0</v>
      </c>
      <c r="H295" s="120">
        <f t="shared" si="171"/>
        <v>0</v>
      </c>
      <c r="I295" s="120">
        <f t="shared" si="171"/>
        <v>0</v>
      </c>
      <c r="J295" s="120">
        <f t="shared" si="171"/>
        <v>0</v>
      </c>
      <c r="K295" s="120">
        <f t="shared" si="171"/>
        <v>0</v>
      </c>
      <c r="L295" s="120">
        <f t="shared" si="171"/>
        <v>0</v>
      </c>
      <c r="M295" s="120">
        <f t="shared" si="171"/>
        <v>0</v>
      </c>
      <c r="N295" s="120">
        <f t="shared" si="171"/>
        <v>0</v>
      </c>
      <c r="O295" s="120">
        <f t="shared" si="171"/>
        <v>0</v>
      </c>
      <c r="P295" s="120">
        <f t="shared" si="171"/>
        <v>0</v>
      </c>
      <c r="Q295" s="120">
        <f t="shared" si="171"/>
        <v>0</v>
      </c>
      <c r="R295"/>
    </row>
    <row r="296" spans="1:19" s="30" customFormat="1" x14ac:dyDescent="0.2">
      <c r="A296"/>
      <c r="B296" t="s">
        <v>550</v>
      </c>
      <c r="C296"/>
      <c r="D296">
        <v>149</v>
      </c>
      <c r="E296" s="30" t="s">
        <v>6</v>
      </c>
      <c r="F296" s="120">
        <f>F166</f>
        <v>6.2199999999999998E-3</v>
      </c>
      <c r="G296" s="120">
        <f t="shared" ref="G296:Q296" si="172">G166</f>
        <v>6.2199999999999998E-3</v>
      </c>
      <c r="H296" s="120">
        <f t="shared" si="172"/>
        <v>6.2199999999999998E-3</v>
      </c>
      <c r="I296" s="120">
        <f t="shared" si="172"/>
        <v>6.2199999999999998E-3</v>
      </c>
      <c r="J296" s="120">
        <f t="shared" si="172"/>
        <v>6.2199999999999998E-3</v>
      </c>
      <c r="K296" s="120">
        <f t="shared" si="172"/>
        <v>6.2199999999999998E-3</v>
      </c>
      <c r="L296" s="120">
        <f t="shared" si="172"/>
        <v>6.2199999999999998E-3</v>
      </c>
      <c r="M296" s="120">
        <f t="shared" si="172"/>
        <v>6.2199999999999998E-3</v>
      </c>
      <c r="N296" s="120">
        <f t="shared" si="172"/>
        <v>6.2199999999999998E-3</v>
      </c>
      <c r="O296" s="120">
        <f t="shared" si="172"/>
        <v>6.2199999999999998E-3</v>
      </c>
      <c r="P296" s="120">
        <f t="shared" si="172"/>
        <v>6.2199999999999998E-3</v>
      </c>
      <c r="Q296" s="120">
        <f t="shared" si="172"/>
        <v>6.2199999999999998E-3</v>
      </c>
      <c r="R296"/>
    </row>
    <row r="297" spans="1:19" s="30" customFormat="1" x14ac:dyDescent="0.2">
      <c r="B297" s="30" t="s">
        <v>19</v>
      </c>
      <c r="D297" s="30">
        <v>101</v>
      </c>
      <c r="E297" s="30" t="s">
        <v>6</v>
      </c>
      <c r="F297" s="122">
        <f t="shared" ref="F297:Q297" si="173">F259</f>
        <v>1.17</v>
      </c>
      <c r="G297" s="122">
        <f t="shared" si="173"/>
        <v>1.17</v>
      </c>
      <c r="H297" s="122">
        <f t="shared" si="173"/>
        <v>1.17</v>
      </c>
      <c r="I297" s="122">
        <f t="shared" si="173"/>
        <v>1.17</v>
      </c>
      <c r="J297" s="122">
        <f t="shared" si="173"/>
        <v>1.17</v>
      </c>
      <c r="K297" s="122">
        <f t="shared" si="173"/>
        <v>1.17</v>
      </c>
      <c r="L297" s="122">
        <f t="shared" si="173"/>
        <v>1.17</v>
      </c>
      <c r="M297" s="122">
        <f t="shared" si="173"/>
        <v>1.17</v>
      </c>
      <c r="N297" s="122">
        <f t="shared" si="173"/>
        <v>1.17</v>
      </c>
      <c r="O297" s="122">
        <f t="shared" si="173"/>
        <v>1.17</v>
      </c>
      <c r="P297" s="122">
        <f t="shared" si="173"/>
        <v>1.17</v>
      </c>
      <c r="Q297" s="122">
        <f t="shared" si="173"/>
        <v>1.17</v>
      </c>
    </row>
    <row r="298" spans="1:19" s="30" customFormat="1" x14ac:dyDescent="0.2">
      <c r="B298" s="30" t="s">
        <v>21</v>
      </c>
      <c r="D298" s="21" t="s">
        <v>236</v>
      </c>
      <c r="E298" s="30" t="s">
        <v>22</v>
      </c>
      <c r="F298" s="122">
        <f t="shared" ref="F298:Q298" si="174">F260</f>
        <v>115.88</v>
      </c>
      <c r="G298" s="122">
        <f t="shared" si="174"/>
        <v>115.88</v>
      </c>
      <c r="H298" s="122">
        <f t="shared" si="174"/>
        <v>115.88</v>
      </c>
      <c r="I298" s="122">
        <f t="shared" si="174"/>
        <v>115.88</v>
      </c>
      <c r="J298" s="122">
        <f t="shared" si="174"/>
        <v>115.88</v>
      </c>
      <c r="K298" s="122">
        <f t="shared" si="174"/>
        <v>115.88</v>
      </c>
      <c r="L298" s="122">
        <f t="shared" si="174"/>
        <v>115.88</v>
      </c>
      <c r="M298" s="122">
        <f t="shared" si="174"/>
        <v>115.88</v>
      </c>
      <c r="N298" s="122">
        <f t="shared" si="174"/>
        <v>115.88</v>
      </c>
      <c r="O298" s="122">
        <f t="shared" si="174"/>
        <v>115.88</v>
      </c>
      <c r="P298" s="122">
        <f t="shared" si="174"/>
        <v>115.88</v>
      </c>
      <c r="Q298" s="122">
        <f t="shared" si="174"/>
        <v>115.88</v>
      </c>
    </row>
    <row r="299" spans="1:19" s="30" customFormat="1" x14ac:dyDescent="0.2">
      <c r="J299"/>
      <c r="K299"/>
      <c r="L299"/>
      <c r="M299"/>
      <c r="N299"/>
      <c r="O299"/>
      <c r="P299"/>
      <c r="Q299"/>
    </row>
    <row r="300" spans="1:19" s="30" customFormat="1" x14ac:dyDescent="0.2">
      <c r="B300" s="29" t="s">
        <v>8</v>
      </c>
      <c r="J300"/>
      <c r="K300"/>
      <c r="L300"/>
      <c r="M300"/>
      <c r="N300"/>
      <c r="O300"/>
      <c r="P300"/>
      <c r="Q300"/>
    </row>
    <row r="301" spans="1:19" s="30" customFormat="1" x14ac:dyDescent="0.2">
      <c r="B301" s="30" t="s">
        <v>22</v>
      </c>
      <c r="D301" s="21" t="s">
        <v>236</v>
      </c>
      <c r="E301" s="30" t="s">
        <v>22</v>
      </c>
      <c r="F301" s="64">
        <f>'(R) Data'!C21</f>
        <v>27</v>
      </c>
      <c r="G301" s="64">
        <f>'(R) Data'!D21</f>
        <v>25.033340924618535</v>
      </c>
      <c r="H301" s="64">
        <f>'(R) Data'!E21</f>
        <v>25</v>
      </c>
      <c r="I301" s="64">
        <f>'(R) Data'!F21</f>
        <v>25</v>
      </c>
      <c r="J301" s="64">
        <f>'(R) Data'!G21</f>
        <v>25</v>
      </c>
      <c r="K301" s="64">
        <f>'(R) Data'!H21</f>
        <v>24.999962838070402</v>
      </c>
      <c r="L301" s="64">
        <f>'(R) Data'!I21</f>
        <v>25</v>
      </c>
      <c r="M301" s="64">
        <f>'(R) Data'!J21</f>
        <v>25.035719108710332</v>
      </c>
      <c r="N301" s="64">
        <f>'(R) Data'!K21</f>
        <v>25</v>
      </c>
      <c r="O301" s="64">
        <f>'(R) Data'!L21</f>
        <v>24</v>
      </c>
      <c r="P301" s="64">
        <f>'(R) Data'!M21</f>
        <v>22</v>
      </c>
      <c r="Q301" s="64">
        <f>'(R) Data'!N21</f>
        <v>22</v>
      </c>
      <c r="R301" s="46">
        <f>SUM(F301:Q301)</f>
        <v>295.06902287139928</v>
      </c>
    </row>
    <row r="302" spans="1:19" s="30" customFormat="1" x14ac:dyDescent="0.2">
      <c r="B302" s="30" t="s">
        <v>30</v>
      </c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</row>
    <row r="303" spans="1:19" s="30" customFormat="1" x14ac:dyDescent="0.2">
      <c r="C303" s="30" t="s">
        <v>241</v>
      </c>
      <c r="D303" s="21" t="s">
        <v>236</v>
      </c>
      <c r="E303" s="30" t="s">
        <v>10</v>
      </c>
      <c r="F303" s="161">
        <f>'(R) Therms By Block'!B30</f>
        <v>24300</v>
      </c>
      <c r="G303" s="170">
        <f>'(R) Therms By Block'!C30</f>
        <v>23400</v>
      </c>
      <c r="H303" s="170">
        <f>'(R) Therms By Block'!D30</f>
        <v>23400</v>
      </c>
      <c r="I303" s="170">
        <f>'(R) Therms By Block'!E30</f>
        <v>23156.81</v>
      </c>
      <c r="J303" s="170">
        <f>'(R) Therms By Block'!F30</f>
        <v>23400</v>
      </c>
      <c r="K303" s="170">
        <f>'(R) Therms By Block'!G30</f>
        <v>23430</v>
      </c>
      <c r="L303" s="170">
        <f>'(R) Therms By Block'!H30</f>
        <v>23430</v>
      </c>
      <c r="M303" s="170">
        <f>'(R) Therms By Block'!I30</f>
        <v>23400</v>
      </c>
      <c r="N303" s="170">
        <f>'(R) Therms By Block'!J30</f>
        <v>23400</v>
      </c>
      <c r="O303" s="170">
        <f>'(R) Therms By Block'!K30</f>
        <v>22500</v>
      </c>
      <c r="P303" s="170">
        <f>'(R) Therms By Block'!L30</f>
        <v>19800</v>
      </c>
      <c r="Q303" s="170">
        <f>'(R) Therms By Block'!M30</f>
        <v>19800</v>
      </c>
      <c r="R303" s="46">
        <f t="shared" ref="R303:R308" si="175">SUM(F303:Q303)</f>
        <v>273416.81</v>
      </c>
    </row>
    <row r="304" spans="1:19" s="30" customFormat="1" x14ac:dyDescent="0.2">
      <c r="C304" s="30" t="s">
        <v>242</v>
      </c>
      <c r="D304" s="21" t="s">
        <v>236</v>
      </c>
      <c r="E304" s="30" t="s">
        <v>10</v>
      </c>
      <c r="F304" s="170">
        <f>'(R) Therms By Block'!B31</f>
        <v>107260.05</v>
      </c>
      <c r="G304" s="170">
        <f>'(R) Therms By Block'!C31</f>
        <v>104230.96</v>
      </c>
      <c r="H304" s="170">
        <f>'(R) Therms By Block'!D31</f>
        <v>103865.95</v>
      </c>
      <c r="I304" s="170">
        <f>'(R) Therms By Block'!E31</f>
        <v>101005.09</v>
      </c>
      <c r="J304" s="170">
        <f>'(R) Therms By Block'!F31</f>
        <v>104060.37</v>
      </c>
      <c r="K304" s="170">
        <f>'(R) Therms By Block'!G31</f>
        <v>104997</v>
      </c>
      <c r="L304" s="170">
        <f>'(R) Therms By Block'!H31</f>
        <v>105881.71</v>
      </c>
      <c r="M304" s="170">
        <f>'(R) Therms By Block'!I31</f>
        <v>104439.87</v>
      </c>
      <c r="N304" s="170">
        <f>'(R) Therms By Block'!J31</f>
        <v>104239.07</v>
      </c>
      <c r="O304" s="170">
        <f>'(R) Therms By Block'!K31</f>
        <v>100178.73</v>
      </c>
      <c r="P304" s="170">
        <f>'(R) Therms By Block'!L31</f>
        <v>87607.43</v>
      </c>
      <c r="Q304" s="170">
        <f>'(R) Therms By Block'!M31</f>
        <v>85479.8</v>
      </c>
      <c r="R304" s="46">
        <f t="shared" si="175"/>
        <v>1213246.03</v>
      </c>
    </row>
    <row r="305" spans="1:19" s="30" customFormat="1" x14ac:dyDescent="0.2">
      <c r="C305" s="30" t="s">
        <v>16</v>
      </c>
      <c r="D305" s="21" t="s">
        <v>236</v>
      </c>
      <c r="E305" s="30" t="s">
        <v>10</v>
      </c>
      <c r="F305" s="107">
        <f t="shared" ref="F305:N305" si="176">F306-SUM(F303:F304)</f>
        <v>435357.59</v>
      </c>
      <c r="G305" s="107">
        <f t="shared" si="176"/>
        <v>409147.21999999991</v>
      </c>
      <c r="H305" s="107">
        <f t="shared" si="176"/>
        <v>374255.25</v>
      </c>
      <c r="I305" s="107">
        <f t="shared" si="176"/>
        <v>424612.53999999992</v>
      </c>
      <c r="J305" s="107">
        <f t="shared" si="176"/>
        <v>403405.1</v>
      </c>
      <c r="K305" s="107">
        <f t="shared" si="176"/>
        <v>373929.32999999996</v>
      </c>
      <c r="L305" s="107">
        <f t="shared" si="176"/>
        <v>457729.99999999994</v>
      </c>
      <c r="M305" s="107">
        <f t="shared" si="176"/>
        <v>432223.28999999992</v>
      </c>
      <c r="N305" s="107">
        <f t="shared" si="176"/>
        <v>525652.60999999987</v>
      </c>
      <c r="O305" s="107">
        <f t="shared" ref="O305:Q305" si="177">O306-SUM(O303:O304)</f>
        <v>439380.58000000007</v>
      </c>
      <c r="P305" s="107">
        <f t="shared" si="177"/>
        <v>357704.08</v>
      </c>
      <c r="Q305" s="107">
        <f t="shared" si="177"/>
        <v>351693.14</v>
      </c>
      <c r="R305" s="46">
        <f t="shared" si="175"/>
        <v>4985090.7299999995</v>
      </c>
    </row>
    <row r="306" spans="1:19" s="30" customFormat="1" x14ac:dyDescent="0.2">
      <c r="C306" s="30" t="s">
        <v>17</v>
      </c>
      <c r="D306" s="21" t="s">
        <v>236</v>
      </c>
      <c r="E306" s="30" t="s">
        <v>10</v>
      </c>
      <c r="F306" s="110">
        <f>'Weather Adj'!D191</f>
        <v>566917.64</v>
      </c>
      <c r="G306" s="110">
        <f>'Weather Adj'!E191</f>
        <v>536778.17999999993</v>
      </c>
      <c r="H306" s="110">
        <f>'Weather Adj'!F191</f>
        <v>501521.2</v>
      </c>
      <c r="I306" s="110">
        <f>'Weather Adj'!G191</f>
        <v>548774.43999999994</v>
      </c>
      <c r="J306" s="110">
        <f>'Weather Adj'!H191</f>
        <v>530865.47</v>
      </c>
      <c r="K306" s="110">
        <f>'Weather Adj'!I191</f>
        <v>502356.32999999996</v>
      </c>
      <c r="L306" s="110">
        <f>'Weather Adj'!J191</f>
        <v>587041.71</v>
      </c>
      <c r="M306" s="110">
        <f>'Weather Adj'!K191</f>
        <v>560063.15999999992</v>
      </c>
      <c r="N306" s="110">
        <f>'Weather Adj'!L191</f>
        <v>653291.67999999993</v>
      </c>
      <c r="O306" s="110">
        <f>'Weather Adj'!M191</f>
        <v>562059.31000000006</v>
      </c>
      <c r="P306" s="110">
        <f>'Weather Adj'!N191</f>
        <v>465111.51</v>
      </c>
      <c r="Q306" s="110">
        <f>'Weather Adj'!O191</f>
        <v>456972.94</v>
      </c>
      <c r="R306" s="108">
        <f t="shared" si="175"/>
        <v>6471753.5699999994</v>
      </c>
    </row>
    <row r="307" spans="1:19" s="30" customFormat="1" x14ac:dyDescent="0.2">
      <c r="B307" s="30" t="s">
        <v>29</v>
      </c>
      <c r="D307" s="21" t="s">
        <v>236</v>
      </c>
      <c r="E307" s="30" t="s">
        <v>100</v>
      </c>
      <c r="F307" s="72">
        <f>'(R) Data'!C42</f>
        <v>42638</v>
      </c>
      <c r="G307" s="72">
        <f>'(R) Data'!D42</f>
        <v>37406</v>
      </c>
      <c r="H307" s="72">
        <f>'(R) Data'!E42</f>
        <v>37406</v>
      </c>
      <c r="I307" s="72">
        <f>'(R) Data'!F42</f>
        <v>37406</v>
      </c>
      <c r="J307" s="72">
        <f>'(R) Data'!G42</f>
        <v>37406</v>
      </c>
      <c r="K307" s="72">
        <f>'(R) Data'!H42</f>
        <v>40095.934000000001</v>
      </c>
      <c r="L307" s="72">
        <f>'(R) Data'!I42</f>
        <v>37443.966999999997</v>
      </c>
      <c r="M307" s="72">
        <f>'(R) Data'!J42</f>
        <v>37406</v>
      </c>
      <c r="N307" s="72">
        <f>'(R) Data'!K42</f>
        <v>37406</v>
      </c>
      <c r="O307" s="72">
        <f>'(R) Data'!L42</f>
        <v>36530</v>
      </c>
      <c r="P307" s="72">
        <f>'(R) Data'!M42</f>
        <v>26585</v>
      </c>
      <c r="Q307" s="72">
        <f>'(R) Data'!N42</f>
        <v>26585</v>
      </c>
      <c r="R307" s="46">
        <f t="shared" si="175"/>
        <v>434313.90100000001</v>
      </c>
    </row>
    <row r="308" spans="1:19" s="30" customFormat="1" x14ac:dyDescent="0.2">
      <c r="B308" s="30" t="s">
        <v>21</v>
      </c>
      <c r="D308" s="21" t="s">
        <v>236</v>
      </c>
      <c r="E308" s="30" t="s">
        <v>22</v>
      </c>
      <c r="F308" s="91">
        <f t="shared" ref="F308:N308" si="178">F301</f>
        <v>27</v>
      </c>
      <c r="G308" s="91">
        <f t="shared" si="178"/>
        <v>25.033340924618535</v>
      </c>
      <c r="H308" s="91">
        <f t="shared" si="178"/>
        <v>25</v>
      </c>
      <c r="I308" s="91">
        <f t="shared" si="178"/>
        <v>25</v>
      </c>
      <c r="J308" s="91">
        <f t="shared" si="178"/>
        <v>25</v>
      </c>
      <c r="K308" s="91">
        <f t="shared" si="178"/>
        <v>24.999962838070402</v>
      </c>
      <c r="L308" s="91">
        <f t="shared" si="178"/>
        <v>25</v>
      </c>
      <c r="M308" s="91">
        <f t="shared" si="178"/>
        <v>25.035719108710332</v>
      </c>
      <c r="N308" s="91">
        <f t="shared" si="178"/>
        <v>25</v>
      </c>
      <c r="O308" s="91">
        <f t="shared" ref="O308:Q308" si="179">O301</f>
        <v>24</v>
      </c>
      <c r="P308" s="91">
        <f t="shared" si="179"/>
        <v>22</v>
      </c>
      <c r="Q308" s="91">
        <f t="shared" si="179"/>
        <v>22</v>
      </c>
      <c r="R308" s="46">
        <f t="shared" si="175"/>
        <v>295.06902287139928</v>
      </c>
    </row>
    <row r="309" spans="1:19" s="30" customFormat="1" x14ac:dyDescent="0.2">
      <c r="F309" s="46"/>
      <c r="G309" s="46"/>
      <c r="H309" s="46"/>
      <c r="I309" s="46"/>
      <c r="J309" s="22"/>
      <c r="K309" s="22"/>
      <c r="L309" s="22"/>
      <c r="M309" s="22"/>
      <c r="N309" s="22"/>
      <c r="O309" s="22"/>
      <c r="P309" s="22"/>
      <c r="Q309" s="22"/>
    </row>
    <row r="310" spans="1:19" s="30" customFormat="1" x14ac:dyDescent="0.2">
      <c r="B310" s="29" t="s">
        <v>9</v>
      </c>
      <c r="J310"/>
      <c r="K310"/>
      <c r="L310"/>
      <c r="M310"/>
      <c r="N310"/>
      <c r="O310"/>
      <c r="P310"/>
      <c r="Q310"/>
    </row>
    <row r="311" spans="1:19" s="30" customFormat="1" x14ac:dyDescent="0.2">
      <c r="A311" s="30" t="s">
        <v>147</v>
      </c>
      <c r="B311" s="30" t="s">
        <v>282</v>
      </c>
      <c r="D311" s="21" t="s">
        <v>236</v>
      </c>
      <c r="F311" s="23">
        <f t="shared" ref="F311:N311" si="180">F290*F301</f>
        <v>11083.77</v>
      </c>
      <c r="G311" s="23">
        <f t="shared" si="180"/>
        <v>10276.436782965155</v>
      </c>
      <c r="H311" s="23">
        <f t="shared" si="180"/>
        <v>10262.75</v>
      </c>
      <c r="I311" s="23">
        <f t="shared" si="180"/>
        <v>10262.75</v>
      </c>
      <c r="J311" s="23">
        <f t="shared" si="180"/>
        <v>10262.75</v>
      </c>
      <c r="K311" s="23">
        <f t="shared" si="180"/>
        <v>10262.73474465628</v>
      </c>
      <c r="L311" s="23">
        <f t="shared" si="180"/>
        <v>10262.75</v>
      </c>
      <c r="M311" s="23">
        <f t="shared" si="180"/>
        <v>10277.413051316678</v>
      </c>
      <c r="N311" s="23">
        <f t="shared" si="180"/>
        <v>10262.75</v>
      </c>
      <c r="O311" s="23">
        <f t="shared" ref="O311:Q311" si="181">O290*O301</f>
        <v>9852.24</v>
      </c>
      <c r="P311" s="23">
        <f t="shared" si="181"/>
        <v>9031.2199999999993</v>
      </c>
      <c r="Q311" s="23">
        <f t="shared" si="181"/>
        <v>9031.2199999999993</v>
      </c>
      <c r="R311" s="23">
        <f>SUM(F311:Q311)</f>
        <v>121128.78457893812</v>
      </c>
    </row>
    <row r="312" spans="1:19" s="30" customFormat="1" x14ac:dyDescent="0.2">
      <c r="B312" s="30" t="s">
        <v>3</v>
      </c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</row>
    <row r="313" spans="1:19" s="30" customFormat="1" x14ac:dyDescent="0.2">
      <c r="C313" s="30" t="s">
        <v>241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42">
        <v>0</v>
      </c>
      <c r="R313" s="42">
        <f t="shared" ref="R313:R321" si="182">SUM(F313:Q313)</f>
        <v>0</v>
      </c>
    </row>
    <row r="314" spans="1:19" x14ac:dyDescent="0.2">
      <c r="A314" s="30"/>
      <c r="B314" s="30"/>
      <c r="C314" s="30" t="s">
        <v>242</v>
      </c>
      <c r="D314" s="21" t="s">
        <v>236</v>
      </c>
      <c r="E314" s="30"/>
      <c r="F314" s="23">
        <f t="shared" ref="F314:N314" si="183">F292*F304</f>
        <v>13810.804038000002</v>
      </c>
      <c r="G314" s="23">
        <f t="shared" si="183"/>
        <v>13420.778409600001</v>
      </c>
      <c r="H314" s="23">
        <f t="shared" si="183"/>
        <v>13373.779722000001</v>
      </c>
      <c r="I314" s="23">
        <f t="shared" si="183"/>
        <v>13005.415388400001</v>
      </c>
      <c r="J314" s="23">
        <f t="shared" si="183"/>
        <v>13398.813241200001</v>
      </c>
      <c r="K314" s="23">
        <f t="shared" si="183"/>
        <v>13519.413720000002</v>
      </c>
      <c r="L314" s="23">
        <f t="shared" si="183"/>
        <v>13633.328979600003</v>
      </c>
      <c r="M314" s="23">
        <f t="shared" si="183"/>
        <v>13447.677661200001</v>
      </c>
      <c r="N314" s="23">
        <f t="shared" si="183"/>
        <v>13421.822653200003</v>
      </c>
      <c r="O314" s="23">
        <f t="shared" ref="O314:Q314" si="184">O292*O304</f>
        <v>12899.013274800001</v>
      </c>
      <c r="P314" s="23">
        <f t="shared" si="184"/>
        <v>11280.3326868</v>
      </c>
      <c r="Q314" s="23">
        <f t="shared" si="184"/>
        <v>11006.379048000001</v>
      </c>
      <c r="R314" s="23">
        <f t="shared" si="182"/>
        <v>156217.55882279997</v>
      </c>
      <c r="S314"/>
    </row>
    <row r="315" spans="1:19" x14ac:dyDescent="0.2">
      <c r="A315" s="30"/>
      <c r="B315" s="30"/>
      <c r="C315" s="30" t="s">
        <v>16</v>
      </c>
      <c r="D315" s="21" t="s">
        <v>236</v>
      </c>
      <c r="E315" s="30"/>
      <c r="F315" s="23">
        <f t="shared" ref="F315:N315" si="185">F293*F305</f>
        <v>45120.460627599998</v>
      </c>
      <c r="G315" s="23">
        <f t="shared" si="185"/>
        <v>42404.017880799991</v>
      </c>
      <c r="H315" s="23">
        <f t="shared" si="185"/>
        <v>38787.814109999999</v>
      </c>
      <c r="I315" s="23">
        <f t="shared" si="185"/>
        <v>44006.843645599991</v>
      </c>
      <c r="J315" s="23">
        <f t="shared" si="185"/>
        <v>41808.904563999997</v>
      </c>
      <c r="K315" s="23">
        <f t="shared" si="185"/>
        <v>38754.035761199993</v>
      </c>
      <c r="L315" s="23">
        <f t="shared" si="185"/>
        <v>47439.13719999999</v>
      </c>
      <c r="M315" s="23">
        <f t="shared" si="185"/>
        <v>44795.62177559999</v>
      </c>
      <c r="N315" s="23">
        <f t="shared" si="185"/>
        <v>54478.636500399982</v>
      </c>
      <c r="O315" s="23">
        <f t="shared" ref="O315:Q315" si="186">O293*O305</f>
        <v>45537.403311200003</v>
      </c>
      <c r="P315" s="23">
        <f t="shared" si="186"/>
        <v>37072.450851200003</v>
      </c>
      <c r="Q315" s="23">
        <f t="shared" si="186"/>
        <v>36449.477029599999</v>
      </c>
      <c r="R315" s="23">
        <f t="shared" si="182"/>
        <v>516654.80325719999</v>
      </c>
      <c r="S315"/>
    </row>
    <row r="316" spans="1:19" x14ac:dyDescent="0.2">
      <c r="A316" s="30" t="s">
        <v>147</v>
      </c>
      <c r="B316" s="30"/>
      <c r="C316" s="30" t="s">
        <v>26</v>
      </c>
      <c r="D316" s="30"/>
      <c r="E316" s="30"/>
      <c r="F316" s="24">
        <f t="shared" ref="F316:N316" si="187">SUM(F313:F315)</f>
        <v>58931.2646656</v>
      </c>
      <c r="G316" s="24">
        <f t="shared" si="187"/>
        <v>55824.796290399994</v>
      </c>
      <c r="H316" s="24">
        <f t="shared" si="187"/>
        <v>52161.593831999999</v>
      </c>
      <c r="I316" s="24">
        <f t="shared" si="187"/>
        <v>57012.259033999988</v>
      </c>
      <c r="J316" s="24">
        <f t="shared" si="187"/>
        <v>55207.717805199994</v>
      </c>
      <c r="K316" s="24">
        <f t="shared" si="187"/>
        <v>52273.449481199998</v>
      </c>
      <c r="L316" s="24">
        <f t="shared" si="187"/>
        <v>61072.466179599993</v>
      </c>
      <c r="M316" s="24">
        <f t="shared" si="187"/>
        <v>58243.299436799993</v>
      </c>
      <c r="N316" s="24">
        <f t="shared" si="187"/>
        <v>67900.459153599979</v>
      </c>
      <c r="O316" s="24">
        <f t="shared" ref="O316:Q316" si="188">SUM(O313:O315)</f>
        <v>58436.416586000007</v>
      </c>
      <c r="P316" s="24">
        <f t="shared" si="188"/>
        <v>48352.783538000003</v>
      </c>
      <c r="Q316" s="24">
        <f t="shared" si="188"/>
        <v>47455.856077600001</v>
      </c>
      <c r="R316" s="24">
        <f t="shared" si="182"/>
        <v>672872.36207999988</v>
      </c>
      <c r="S316"/>
    </row>
    <row r="317" spans="1:19" x14ac:dyDescent="0.2">
      <c r="A317" t="s">
        <v>130</v>
      </c>
      <c r="B317" s="30" t="s">
        <v>301</v>
      </c>
      <c r="D317" s="21" t="s">
        <v>236</v>
      </c>
      <c r="F317" s="34">
        <f t="shared" ref="F317:N317" si="189">F294*F306</f>
        <v>396.84234800000002</v>
      </c>
      <c r="G317" s="34">
        <f t="shared" si="189"/>
        <v>375.74472599999996</v>
      </c>
      <c r="H317" s="34">
        <f t="shared" si="189"/>
        <v>351.06484</v>
      </c>
      <c r="I317" s="34">
        <f t="shared" si="189"/>
        <v>384.14210799999995</v>
      </c>
      <c r="J317" s="34">
        <f t="shared" si="189"/>
        <v>371.60582899999997</v>
      </c>
      <c r="K317" s="34">
        <f t="shared" si="189"/>
        <v>351.64943099999999</v>
      </c>
      <c r="L317" s="34">
        <f t="shared" si="189"/>
        <v>410.92919699999999</v>
      </c>
      <c r="M317" s="34">
        <f t="shared" si="189"/>
        <v>392.04421199999996</v>
      </c>
      <c r="N317" s="34">
        <f t="shared" si="189"/>
        <v>457.30417599999993</v>
      </c>
      <c r="O317" s="34">
        <f t="shared" ref="O317:Q317" si="190">O294*O306</f>
        <v>393.44151700000003</v>
      </c>
      <c r="P317" s="34">
        <f t="shared" si="190"/>
        <v>325.578057</v>
      </c>
      <c r="Q317" s="34">
        <f t="shared" si="190"/>
        <v>319.881058</v>
      </c>
      <c r="R317" s="34">
        <f t="shared" si="182"/>
        <v>4530.2274989999996</v>
      </c>
      <c r="S317"/>
    </row>
    <row r="318" spans="1:19" x14ac:dyDescent="0.2">
      <c r="A318" t="s">
        <v>147</v>
      </c>
      <c r="B318" t="s">
        <v>237</v>
      </c>
      <c r="F318" s="34">
        <f t="shared" ref="F318:N318" si="191">F295*F306</f>
        <v>0</v>
      </c>
      <c r="G318" s="34">
        <f t="shared" si="191"/>
        <v>0</v>
      </c>
      <c r="H318" s="34">
        <f t="shared" si="191"/>
        <v>0</v>
      </c>
      <c r="I318" s="34">
        <f t="shared" si="191"/>
        <v>0</v>
      </c>
      <c r="J318" s="34">
        <f t="shared" si="191"/>
        <v>0</v>
      </c>
      <c r="K318" s="34">
        <f t="shared" si="191"/>
        <v>0</v>
      </c>
      <c r="L318" s="34">
        <f t="shared" si="191"/>
        <v>0</v>
      </c>
      <c r="M318" s="34">
        <f t="shared" si="191"/>
        <v>0</v>
      </c>
      <c r="N318" s="34">
        <f t="shared" si="191"/>
        <v>0</v>
      </c>
      <c r="O318" s="34">
        <f t="shared" ref="O318:Q318" si="192">O295*O306</f>
        <v>0</v>
      </c>
      <c r="P318" s="34">
        <f t="shared" si="192"/>
        <v>0</v>
      </c>
      <c r="Q318" s="34">
        <f t="shared" si="192"/>
        <v>0</v>
      </c>
      <c r="R318" s="34">
        <f t="shared" si="182"/>
        <v>0</v>
      </c>
      <c r="S318"/>
    </row>
    <row r="319" spans="1:19" x14ac:dyDescent="0.2">
      <c r="A319" t="s">
        <v>551</v>
      </c>
      <c r="B319" t="s">
        <v>552</v>
      </c>
      <c r="D319">
        <v>149</v>
      </c>
      <c r="F319" s="34">
        <f>F296*F306</f>
        <v>3526.2277208</v>
      </c>
      <c r="G319" s="34">
        <f t="shared" ref="G319:Q319" si="193">G296*G306</f>
        <v>3338.7602795999996</v>
      </c>
      <c r="H319" s="34">
        <f t="shared" si="193"/>
        <v>3119.4618639999999</v>
      </c>
      <c r="I319" s="34">
        <f t="shared" si="193"/>
        <v>3413.3770167999996</v>
      </c>
      <c r="J319" s="34">
        <f t="shared" si="193"/>
        <v>3301.9832233999996</v>
      </c>
      <c r="K319" s="34">
        <f t="shared" si="193"/>
        <v>3124.6563725999995</v>
      </c>
      <c r="L319" s="34">
        <f t="shared" si="193"/>
        <v>3651.3994361999999</v>
      </c>
      <c r="M319" s="34">
        <f t="shared" si="193"/>
        <v>3483.5928551999996</v>
      </c>
      <c r="N319" s="34">
        <f t="shared" si="193"/>
        <v>4063.4742495999994</v>
      </c>
      <c r="O319" s="34">
        <f t="shared" si="193"/>
        <v>3496.0089082000004</v>
      </c>
      <c r="P319" s="34">
        <f t="shared" si="193"/>
        <v>2892.9935922</v>
      </c>
      <c r="Q319" s="34">
        <f t="shared" si="193"/>
        <v>2842.3716868000001</v>
      </c>
      <c r="R319" s="34">
        <f t="shared" si="182"/>
        <v>40254.307205399993</v>
      </c>
      <c r="S319"/>
    </row>
    <row r="320" spans="1:19" x14ac:dyDescent="0.2">
      <c r="A320" s="30" t="s">
        <v>147</v>
      </c>
      <c r="B320" s="30" t="s">
        <v>19</v>
      </c>
      <c r="C320" s="30"/>
      <c r="D320" s="21" t="s">
        <v>236</v>
      </c>
      <c r="E320" s="30"/>
      <c r="F320" s="23">
        <f t="shared" ref="F320:N320" si="194">F297*F307</f>
        <v>49886.46</v>
      </c>
      <c r="G320" s="23">
        <f t="shared" si="194"/>
        <v>43765.02</v>
      </c>
      <c r="H320" s="23">
        <f t="shared" si="194"/>
        <v>43765.02</v>
      </c>
      <c r="I320" s="23">
        <f t="shared" si="194"/>
        <v>43765.02</v>
      </c>
      <c r="J320" s="23">
        <f t="shared" si="194"/>
        <v>43765.02</v>
      </c>
      <c r="K320" s="23">
        <f t="shared" si="194"/>
        <v>46912.24278</v>
      </c>
      <c r="L320" s="23">
        <f t="shared" si="194"/>
        <v>43809.441389999993</v>
      </c>
      <c r="M320" s="23">
        <f t="shared" si="194"/>
        <v>43765.02</v>
      </c>
      <c r="N320" s="23">
        <f t="shared" si="194"/>
        <v>43765.02</v>
      </c>
      <c r="O320" s="23">
        <f t="shared" ref="O320:Q320" si="195">O297*O307</f>
        <v>42740.1</v>
      </c>
      <c r="P320" s="23">
        <f t="shared" si="195"/>
        <v>31104.449999999997</v>
      </c>
      <c r="Q320" s="23">
        <f t="shared" si="195"/>
        <v>31104.449999999997</v>
      </c>
      <c r="R320" s="23">
        <f t="shared" si="182"/>
        <v>508147.26417000004</v>
      </c>
      <c r="S320"/>
    </row>
    <row r="321" spans="1:37" x14ac:dyDescent="0.2">
      <c r="A321" s="30" t="s">
        <v>147</v>
      </c>
      <c r="B321" s="30" t="s">
        <v>21</v>
      </c>
      <c r="C321" s="30"/>
      <c r="D321" s="21" t="s">
        <v>236</v>
      </c>
      <c r="E321" s="30"/>
      <c r="F321" s="34">
        <f t="shared" ref="F321:N321" si="196">F298*F308</f>
        <v>3128.7599999999998</v>
      </c>
      <c r="G321" s="34">
        <f t="shared" si="196"/>
        <v>2900.8635463447959</v>
      </c>
      <c r="H321" s="34">
        <f t="shared" si="196"/>
        <v>2897</v>
      </c>
      <c r="I321" s="34">
        <f t="shared" si="196"/>
        <v>2897</v>
      </c>
      <c r="J321" s="34">
        <f t="shared" si="196"/>
        <v>2897</v>
      </c>
      <c r="K321" s="34">
        <f t="shared" si="196"/>
        <v>2896.995693675598</v>
      </c>
      <c r="L321" s="34">
        <f t="shared" si="196"/>
        <v>2897</v>
      </c>
      <c r="M321" s="34">
        <f t="shared" si="196"/>
        <v>2901.1391303173532</v>
      </c>
      <c r="N321" s="34">
        <f t="shared" si="196"/>
        <v>2897</v>
      </c>
      <c r="O321" s="34">
        <f t="shared" ref="O321:Q321" si="197">O298*O308</f>
        <v>2781.12</v>
      </c>
      <c r="P321" s="34">
        <f t="shared" si="197"/>
        <v>2549.3599999999997</v>
      </c>
      <c r="Q321" s="34">
        <f t="shared" si="197"/>
        <v>2549.3599999999997</v>
      </c>
      <c r="R321" s="34">
        <f t="shared" si="182"/>
        <v>34192.598370337742</v>
      </c>
      <c r="S321"/>
    </row>
    <row r="322" spans="1:37" x14ac:dyDescent="0.2">
      <c r="A322" s="30"/>
      <c r="B322" s="30" t="s">
        <v>24</v>
      </c>
      <c r="C322" s="30"/>
      <c r="D322" s="30"/>
      <c r="E322" s="30"/>
      <c r="F322" s="35">
        <f>F311+F316+F320+F321+F317+F318+F319</f>
        <v>126953.32473440001</v>
      </c>
      <c r="G322" s="35">
        <f t="shared" ref="G322:R322" si="198">G311+G316+G320+G321+G317+G318+G319</f>
        <v>116481.62162530994</v>
      </c>
      <c r="H322" s="35">
        <f t="shared" si="198"/>
        <v>112556.89053600001</v>
      </c>
      <c r="I322" s="35">
        <f t="shared" si="198"/>
        <v>117734.54815879998</v>
      </c>
      <c r="J322" s="35">
        <f t="shared" si="198"/>
        <v>115806.07685759998</v>
      </c>
      <c r="K322" s="35">
        <f t="shared" si="198"/>
        <v>115821.72850313186</v>
      </c>
      <c r="L322" s="35">
        <f t="shared" si="198"/>
        <v>122103.98620279998</v>
      </c>
      <c r="M322" s="35">
        <f t="shared" si="198"/>
        <v>119062.50868563401</v>
      </c>
      <c r="N322" s="35">
        <f t="shared" si="198"/>
        <v>129346.00757919997</v>
      </c>
      <c r="O322" s="35">
        <f t="shared" si="198"/>
        <v>117699.3270112</v>
      </c>
      <c r="P322" s="35">
        <f t="shared" si="198"/>
        <v>94256.385187200009</v>
      </c>
      <c r="Q322" s="35">
        <f t="shared" si="198"/>
        <v>93303.138822399997</v>
      </c>
      <c r="R322" s="35">
        <f t="shared" si="198"/>
        <v>1381125.5439036756</v>
      </c>
      <c r="S322"/>
    </row>
    <row r="323" spans="1:37" s="30" customFormat="1" x14ac:dyDescent="0.2">
      <c r="F323" s="31"/>
      <c r="G323" s="31"/>
    </row>
    <row r="324" spans="1:37" x14ac:dyDescent="0.2">
      <c r="A324" s="30" t="s">
        <v>305</v>
      </c>
      <c r="B324" s="30" t="s">
        <v>304</v>
      </c>
      <c r="C324" s="30"/>
      <c r="D324" s="30"/>
      <c r="E324" s="30"/>
      <c r="F324" s="36">
        <f t="shared" ref="F324:N324" si="199">F317</f>
        <v>396.84234800000002</v>
      </c>
      <c r="G324" s="36">
        <f t="shared" si="199"/>
        <v>375.74472599999996</v>
      </c>
      <c r="H324" s="36">
        <f t="shared" si="199"/>
        <v>351.06484</v>
      </c>
      <c r="I324" s="36">
        <f t="shared" si="199"/>
        <v>384.14210799999995</v>
      </c>
      <c r="J324" s="36">
        <f t="shared" si="199"/>
        <v>371.60582899999997</v>
      </c>
      <c r="K324" s="36">
        <f t="shared" si="199"/>
        <v>351.64943099999999</v>
      </c>
      <c r="L324" s="36">
        <f t="shared" si="199"/>
        <v>410.92919699999999</v>
      </c>
      <c r="M324" s="36">
        <f t="shared" si="199"/>
        <v>392.04421199999996</v>
      </c>
      <c r="N324" s="36">
        <f t="shared" si="199"/>
        <v>457.30417599999993</v>
      </c>
      <c r="O324" s="36">
        <f t="shared" ref="O324:Q324" si="200">O317</f>
        <v>393.44151700000003</v>
      </c>
      <c r="P324" s="36">
        <f t="shared" si="200"/>
        <v>325.578057</v>
      </c>
      <c r="Q324" s="36">
        <f t="shared" si="200"/>
        <v>319.881058</v>
      </c>
      <c r="R324" s="34">
        <f>SUM(F324:Q324)</f>
        <v>4530.2274989999996</v>
      </c>
    </row>
    <row r="326" spans="1:37" x14ac:dyDescent="0.2">
      <c r="A326" s="30"/>
      <c r="B326" s="29" t="s">
        <v>88</v>
      </c>
      <c r="C326" s="29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</row>
    <row r="327" spans="1:37" x14ac:dyDescent="0.2">
      <c r="B327" s="15" t="s">
        <v>7</v>
      </c>
      <c r="C327" s="15"/>
    </row>
    <row r="328" spans="1:37" x14ac:dyDescent="0.2">
      <c r="B328" t="s">
        <v>282</v>
      </c>
      <c r="D328">
        <v>85</v>
      </c>
      <c r="E328" t="s">
        <v>5</v>
      </c>
      <c r="F328" s="159">
        <f>'Rate Design Int &amp; Trans'!$H$12</f>
        <v>548.57000000000005</v>
      </c>
      <c r="G328" s="159">
        <f>'Rate Design Int &amp; Trans'!$H$12</f>
        <v>548.57000000000005</v>
      </c>
      <c r="H328" s="159">
        <f>'Rate Design Int &amp; Trans'!$H$12</f>
        <v>548.57000000000005</v>
      </c>
      <c r="I328" s="159">
        <f>'Rate Design Int &amp; Trans'!$H$12</f>
        <v>548.57000000000005</v>
      </c>
      <c r="J328" s="159">
        <f>'Rate Design Int &amp; Trans'!$H$12</f>
        <v>548.57000000000005</v>
      </c>
      <c r="K328" s="159">
        <f>'Rate Design Int &amp; Trans'!$H$12</f>
        <v>548.57000000000005</v>
      </c>
      <c r="L328" s="159">
        <f>'Rate Design Int &amp; Trans'!$H$12</f>
        <v>548.57000000000005</v>
      </c>
      <c r="M328" s="159">
        <f>'Rate Design Int &amp; Trans'!$H$12</f>
        <v>548.57000000000005</v>
      </c>
      <c r="N328" s="159">
        <f>'Rate Design Int &amp; Trans'!$H$12</f>
        <v>548.57000000000005</v>
      </c>
      <c r="O328" s="159">
        <f>'Rate Design Int &amp; Trans'!$H$12</f>
        <v>548.57000000000005</v>
      </c>
      <c r="P328" s="159">
        <f>'Rate Design Int &amp; Trans'!$H$12</f>
        <v>548.57000000000005</v>
      </c>
      <c r="Q328" s="159">
        <f>'Rate Design Int &amp; Trans'!$H$12</f>
        <v>548.57000000000005</v>
      </c>
      <c r="R328" s="26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100"/>
    </row>
    <row r="329" spans="1:37" s="30" customFormat="1" x14ac:dyDescent="0.2">
      <c r="A329"/>
      <c r="B329" t="s">
        <v>3</v>
      </c>
      <c r="C329"/>
      <c r="D329"/>
      <c r="E329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20"/>
    </row>
    <row r="330" spans="1:37" x14ac:dyDescent="0.2">
      <c r="C330" t="s">
        <v>56</v>
      </c>
      <c r="D330">
        <v>85</v>
      </c>
      <c r="E330" t="s">
        <v>6</v>
      </c>
      <c r="F330" s="160">
        <f>'Rate Design Int &amp; Trans'!$H$18</f>
        <v>9.9360000000000004E-2</v>
      </c>
      <c r="G330" s="160">
        <f>'Rate Design Int &amp; Trans'!$H$18</f>
        <v>9.9360000000000004E-2</v>
      </c>
      <c r="H330" s="160">
        <f>'Rate Design Int &amp; Trans'!$H$18</f>
        <v>9.9360000000000004E-2</v>
      </c>
      <c r="I330" s="160">
        <f>'Rate Design Int &amp; Trans'!$H$18</f>
        <v>9.9360000000000004E-2</v>
      </c>
      <c r="J330" s="160">
        <f>'Rate Design Int &amp; Trans'!$H$18</f>
        <v>9.9360000000000004E-2</v>
      </c>
      <c r="K330" s="160">
        <f>'Rate Design Int &amp; Trans'!$H$18</f>
        <v>9.9360000000000004E-2</v>
      </c>
      <c r="L330" s="160">
        <f>'Rate Design Int &amp; Trans'!$H$18</f>
        <v>9.9360000000000004E-2</v>
      </c>
      <c r="M330" s="160">
        <f>'Rate Design Int &amp; Trans'!$H$18</f>
        <v>9.9360000000000004E-2</v>
      </c>
      <c r="N330" s="160">
        <f>'Rate Design Int &amp; Trans'!$H$18</f>
        <v>9.9360000000000004E-2</v>
      </c>
      <c r="O330" s="160">
        <f>'Rate Design Int &amp; Trans'!$H$18</f>
        <v>9.9360000000000004E-2</v>
      </c>
      <c r="P330" s="160">
        <f>'Rate Design Int &amp; Trans'!$H$18</f>
        <v>9.9360000000000004E-2</v>
      </c>
      <c r="Q330" s="160">
        <f>'Rate Design Int &amp; Trans'!$H$18</f>
        <v>9.9360000000000004E-2</v>
      </c>
      <c r="R330" s="20"/>
    </row>
    <row r="331" spans="1:37" x14ac:dyDescent="0.2">
      <c r="C331" t="s">
        <v>57</v>
      </c>
      <c r="D331">
        <v>85</v>
      </c>
      <c r="E331" t="s">
        <v>6</v>
      </c>
      <c r="F331" s="160">
        <f>'Rate Design Int &amp; Trans'!$H$19</f>
        <v>4.9169999999999998E-2</v>
      </c>
      <c r="G331" s="160">
        <f>'Rate Design Int &amp; Trans'!$H$19</f>
        <v>4.9169999999999998E-2</v>
      </c>
      <c r="H331" s="160">
        <f>'Rate Design Int &amp; Trans'!$H$19</f>
        <v>4.9169999999999998E-2</v>
      </c>
      <c r="I331" s="160">
        <f>'Rate Design Int &amp; Trans'!$H$19</f>
        <v>4.9169999999999998E-2</v>
      </c>
      <c r="J331" s="160">
        <f>'Rate Design Int &amp; Trans'!$H$19</f>
        <v>4.9169999999999998E-2</v>
      </c>
      <c r="K331" s="160">
        <f>'Rate Design Int &amp; Trans'!$H$19</f>
        <v>4.9169999999999998E-2</v>
      </c>
      <c r="L331" s="160">
        <f>'Rate Design Int &amp; Trans'!$H$19</f>
        <v>4.9169999999999998E-2</v>
      </c>
      <c r="M331" s="160">
        <f>'Rate Design Int &amp; Trans'!$H$19</f>
        <v>4.9169999999999998E-2</v>
      </c>
      <c r="N331" s="160">
        <f>'Rate Design Int &amp; Trans'!$H$19</f>
        <v>4.9169999999999998E-2</v>
      </c>
      <c r="O331" s="160">
        <f>'Rate Design Int &amp; Trans'!$H$19</f>
        <v>4.9169999999999998E-2</v>
      </c>
      <c r="P331" s="160">
        <f>'Rate Design Int &amp; Trans'!$H$19</f>
        <v>4.9169999999999998E-2</v>
      </c>
      <c r="Q331" s="160">
        <f>'Rate Design Int &amp; Trans'!$H$19</f>
        <v>4.9169999999999998E-2</v>
      </c>
      <c r="R331" s="20"/>
    </row>
    <row r="332" spans="1:37" x14ac:dyDescent="0.2">
      <c r="C332" t="s">
        <v>58</v>
      </c>
      <c r="D332">
        <v>85</v>
      </c>
      <c r="E332" t="s">
        <v>6</v>
      </c>
      <c r="F332" s="160">
        <f>'Rate Design Int &amp; Trans'!$H$20</f>
        <v>4.7039999999999998E-2</v>
      </c>
      <c r="G332" s="160">
        <f>'Rate Design Int &amp; Trans'!$H$20</f>
        <v>4.7039999999999998E-2</v>
      </c>
      <c r="H332" s="160">
        <f>'Rate Design Int &amp; Trans'!$H$20</f>
        <v>4.7039999999999998E-2</v>
      </c>
      <c r="I332" s="160">
        <f>'Rate Design Int &amp; Trans'!$H$20</f>
        <v>4.7039999999999998E-2</v>
      </c>
      <c r="J332" s="160">
        <f>'Rate Design Int &amp; Trans'!$H$20</f>
        <v>4.7039999999999998E-2</v>
      </c>
      <c r="K332" s="160">
        <f>'Rate Design Int &amp; Trans'!$H$20</f>
        <v>4.7039999999999998E-2</v>
      </c>
      <c r="L332" s="160">
        <f>'Rate Design Int &amp; Trans'!$H$20</f>
        <v>4.7039999999999998E-2</v>
      </c>
      <c r="M332" s="160">
        <f>'Rate Design Int &amp; Trans'!$H$20</f>
        <v>4.7039999999999998E-2</v>
      </c>
      <c r="N332" s="160">
        <f>'Rate Design Int &amp; Trans'!$H$20</f>
        <v>4.7039999999999998E-2</v>
      </c>
      <c r="O332" s="160">
        <f>'Rate Design Int &amp; Trans'!$H$20</f>
        <v>4.7039999999999998E-2</v>
      </c>
      <c r="P332" s="160">
        <f>'Rate Design Int &amp; Trans'!$H$20</f>
        <v>4.7039999999999998E-2</v>
      </c>
      <c r="Q332" s="160">
        <f>'Rate Design Int &amp; Trans'!$H$20</f>
        <v>4.7039999999999998E-2</v>
      </c>
      <c r="R332" s="20"/>
    </row>
    <row r="333" spans="1:37" x14ac:dyDescent="0.2">
      <c r="B333" t="s">
        <v>303</v>
      </c>
      <c r="D333">
        <v>101</v>
      </c>
      <c r="E333" t="s">
        <v>6</v>
      </c>
      <c r="F333" s="182">
        <v>0.2702</v>
      </c>
      <c r="G333" s="182">
        <v>0.2702</v>
      </c>
      <c r="H333" s="182">
        <v>0.2702</v>
      </c>
      <c r="I333" s="182">
        <v>0.2702</v>
      </c>
      <c r="J333" s="182">
        <v>0.2702</v>
      </c>
      <c r="K333" s="182">
        <v>0.2702</v>
      </c>
      <c r="L333" s="182">
        <v>0.2702</v>
      </c>
      <c r="M333" s="182">
        <v>0.2702</v>
      </c>
      <c r="N333" s="182">
        <v>0.2702</v>
      </c>
      <c r="O333" s="182">
        <v>0.2702</v>
      </c>
      <c r="P333" s="182">
        <v>0.2702</v>
      </c>
      <c r="Q333" s="182">
        <v>0.2702</v>
      </c>
      <c r="R333" s="182"/>
    </row>
    <row r="334" spans="1:37" x14ac:dyDescent="0.2">
      <c r="A334" s="30"/>
      <c r="B334" s="30" t="s">
        <v>61</v>
      </c>
      <c r="C334" s="30"/>
      <c r="D334" s="47">
        <v>85</v>
      </c>
      <c r="E334" s="30" t="s">
        <v>6</v>
      </c>
      <c r="F334" s="160">
        <f>'Rate Design Int &amp; Trans'!$H$14</f>
        <v>7.4700000000000001E-3</v>
      </c>
      <c r="G334" s="160">
        <f>'Rate Design Int &amp; Trans'!$H$14</f>
        <v>7.4700000000000001E-3</v>
      </c>
      <c r="H334" s="160">
        <f>'Rate Design Int &amp; Trans'!$H$14</f>
        <v>7.4700000000000001E-3</v>
      </c>
      <c r="I334" s="160">
        <f>'Rate Design Int &amp; Trans'!$H$14</f>
        <v>7.4700000000000001E-3</v>
      </c>
      <c r="J334" s="160">
        <f>'Rate Design Int &amp; Trans'!$H$14</f>
        <v>7.4700000000000001E-3</v>
      </c>
      <c r="K334" s="160">
        <f>'Rate Design Int &amp; Trans'!$H$14</f>
        <v>7.4700000000000001E-3</v>
      </c>
      <c r="L334" s="160">
        <f>'Rate Design Int &amp; Trans'!$H$14</f>
        <v>7.4700000000000001E-3</v>
      </c>
      <c r="M334" s="160">
        <f>'Rate Design Int &amp; Trans'!$H$14</f>
        <v>7.4700000000000001E-3</v>
      </c>
      <c r="N334" s="160">
        <f>'Rate Design Int &amp; Trans'!$H$14</f>
        <v>7.4700000000000001E-3</v>
      </c>
      <c r="O334" s="160">
        <f>'Rate Design Int &amp; Trans'!$H$14</f>
        <v>7.4700000000000001E-3</v>
      </c>
      <c r="P334" s="160">
        <f>'Rate Design Int &amp; Trans'!$H$14</f>
        <v>7.4700000000000001E-3</v>
      </c>
      <c r="Q334" s="160">
        <f>'Rate Design Int &amp; Trans'!$H$14</f>
        <v>7.4700000000000001E-3</v>
      </c>
      <c r="R334" s="65"/>
    </row>
    <row r="335" spans="1:37" x14ac:dyDescent="0.2">
      <c r="A335" s="30"/>
      <c r="B335" s="30" t="s">
        <v>550</v>
      </c>
      <c r="C335" s="30"/>
      <c r="D335" s="47">
        <v>149</v>
      </c>
      <c r="E335" s="30" t="s">
        <v>6</v>
      </c>
      <c r="F335" s="182">
        <v>3.31E-3</v>
      </c>
      <c r="G335" s="182">
        <v>3.31E-3</v>
      </c>
      <c r="H335" s="182">
        <v>3.31E-3</v>
      </c>
      <c r="I335" s="182">
        <v>3.31E-3</v>
      </c>
      <c r="J335" s="182">
        <v>3.31E-3</v>
      </c>
      <c r="K335" s="182">
        <v>3.31E-3</v>
      </c>
      <c r="L335" s="182">
        <v>3.31E-3</v>
      </c>
      <c r="M335" s="182">
        <v>3.31E-3</v>
      </c>
      <c r="N335" s="182">
        <v>3.31E-3</v>
      </c>
      <c r="O335" s="182">
        <v>3.31E-3</v>
      </c>
      <c r="P335" s="182">
        <v>3.31E-3</v>
      </c>
      <c r="Q335" s="182">
        <v>3.31E-3</v>
      </c>
      <c r="R335" s="65"/>
    </row>
    <row r="336" spans="1:37" x14ac:dyDescent="0.2">
      <c r="A336" s="30"/>
      <c r="B336" s="30" t="s">
        <v>18</v>
      </c>
      <c r="C336" s="30"/>
      <c r="D336" s="30"/>
      <c r="E336" s="30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65"/>
    </row>
    <row r="337" spans="2:18" s="30" customFormat="1" x14ac:dyDescent="0.2">
      <c r="C337" s="30" t="s">
        <v>19</v>
      </c>
      <c r="D337" s="30">
        <v>101</v>
      </c>
      <c r="E337" s="30" t="s">
        <v>6</v>
      </c>
      <c r="F337" s="159">
        <f>'Rate Design Int &amp; Trans'!$H$13</f>
        <v>1.21</v>
      </c>
      <c r="G337" s="159">
        <f>'Rate Design Int &amp; Trans'!$H$13</f>
        <v>1.21</v>
      </c>
      <c r="H337" s="159">
        <f>'Rate Design Int &amp; Trans'!$H$13</f>
        <v>1.21</v>
      </c>
      <c r="I337" s="159">
        <f>'Rate Design Int &amp; Trans'!$H$13</f>
        <v>1.21</v>
      </c>
      <c r="J337" s="159">
        <f>'Rate Design Int &amp; Trans'!$H$13</f>
        <v>1.21</v>
      </c>
      <c r="K337" s="159">
        <f>'Rate Design Int &amp; Trans'!$H$13</f>
        <v>1.21</v>
      </c>
      <c r="L337" s="159">
        <f>'Rate Design Int &amp; Trans'!$H$13</f>
        <v>1.21</v>
      </c>
      <c r="M337" s="159">
        <f>'Rate Design Int &amp; Trans'!$H$13</f>
        <v>1.21</v>
      </c>
      <c r="N337" s="159">
        <f>'Rate Design Int &amp; Trans'!$H$13</f>
        <v>1.21</v>
      </c>
      <c r="O337" s="159">
        <f>'Rate Design Int &amp; Trans'!$H$13</f>
        <v>1.21</v>
      </c>
      <c r="P337" s="159">
        <f>'Rate Design Int &amp; Trans'!$H$13</f>
        <v>1.21</v>
      </c>
      <c r="Q337" s="159">
        <f>'Rate Design Int &amp; Trans'!$H$13</f>
        <v>1.21</v>
      </c>
      <c r="R337" s="65"/>
    </row>
    <row r="338" spans="2:18" s="30" customFormat="1" x14ac:dyDescent="0.2">
      <c r="C338" s="30" t="s">
        <v>20</v>
      </c>
      <c r="D338" s="30">
        <v>101</v>
      </c>
      <c r="E338" s="30" t="s">
        <v>6</v>
      </c>
      <c r="F338" s="183">
        <v>1.05</v>
      </c>
      <c r="G338" s="183">
        <v>1.05</v>
      </c>
      <c r="H338" s="183">
        <v>1.05</v>
      </c>
      <c r="I338" s="183">
        <v>1.05</v>
      </c>
      <c r="J338" s="183">
        <v>1.05</v>
      </c>
      <c r="K338" s="183">
        <v>1.05</v>
      </c>
      <c r="L338" s="183">
        <v>1.05</v>
      </c>
      <c r="M338" s="183">
        <v>1.05</v>
      </c>
      <c r="N338" s="183">
        <v>1.05</v>
      </c>
      <c r="O338" s="183">
        <v>1.05</v>
      </c>
      <c r="P338" s="183">
        <v>1.05</v>
      </c>
      <c r="Q338" s="183">
        <v>1.05</v>
      </c>
      <c r="R338" s="65"/>
    </row>
    <row r="339" spans="2:18" s="30" customFormat="1" x14ac:dyDescent="0.2">
      <c r="B339" s="30" t="s">
        <v>21</v>
      </c>
      <c r="D339" s="30">
        <v>85</v>
      </c>
      <c r="E339" s="30" t="s">
        <v>22</v>
      </c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65"/>
    </row>
    <row r="340" spans="2:18" s="30" customFormat="1" x14ac:dyDescent="0.2">
      <c r="B340" s="30" t="s">
        <v>304</v>
      </c>
      <c r="F340" s="182">
        <v>0.25791999999999998</v>
      </c>
      <c r="G340" s="182">
        <v>0.25791999999999998</v>
      </c>
      <c r="H340" s="182">
        <v>0.25791999999999998</v>
      </c>
      <c r="I340" s="182">
        <v>0.25791999999999998</v>
      </c>
      <c r="J340" s="182">
        <v>0.25791999999999998</v>
      </c>
      <c r="K340" s="182">
        <v>0.25791999999999998</v>
      </c>
      <c r="L340" s="182">
        <v>0.25791999999999998</v>
      </c>
      <c r="M340" s="182">
        <v>0.25791999999999998</v>
      </c>
      <c r="N340" s="182">
        <v>0.25791999999999998</v>
      </c>
      <c r="O340" s="182">
        <v>0.25791999999999998</v>
      </c>
      <c r="P340" s="182">
        <v>0.25791999999999998</v>
      </c>
      <c r="Q340" s="182">
        <v>0.25791999999999998</v>
      </c>
      <c r="R340" s="65"/>
    </row>
    <row r="341" spans="2:18" s="30" customFormat="1" x14ac:dyDescent="0.2">
      <c r="B341" s="30" t="s">
        <v>310</v>
      </c>
      <c r="F341" s="183">
        <v>1</v>
      </c>
      <c r="G341" s="183">
        <v>1</v>
      </c>
      <c r="H341" s="183">
        <v>1</v>
      </c>
      <c r="I341" s="183">
        <v>1</v>
      </c>
      <c r="J341" s="183">
        <v>1</v>
      </c>
      <c r="K341" s="183">
        <v>1</v>
      </c>
      <c r="L341" s="183">
        <v>1</v>
      </c>
      <c r="M341" s="183">
        <v>1</v>
      </c>
      <c r="N341" s="183">
        <v>1</v>
      </c>
      <c r="O341" s="183">
        <v>1</v>
      </c>
      <c r="P341" s="183">
        <v>1</v>
      </c>
      <c r="Q341" s="183">
        <v>1</v>
      </c>
      <c r="R341" s="65"/>
    </row>
    <row r="342" spans="2:18" s="30" customFormat="1" x14ac:dyDescent="0.2"/>
    <row r="343" spans="2:18" s="30" customFormat="1" x14ac:dyDescent="0.2">
      <c r="B343" s="29" t="s">
        <v>8</v>
      </c>
    </row>
    <row r="344" spans="2:18" s="30" customFormat="1" x14ac:dyDescent="0.2">
      <c r="B344" s="30" t="s">
        <v>22</v>
      </c>
      <c r="E344" s="30" t="s">
        <v>22</v>
      </c>
      <c r="F344" s="76">
        <f>'(R) Data'!C23</f>
        <v>22.642907679399361</v>
      </c>
      <c r="G344" s="156">
        <f>'(R) Data'!D23</f>
        <v>23.143396991165101</v>
      </c>
      <c r="H344" s="156">
        <f>'(R) Data'!E23</f>
        <v>22.896424270523134</v>
      </c>
      <c r="I344" s="156">
        <f>'(R) Data'!F23</f>
        <v>24.089516671707617</v>
      </c>
      <c r="J344" s="156">
        <f>'(R) Data'!G23</f>
        <v>23.905858893995589</v>
      </c>
      <c r="K344" s="156">
        <f>'(R) Data'!H23</f>
        <v>25.340302967426002</v>
      </c>
      <c r="L344" s="156">
        <f>'(R) Data'!I23</f>
        <v>24.117983299847172</v>
      </c>
      <c r="M344" s="156">
        <f>'(R) Data'!J23</f>
        <v>23.37605519083894</v>
      </c>
      <c r="N344" s="156">
        <f>'(R) Data'!K23</f>
        <v>24.507833165654986</v>
      </c>
      <c r="O344" s="156">
        <f>'(R) Data'!L23</f>
        <v>24.002119284044948</v>
      </c>
      <c r="P344" s="156">
        <f>'(R) Data'!M23</f>
        <v>24.086570537944109</v>
      </c>
      <c r="Q344" s="156">
        <f>'(R) Data'!N23</f>
        <v>21.373717119054994</v>
      </c>
      <c r="R344" s="107">
        <f>SUM(F344:Q344)</f>
        <v>283.4826860716019</v>
      </c>
    </row>
    <row r="345" spans="2:18" s="30" customFormat="1" x14ac:dyDescent="0.2">
      <c r="B345" s="30" t="s">
        <v>30</v>
      </c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107"/>
    </row>
    <row r="346" spans="2:18" s="30" customFormat="1" x14ac:dyDescent="0.2">
      <c r="C346" s="30" t="s">
        <v>56</v>
      </c>
      <c r="E346" s="30" t="s">
        <v>10</v>
      </c>
      <c r="F346" s="161">
        <f>'(R) Therms By Block'!B37</f>
        <v>477465.83299999998</v>
      </c>
      <c r="G346" s="170">
        <f>'(R) Therms By Block'!C37</f>
        <v>455876.00099999999</v>
      </c>
      <c r="H346" s="170">
        <f>'(R) Therms By Block'!D37</f>
        <v>475597.31800000003</v>
      </c>
      <c r="I346" s="170">
        <f>'(R) Therms By Block'!E37</f>
        <v>585808.54399999999</v>
      </c>
      <c r="J346" s="170">
        <f>'(R) Therms By Block'!F37</f>
        <v>609730.79299999995</v>
      </c>
      <c r="K346" s="170">
        <f>'(R) Therms By Block'!G37</f>
        <v>627459.95499999996</v>
      </c>
      <c r="L346" s="170">
        <f>'(R) Therms By Block'!H37</f>
        <v>619196.05900000001</v>
      </c>
      <c r="M346" s="170">
        <f>'(R) Therms By Block'!I37</f>
        <v>596871.32700000005</v>
      </c>
      <c r="N346" s="170">
        <f>'(R) Therms By Block'!J37</f>
        <v>628194.80700000003</v>
      </c>
      <c r="O346" s="170">
        <f>'(R) Therms By Block'!K37</f>
        <v>590443.04700000002</v>
      </c>
      <c r="P346" s="170">
        <f>'(R) Therms By Block'!L37</f>
        <v>535177.755</v>
      </c>
      <c r="Q346" s="170">
        <f>'(R) Therms By Block'!M37</f>
        <v>453570.95</v>
      </c>
      <c r="R346" s="107">
        <f>SUM(F346:Q346)</f>
        <v>6655392.3890000004</v>
      </c>
    </row>
    <row r="347" spans="2:18" s="30" customFormat="1" x14ac:dyDescent="0.2">
      <c r="C347" s="30" t="s">
        <v>57</v>
      </c>
      <c r="E347" s="30" t="s">
        <v>10</v>
      </c>
      <c r="F347" s="170">
        <f>'(R) Therms By Block'!B38</f>
        <v>207016.51500000001</v>
      </c>
      <c r="G347" s="170">
        <f>'(R) Therms By Block'!C38</f>
        <v>190848.08100000001</v>
      </c>
      <c r="H347" s="170">
        <f>'(R) Therms By Block'!D38</f>
        <v>227262.685</v>
      </c>
      <c r="I347" s="170">
        <f>'(R) Therms By Block'!E38</f>
        <v>328943.587</v>
      </c>
      <c r="J347" s="170">
        <f>'(R) Therms By Block'!F38</f>
        <v>390519.83799999999</v>
      </c>
      <c r="K347" s="170">
        <f>'(R) Therms By Block'!G38</f>
        <v>478153.67599999998</v>
      </c>
      <c r="L347" s="170">
        <f>'(R) Therms By Block'!H38</f>
        <v>453670.63400000002</v>
      </c>
      <c r="M347" s="170">
        <f>'(R) Therms By Block'!I38</f>
        <v>395277.45</v>
      </c>
      <c r="N347" s="170">
        <f>'(R) Therms By Block'!J38</f>
        <v>414001.36099999998</v>
      </c>
      <c r="O347" s="170">
        <f>'(R) Therms By Block'!K38</f>
        <v>295900.73800000001</v>
      </c>
      <c r="P347" s="170">
        <f>'(R) Therms By Block'!L38</f>
        <v>251734.97399999999</v>
      </c>
      <c r="Q347" s="170">
        <f>'(R) Therms By Block'!M38</f>
        <v>208698.899</v>
      </c>
      <c r="R347" s="107">
        <f>SUM(F347:Q347)</f>
        <v>3842028.4380000001</v>
      </c>
    </row>
    <row r="348" spans="2:18" s="30" customFormat="1" x14ac:dyDescent="0.2">
      <c r="C348" s="30" t="s">
        <v>58</v>
      </c>
      <c r="E348" s="30" t="s">
        <v>10</v>
      </c>
      <c r="F348" s="107">
        <f t="shared" ref="F348:N348" si="201">F349-F346-F347</f>
        <v>33590.434000000008</v>
      </c>
      <c r="G348" s="107">
        <f t="shared" si="201"/>
        <v>17665.422999999893</v>
      </c>
      <c r="H348" s="107">
        <f t="shared" si="201"/>
        <v>89193.548999999999</v>
      </c>
      <c r="I348" s="107">
        <f t="shared" si="201"/>
        <v>334825.20200000011</v>
      </c>
      <c r="J348" s="107">
        <f t="shared" si="201"/>
        <v>554231.34400000016</v>
      </c>
      <c r="K348" s="107">
        <f t="shared" si="201"/>
        <v>760828.57700000005</v>
      </c>
      <c r="L348" s="107">
        <f t="shared" si="201"/>
        <v>707958.24599999981</v>
      </c>
      <c r="M348" s="107">
        <f t="shared" si="201"/>
        <v>544230.76100000017</v>
      </c>
      <c r="N348" s="107">
        <f t="shared" si="201"/>
        <v>601794.96799999988</v>
      </c>
      <c r="O348" s="107">
        <f t="shared" ref="O348:Q348" si="202">O349-O346-O347</f>
        <v>364419.35099999991</v>
      </c>
      <c r="P348" s="107">
        <f t="shared" si="202"/>
        <v>133322.15700000006</v>
      </c>
      <c r="Q348" s="107">
        <f t="shared" si="202"/>
        <v>47470.895000000048</v>
      </c>
      <c r="R348" s="107">
        <f>SUM(F348:Q348)</f>
        <v>4189530.9070000001</v>
      </c>
    </row>
    <row r="349" spans="2:18" s="30" customFormat="1" x14ac:dyDescent="0.2">
      <c r="C349" s="30" t="s">
        <v>17</v>
      </c>
      <c r="E349" s="30" t="s">
        <v>10</v>
      </c>
      <c r="F349" s="111">
        <f>'Weather Adj'!D176</f>
        <v>718072.78200000001</v>
      </c>
      <c r="G349" s="111">
        <f>'Weather Adj'!E176</f>
        <v>664389.50499999989</v>
      </c>
      <c r="H349" s="111">
        <f>'Weather Adj'!F176</f>
        <v>792053.55200000003</v>
      </c>
      <c r="I349" s="111">
        <f>'Weather Adj'!G176</f>
        <v>1249577.3330000001</v>
      </c>
      <c r="J349" s="111">
        <f>'Weather Adj'!H176</f>
        <v>1554481.9750000001</v>
      </c>
      <c r="K349" s="111">
        <f>'Weather Adj'!I176</f>
        <v>1866442.2080000001</v>
      </c>
      <c r="L349" s="111">
        <f>'Weather Adj'!J176</f>
        <v>1780824.939</v>
      </c>
      <c r="M349" s="111">
        <f>'Weather Adj'!K176</f>
        <v>1536379.5380000002</v>
      </c>
      <c r="N349" s="111">
        <f>'Weather Adj'!L176</f>
        <v>1643991.1359999999</v>
      </c>
      <c r="O349" s="111">
        <f>'Weather Adj'!M176</f>
        <v>1250763.1359999999</v>
      </c>
      <c r="P349" s="111">
        <f>'Weather Adj'!N176</f>
        <v>920234.88600000006</v>
      </c>
      <c r="Q349" s="111">
        <f>'Weather Adj'!O176</f>
        <v>709740.74400000006</v>
      </c>
      <c r="R349" s="109">
        <f>SUM(R346:R348)</f>
        <v>14686951.733999999</v>
      </c>
    </row>
    <row r="350" spans="2:18" s="30" customFormat="1" x14ac:dyDescent="0.2">
      <c r="B350" s="30" t="s">
        <v>29</v>
      </c>
      <c r="E350" s="30" t="s">
        <v>100</v>
      </c>
      <c r="F350" s="76">
        <f>'(R) Data'!C43</f>
        <v>7096.2839999999997</v>
      </c>
      <c r="G350" s="156">
        <f>'(R) Data'!D43</f>
        <v>6845.4089999999997</v>
      </c>
      <c r="H350" s="156">
        <f>'(R) Data'!E43</f>
        <v>6460.2240000000002</v>
      </c>
      <c r="I350" s="156">
        <f>'(R) Data'!F43</f>
        <v>6808.3670000000002</v>
      </c>
      <c r="J350" s="156">
        <f>'(R) Data'!G43</f>
        <v>6825.1880000000001</v>
      </c>
      <c r="K350" s="156">
        <f>'(R) Data'!H43</f>
        <v>6726.2070000000003</v>
      </c>
      <c r="L350" s="156">
        <f>'(R) Data'!I43</f>
        <v>6664.5640000000003</v>
      </c>
      <c r="M350" s="156">
        <f>'(R) Data'!J43</f>
        <v>6315.9459999999999</v>
      </c>
      <c r="N350" s="156">
        <f>'(R) Data'!K43</f>
        <v>6780.259</v>
      </c>
      <c r="O350" s="156">
        <f>'(R) Data'!L43</f>
        <v>6617.7579999999998</v>
      </c>
      <c r="P350" s="156">
        <f>'(R) Data'!M43</f>
        <v>6800.5619999999999</v>
      </c>
      <c r="Q350" s="156">
        <f>'(R) Data'!N43</f>
        <v>4462.2240000000002</v>
      </c>
      <c r="R350" s="107">
        <f>SUM(F350:Q350)</f>
        <v>78402.991999999998</v>
      </c>
    </row>
    <row r="351" spans="2:18" s="30" customFormat="1" x14ac:dyDescent="0.2">
      <c r="B351" s="30" t="s">
        <v>21</v>
      </c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107"/>
    </row>
    <row r="352" spans="2:18" s="30" customFormat="1" x14ac:dyDescent="0.2">
      <c r="R352" s="96"/>
    </row>
    <row r="353" spans="1:18" s="30" customFormat="1" x14ac:dyDescent="0.2">
      <c r="B353" s="29" t="s">
        <v>9</v>
      </c>
      <c r="R353" s="96"/>
    </row>
    <row r="354" spans="1:18" s="30" customFormat="1" x14ac:dyDescent="0.2">
      <c r="A354" s="30" t="s">
        <v>147</v>
      </c>
      <c r="B354" s="30" t="s">
        <v>282</v>
      </c>
      <c r="D354" s="30">
        <v>85</v>
      </c>
      <c r="F354" s="34">
        <f t="shared" ref="F354:N354" si="203">F328*F344</f>
        <v>12421.219865688108</v>
      </c>
      <c r="G354" s="34">
        <f t="shared" si="203"/>
        <v>12695.77328744344</v>
      </c>
      <c r="H354" s="34">
        <f t="shared" si="203"/>
        <v>12560.291462080877</v>
      </c>
      <c r="I354" s="34">
        <f t="shared" si="203"/>
        <v>13214.786160598649</v>
      </c>
      <c r="J354" s="34">
        <f t="shared" si="203"/>
        <v>13114.037013479161</v>
      </c>
      <c r="K354" s="34">
        <f t="shared" si="203"/>
        <v>13900.929998840884</v>
      </c>
      <c r="L354" s="34">
        <f t="shared" si="203"/>
        <v>13230.402098797163</v>
      </c>
      <c r="M354" s="34">
        <f t="shared" si="203"/>
        <v>12823.402596038519</v>
      </c>
      <c r="N354" s="34">
        <f t="shared" si="203"/>
        <v>13444.262039683357</v>
      </c>
      <c r="O354" s="34">
        <f t="shared" ref="O354:Q354" si="204">O328*O344</f>
        <v>13166.842575648538</v>
      </c>
      <c r="P354" s="34">
        <f t="shared" si="204"/>
        <v>13213.170000000002</v>
      </c>
      <c r="Q354" s="34">
        <f t="shared" si="204"/>
        <v>11724.98</v>
      </c>
      <c r="R354" s="70">
        <f>SUM(F354:Q354)</f>
        <v>155510.09709829869</v>
      </c>
    </row>
    <row r="355" spans="1:18" s="30" customFormat="1" x14ac:dyDescent="0.2">
      <c r="B355" s="30" t="s">
        <v>3</v>
      </c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70"/>
    </row>
    <row r="356" spans="1:18" x14ac:dyDescent="0.2">
      <c r="A356" s="30"/>
      <c r="B356" s="30"/>
      <c r="C356" s="30" t="s">
        <v>56</v>
      </c>
      <c r="D356" s="30">
        <v>85</v>
      </c>
      <c r="E356" s="30"/>
      <c r="F356" s="34">
        <f t="shared" ref="F356:N356" si="205">F330*F346</f>
        <v>47441.005166880001</v>
      </c>
      <c r="G356" s="34">
        <f t="shared" si="205"/>
        <v>45295.839459360002</v>
      </c>
      <c r="H356" s="34">
        <f t="shared" si="205"/>
        <v>47255.349516480004</v>
      </c>
      <c r="I356" s="34">
        <f t="shared" si="205"/>
        <v>58205.936931839999</v>
      </c>
      <c r="J356" s="34">
        <f t="shared" si="205"/>
        <v>60582.851592479994</v>
      </c>
      <c r="K356" s="34">
        <f t="shared" si="205"/>
        <v>62344.421128800001</v>
      </c>
      <c r="L356" s="34">
        <f t="shared" si="205"/>
        <v>61523.320422240002</v>
      </c>
      <c r="M356" s="34">
        <f t="shared" si="205"/>
        <v>59305.135050720004</v>
      </c>
      <c r="N356" s="34">
        <f t="shared" si="205"/>
        <v>62417.436023520007</v>
      </c>
      <c r="O356" s="34">
        <f t="shared" ref="O356:Q356" si="206">O330*O346</f>
        <v>58666.421149920003</v>
      </c>
      <c r="P356" s="34">
        <f t="shared" si="206"/>
        <v>53175.261736799999</v>
      </c>
      <c r="Q356" s="34">
        <f t="shared" si="206"/>
        <v>45066.809592000005</v>
      </c>
      <c r="R356" s="70">
        <f>SUM(F356:Q356)</f>
        <v>661279.78777103999</v>
      </c>
    </row>
    <row r="357" spans="1:18" x14ac:dyDescent="0.2">
      <c r="A357" s="30"/>
      <c r="B357" s="30"/>
      <c r="C357" s="30" t="s">
        <v>57</v>
      </c>
      <c r="D357" s="30">
        <v>85</v>
      </c>
      <c r="E357" s="30"/>
      <c r="F357" s="34">
        <f t="shared" ref="F357:N357" si="207">F331*F347</f>
        <v>10179.002042550001</v>
      </c>
      <c r="G357" s="34">
        <f t="shared" si="207"/>
        <v>9384.0001427700008</v>
      </c>
      <c r="H357" s="34">
        <f t="shared" si="207"/>
        <v>11174.506221449999</v>
      </c>
      <c r="I357" s="34">
        <f t="shared" si="207"/>
        <v>16174.156172789999</v>
      </c>
      <c r="J357" s="34">
        <f t="shared" si="207"/>
        <v>19201.860434459999</v>
      </c>
      <c r="K357" s="34">
        <f t="shared" si="207"/>
        <v>23510.816248919997</v>
      </c>
      <c r="L357" s="34">
        <f t="shared" si="207"/>
        <v>22306.985073780001</v>
      </c>
      <c r="M357" s="34">
        <f t="shared" si="207"/>
        <v>19435.792216499998</v>
      </c>
      <c r="N357" s="34">
        <f t="shared" si="207"/>
        <v>20356.446920369999</v>
      </c>
      <c r="O357" s="34">
        <f t="shared" ref="O357:Q357" si="208">O331*O347</f>
        <v>14549.43928746</v>
      </c>
      <c r="P357" s="34">
        <f t="shared" si="208"/>
        <v>12377.808671579998</v>
      </c>
      <c r="Q357" s="34">
        <f t="shared" si="208"/>
        <v>10261.724863830001</v>
      </c>
      <c r="R357" s="70">
        <f>SUM(F357:Q357)</f>
        <v>188912.53829645997</v>
      </c>
    </row>
    <row r="358" spans="1:18" x14ac:dyDescent="0.2">
      <c r="C358" t="s">
        <v>58</v>
      </c>
      <c r="D358">
        <v>85</v>
      </c>
      <c r="F358" s="23">
        <f t="shared" ref="F358:N358" si="209">F332*F348</f>
        <v>1580.0940153600004</v>
      </c>
      <c r="G358" s="23">
        <f t="shared" si="209"/>
        <v>830.98149791999492</v>
      </c>
      <c r="H358" s="23">
        <f t="shared" si="209"/>
        <v>4195.6645449600001</v>
      </c>
      <c r="I358" s="23">
        <f t="shared" si="209"/>
        <v>15750.177502080005</v>
      </c>
      <c r="J358" s="23">
        <f t="shared" si="209"/>
        <v>26071.042421760005</v>
      </c>
      <c r="K358" s="23">
        <f t="shared" si="209"/>
        <v>35789.376262080004</v>
      </c>
      <c r="L358" s="23">
        <f t="shared" si="209"/>
        <v>33302.355891839987</v>
      </c>
      <c r="M358" s="23">
        <f t="shared" si="209"/>
        <v>25600.614997440007</v>
      </c>
      <c r="N358" s="23">
        <f t="shared" si="209"/>
        <v>28308.435294719995</v>
      </c>
      <c r="O358" s="23">
        <f t="shared" ref="O358:Q358" si="210">O332*O348</f>
        <v>17142.286271039997</v>
      </c>
      <c r="P358" s="23">
        <f t="shared" si="210"/>
        <v>6271.4742652800032</v>
      </c>
      <c r="Q358" s="23">
        <f t="shared" si="210"/>
        <v>2233.0309008000022</v>
      </c>
      <c r="R358" s="100">
        <f>SUM(F358:Q358)</f>
        <v>197075.53386528001</v>
      </c>
    </row>
    <row r="359" spans="1:18" x14ac:dyDescent="0.2">
      <c r="A359" t="s">
        <v>147</v>
      </c>
      <c r="C359" t="s">
        <v>26</v>
      </c>
      <c r="F359" s="24">
        <f t="shared" ref="F359:N359" si="211">SUM(F356:F358)</f>
        <v>59200.10122479</v>
      </c>
      <c r="G359" s="24">
        <f t="shared" si="211"/>
        <v>55510.821100049994</v>
      </c>
      <c r="H359" s="24">
        <f t="shared" si="211"/>
        <v>62625.520282890007</v>
      </c>
      <c r="I359" s="24">
        <f t="shared" si="211"/>
        <v>90130.270606709993</v>
      </c>
      <c r="J359" s="24">
        <f t="shared" si="211"/>
        <v>105855.7544487</v>
      </c>
      <c r="K359" s="24">
        <f t="shared" si="211"/>
        <v>121644.61363979999</v>
      </c>
      <c r="L359" s="24">
        <f t="shared" si="211"/>
        <v>117132.66138785999</v>
      </c>
      <c r="M359" s="24">
        <f t="shared" si="211"/>
        <v>104341.54226466001</v>
      </c>
      <c r="N359" s="24">
        <f t="shared" si="211"/>
        <v>111082.31823860999</v>
      </c>
      <c r="O359" s="24">
        <f t="shared" ref="O359:Q359" si="212">SUM(O356:O358)</f>
        <v>90358.146708419998</v>
      </c>
      <c r="P359" s="24">
        <f t="shared" si="212"/>
        <v>71824.544673659999</v>
      </c>
      <c r="Q359" s="24">
        <f t="shared" si="212"/>
        <v>57561.56535663001</v>
      </c>
      <c r="R359" s="24">
        <f>SUM(R356:R358)</f>
        <v>1047267.8599327799</v>
      </c>
    </row>
    <row r="360" spans="1:18" x14ac:dyDescent="0.2">
      <c r="A360" t="s">
        <v>130</v>
      </c>
      <c r="B360" t="s">
        <v>306</v>
      </c>
      <c r="D360">
        <v>101</v>
      </c>
      <c r="F360" s="23">
        <f t="shared" ref="F360:N360" si="213">F333*F349</f>
        <v>194023.26569639999</v>
      </c>
      <c r="G360" s="23">
        <f t="shared" si="213"/>
        <v>179518.04425099996</v>
      </c>
      <c r="H360" s="23">
        <f t="shared" si="213"/>
        <v>214012.86975040002</v>
      </c>
      <c r="I360" s="23">
        <f t="shared" si="213"/>
        <v>337635.7953766</v>
      </c>
      <c r="J360" s="34">
        <f t="shared" si="213"/>
        <v>420021.029645</v>
      </c>
      <c r="K360" s="23">
        <f t="shared" si="213"/>
        <v>504312.68460159999</v>
      </c>
      <c r="L360" s="23">
        <f t="shared" si="213"/>
        <v>481178.89851779997</v>
      </c>
      <c r="M360" s="23">
        <f t="shared" si="213"/>
        <v>415129.75116760004</v>
      </c>
      <c r="N360" s="23">
        <f t="shared" si="213"/>
        <v>444206.40494719998</v>
      </c>
      <c r="O360" s="23">
        <f t="shared" ref="O360:Q360" si="214">O333*O349</f>
        <v>337956.19934719999</v>
      </c>
      <c r="P360" s="23">
        <f t="shared" si="214"/>
        <v>248647.4661972</v>
      </c>
      <c r="Q360" s="23">
        <f t="shared" si="214"/>
        <v>191771.94902880001</v>
      </c>
      <c r="R360" s="100">
        <f>SUM(F360:Q360)</f>
        <v>3968414.3585267998</v>
      </c>
    </row>
    <row r="361" spans="1:18" x14ac:dyDescent="0.2">
      <c r="A361" t="s">
        <v>147</v>
      </c>
      <c r="B361" t="s">
        <v>61</v>
      </c>
      <c r="D361" s="21">
        <v>85</v>
      </c>
      <c r="F361" s="40">
        <f t="shared" ref="F361:N361" si="215">F334*F349</f>
        <v>5364.0036815399999</v>
      </c>
      <c r="G361" s="40">
        <f t="shared" si="215"/>
        <v>4962.9896023499996</v>
      </c>
      <c r="H361" s="40">
        <f t="shared" si="215"/>
        <v>5916.6400334400005</v>
      </c>
      <c r="I361" s="40">
        <f t="shared" si="215"/>
        <v>9334.3426775100015</v>
      </c>
      <c r="J361" s="40">
        <f t="shared" si="215"/>
        <v>11611.980353250001</v>
      </c>
      <c r="K361" s="40">
        <f t="shared" si="215"/>
        <v>13942.323293760001</v>
      </c>
      <c r="L361" s="40">
        <f t="shared" si="215"/>
        <v>13302.762294329999</v>
      </c>
      <c r="M361" s="40">
        <f t="shared" si="215"/>
        <v>11476.755148860002</v>
      </c>
      <c r="N361" s="40">
        <f t="shared" si="215"/>
        <v>12280.613785919999</v>
      </c>
      <c r="O361" s="40">
        <f t="shared" ref="O361:Q361" si="216">O334*O349</f>
        <v>9343.2006259199989</v>
      </c>
      <c r="P361" s="40">
        <f t="shared" si="216"/>
        <v>6874.1545984200002</v>
      </c>
      <c r="Q361" s="40">
        <f t="shared" si="216"/>
        <v>5301.7633576800008</v>
      </c>
      <c r="R361" s="97">
        <f>SUM(F361:Q361)</f>
        <v>109711.52945298002</v>
      </c>
    </row>
    <row r="362" spans="1:18" x14ac:dyDescent="0.2">
      <c r="A362" t="s">
        <v>551</v>
      </c>
      <c r="B362" t="s">
        <v>552</v>
      </c>
      <c r="D362" s="21">
        <v>149</v>
      </c>
      <c r="F362" s="40">
        <f>F335*F349</f>
        <v>2376.8209084200003</v>
      </c>
      <c r="G362" s="40">
        <f t="shared" ref="G362:Q362" si="217">G335*G349</f>
        <v>2199.1292615499997</v>
      </c>
      <c r="H362" s="40">
        <f t="shared" si="217"/>
        <v>2621.6972571199999</v>
      </c>
      <c r="I362" s="40">
        <f t="shared" si="217"/>
        <v>4136.1009722300005</v>
      </c>
      <c r="J362" s="40">
        <f t="shared" si="217"/>
        <v>5145.3353372500005</v>
      </c>
      <c r="K362" s="40">
        <f t="shared" si="217"/>
        <v>6177.9237084800006</v>
      </c>
      <c r="L362" s="40">
        <f t="shared" si="217"/>
        <v>5894.5305480899997</v>
      </c>
      <c r="M362" s="40">
        <f t="shared" si="217"/>
        <v>5085.4162707800006</v>
      </c>
      <c r="N362" s="40">
        <f t="shared" si="217"/>
        <v>5441.6106601599995</v>
      </c>
      <c r="O362" s="40">
        <f t="shared" si="217"/>
        <v>4140.0259801599996</v>
      </c>
      <c r="P362" s="40">
        <f t="shared" si="217"/>
        <v>3045.9774726600003</v>
      </c>
      <c r="Q362" s="40">
        <f t="shared" si="217"/>
        <v>2349.2418626400004</v>
      </c>
      <c r="R362" s="97">
        <f>SUM(F362:Q362)</f>
        <v>48613.810239539998</v>
      </c>
    </row>
    <row r="363" spans="1:18" x14ac:dyDescent="0.2">
      <c r="B363" t="s">
        <v>18</v>
      </c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100"/>
    </row>
    <row r="364" spans="1:18" x14ac:dyDescent="0.2">
      <c r="A364" t="s">
        <v>147</v>
      </c>
      <c r="C364" t="s">
        <v>19</v>
      </c>
      <c r="D364">
        <v>85</v>
      </c>
      <c r="F364" s="23">
        <f t="shared" ref="F364:N364" si="218">F337*F350</f>
        <v>8586.503639999999</v>
      </c>
      <c r="G364" s="23">
        <f t="shared" si="218"/>
        <v>8282.9448899999988</v>
      </c>
      <c r="H364" s="23">
        <f t="shared" si="218"/>
        <v>7816.87104</v>
      </c>
      <c r="I364" s="23">
        <f t="shared" si="218"/>
        <v>8238.1240699999998</v>
      </c>
      <c r="J364" s="23">
        <f t="shared" si="218"/>
        <v>8258.4774799999996</v>
      </c>
      <c r="K364" s="23">
        <f t="shared" si="218"/>
        <v>8138.71047</v>
      </c>
      <c r="L364" s="23">
        <f t="shared" si="218"/>
        <v>8064.1224400000001</v>
      </c>
      <c r="M364" s="23">
        <f t="shared" si="218"/>
        <v>7642.2946599999996</v>
      </c>
      <c r="N364" s="23">
        <f t="shared" si="218"/>
        <v>8204.1133900000004</v>
      </c>
      <c r="O364" s="23">
        <f t="shared" ref="O364:Q364" si="219">O337*O350</f>
        <v>8007.4871799999992</v>
      </c>
      <c r="P364" s="23">
        <f t="shared" si="219"/>
        <v>8228.6800199999998</v>
      </c>
      <c r="Q364" s="23">
        <f t="shared" si="219"/>
        <v>5399.2910400000001</v>
      </c>
      <c r="R364" s="100">
        <f>SUM(F364:Q364)</f>
        <v>94867.620319999987</v>
      </c>
    </row>
    <row r="365" spans="1:18" s="30" customFormat="1" x14ac:dyDescent="0.2">
      <c r="A365" t="s">
        <v>130</v>
      </c>
      <c r="B365"/>
      <c r="C365" t="s">
        <v>20</v>
      </c>
      <c r="D365">
        <v>101</v>
      </c>
      <c r="E365"/>
      <c r="F365" s="23">
        <f t="shared" ref="F365:N365" si="220">F338*F350</f>
        <v>7451.0982000000004</v>
      </c>
      <c r="G365" s="23">
        <f t="shared" si="220"/>
        <v>7187.6794499999996</v>
      </c>
      <c r="H365" s="23">
        <f t="shared" si="220"/>
        <v>6783.2352000000001</v>
      </c>
      <c r="I365" s="23">
        <f t="shared" si="220"/>
        <v>7148.7853500000001</v>
      </c>
      <c r="J365" s="34">
        <f t="shared" si="220"/>
        <v>7166.4474</v>
      </c>
      <c r="K365" s="23">
        <f t="shared" si="220"/>
        <v>7062.517350000001</v>
      </c>
      <c r="L365" s="23">
        <f t="shared" si="220"/>
        <v>6997.7922000000008</v>
      </c>
      <c r="M365" s="23">
        <f t="shared" si="220"/>
        <v>6631.7433000000001</v>
      </c>
      <c r="N365" s="23">
        <f t="shared" si="220"/>
        <v>7119.2719500000003</v>
      </c>
      <c r="O365" s="23">
        <f t="shared" ref="O365:Q365" si="221">O338*O350</f>
        <v>6948.6459000000004</v>
      </c>
      <c r="P365" s="23">
        <f t="shared" si="221"/>
        <v>7140.5901000000003</v>
      </c>
      <c r="Q365" s="23">
        <f t="shared" si="221"/>
        <v>4685.3352000000004</v>
      </c>
      <c r="R365" s="100">
        <f>SUM(F365:Q365)</f>
        <v>82323.141600000003</v>
      </c>
    </row>
    <row r="366" spans="1:18" s="30" customFormat="1" x14ac:dyDescent="0.2">
      <c r="A366"/>
      <c r="B366"/>
      <c r="C366" t="s">
        <v>23</v>
      </c>
      <c r="D366"/>
      <c r="E366"/>
      <c r="F366" s="24">
        <f t="shared" ref="F366:N366" si="222">SUM(F364:F365)</f>
        <v>16037.601839999999</v>
      </c>
      <c r="G366" s="24">
        <f t="shared" si="222"/>
        <v>15470.624339999998</v>
      </c>
      <c r="H366" s="24">
        <f t="shared" si="222"/>
        <v>14600.106240000001</v>
      </c>
      <c r="I366" s="24">
        <f t="shared" si="222"/>
        <v>15386.90942</v>
      </c>
      <c r="J366" s="24">
        <f t="shared" si="222"/>
        <v>15424.924879999999</v>
      </c>
      <c r="K366" s="24">
        <f t="shared" si="222"/>
        <v>15201.22782</v>
      </c>
      <c r="L366" s="24">
        <f t="shared" si="222"/>
        <v>15061.914640000001</v>
      </c>
      <c r="M366" s="24">
        <f t="shared" si="222"/>
        <v>14274.03796</v>
      </c>
      <c r="N366" s="24">
        <f t="shared" si="222"/>
        <v>15323.385340000001</v>
      </c>
      <c r="O366" s="24">
        <f t="shared" ref="O366:Q366" si="223">SUM(O364:O365)</f>
        <v>14956.13308</v>
      </c>
      <c r="P366" s="24">
        <f t="shared" si="223"/>
        <v>15369.270120000001</v>
      </c>
      <c r="Q366" s="24">
        <f t="shared" si="223"/>
        <v>10084.626240000001</v>
      </c>
      <c r="R366" s="24">
        <f>SUM(R364:R365)</f>
        <v>177190.76191999999</v>
      </c>
    </row>
    <row r="367" spans="1:18" s="30" customFormat="1" x14ac:dyDescent="0.2">
      <c r="A367" s="30" t="s">
        <v>147</v>
      </c>
      <c r="B367" s="30" t="s">
        <v>21</v>
      </c>
      <c r="D367" s="30">
        <v>85</v>
      </c>
      <c r="F367" s="74">
        <f>'(R) Data'!C59</f>
        <v>0</v>
      </c>
      <c r="G367" s="74">
        <f>'(R) Data'!D59</f>
        <v>0</v>
      </c>
      <c r="H367" s="74">
        <f>'(R) Data'!E59</f>
        <v>0</v>
      </c>
      <c r="I367" s="74">
        <f>'(R) Data'!F59</f>
        <v>0</v>
      </c>
      <c r="J367" s="74">
        <f>'(R) Data'!G59</f>
        <v>0</v>
      </c>
      <c r="K367" s="74">
        <f>'(R) Data'!H59</f>
        <v>0</v>
      </c>
      <c r="L367" s="74">
        <f>'(R) Data'!I59</f>
        <v>0</v>
      </c>
      <c r="M367" s="74">
        <f>'(R) Data'!J59</f>
        <v>0</v>
      </c>
      <c r="N367" s="74">
        <f>'(R) Data'!K59</f>
        <v>0</v>
      </c>
      <c r="O367" s="74">
        <f>'(R) Data'!L59</f>
        <v>0</v>
      </c>
      <c r="P367" s="74">
        <f>'(R) Data'!M59</f>
        <v>0</v>
      </c>
      <c r="Q367" s="74">
        <f>'(R) Data'!N59</f>
        <v>0</v>
      </c>
      <c r="R367" s="70">
        <f>SUM(F367:Q367)</f>
        <v>0</v>
      </c>
    </row>
    <row r="368" spans="1:18" s="30" customFormat="1" x14ac:dyDescent="0.2">
      <c r="A368"/>
      <c r="B368" t="s">
        <v>25</v>
      </c>
      <c r="C368"/>
      <c r="D368"/>
      <c r="E368"/>
      <c r="F368" s="40">
        <f t="shared" ref="F368:N368" si="224">F360+F365</f>
        <v>201474.3638964</v>
      </c>
      <c r="G368" s="40">
        <f t="shared" si="224"/>
        <v>186705.72370099995</v>
      </c>
      <c r="H368" s="40">
        <f t="shared" si="224"/>
        <v>220796.10495040001</v>
      </c>
      <c r="I368" s="40">
        <f t="shared" si="224"/>
        <v>344784.58072660002</v>
      </c>
      <c r="J368" s="40">
        <f t="shared" si="224"/>
        <v>427187.47704500001</v>
      </c>
      <c r="K368" s="40">
        <f t="shared" si="224"/>
        <v>511375.20195159997</v>
      </c>
      <c r="L368" s="40">
        <f t="shared" si="224"/>
        <v>488176.6907178</v>
      </c>
      <c r="M368" s="40">
        <f t="shared" si="224"/>
        <v>421761.49446760002</v>
      </c>
      <c r="N368" s="40">
        <f t="shared" si="224"/>
        <v>451325.6768972</v>
      </c>
      <c r="O368" s="40">
        <f t="shared" ref="O368:Q368" si="225">O360+O365</f>
        <v>344904.84524719999</v>
      </c>
      <c r="P368" s="40">
        <f t="shared" si="225"/>
        <v>255788.0562972</v>
      </c>
      <c r="Q368" s="40">
        <f t="shared" si="225"/>
        <v>196457.28422880001</v>
      </c>
      <c r="R368" s="40">
        <f>SUM(F368:Q368)</f>
        <v>4050737.5001267996</v>
      </c>
    </row>
    <row r="369" spans="1:37" s="30" customFormat="1" x14ac:dyDescent="0.2">
      <c r="A369"/>
      <c r="B369" t="s">
        <v>24</v>
      </c>
      <c r="C369"/>
      <c r="D369"/>
      <c r="E369"/>
      <c r="F369" s="24">
        <f>F354+F359+F360+F361+F362+F366+F367</f>
        <v>289423.01321683812</v>
      </c>
      <c r="G369" s="24">
        <f t="shared" ref="G369:R369" si="226">G354+G359+G360+G361+G362+G366+G367</f>
        <v>270357.38184239337</v>
      </c>
      <c r="H369" s="24">
        <f t="shared" si="226"/>
        <v>312337.12502593093</v>
      </c>
      <c r="I369" s="24">
        <f t="shared" si="226"/>
        <v>469838.20521364862</v>
      </c>
      <c r="J369" s="24">
        <f t="shared" si="226"/>
        <v>571173.06167767919</v>
      </c>
      <c r="K369" s="24">
        <f t="shared" si="226"/>
        <v>675179.70306248078</v>
      </c>
      <c r="L369" s="24">
        <f t="shared" si="226"/>
        <v>645801.16948687716</v>
      </c>
      <c r="M369" s="24">
        <f t="shared" si="226"/>
        <v>563130.90540793864</v>
      </c>
      <c r="N369" s="24">
        <f t="shared" si="226"/>
        <v>601778.59501157328</v>
      </c>
      <c r="O369" s="24">
        <f t="shared" si="226"/>
        <v>469920.54831734853</v>
      </c>
      <c r="P369" s="24">
        <f t="shared" si="226"/>
        <v>358974.58306194004</v>
      </c>
      <c r="Q369" s="24">
        <f t="shared" si="226"/>
        <v>278794.12584575004</v>
      </c>
      <c r="R369" s="24">
        <f t="shared" si="226"/>
        <v>5506708.4171703989</v>
      </c>
    </row>
    <row r="370" spans="1:37" s="30" customFormat="1" x14ac:dyDescent="0.2">
      <c r="A370"/>
      <c r="B370"/>
      <c r="C370"/>
      <c r="D370"/>
      <c r="E370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100"/>
    </row>
    <row r="371" spans="1:37" s="30" customFormat="1" x14ac:dyDescent="0.2">
      <c r="A371" t="s">
        <v>305</v>
      </c>
      <c r="B371" t="s">
        <v>304</v>
      </c>
      <c r="C371"/>
      <c r="D371"/>
      <c r="E371"/>
      <c r="F371" s="23">
        <f t="shared" ref="F371:N371" si="227">F340*F349+F350*F341</f>
        <v>192301.61593343999</v>
      </c>
      <c r="G371" s="23">
        <f t="shared" si="227"/>
        <v>178204.75012959994</v>
      </c>
      <c r="H371" s="23">
        <f t="shared" si="227"/>
        <v>210746.67613183998</v>
      </c>
      <c r="I371" s="23">
        <f t="shared" si="227"/>
        <v>329099.35272736003</v>
      </c>
      <c r="J371" s="23">
        <f t="shared" si="227"/>
        <v>407757.178992</v>
      </c>
      <c r="K371" s="23">
        <f t="shared" si="227"/>
        <v>488118.98128736002</v>
      </c>
      <c r="L371" s="23">
        <f t="shared" si="227"/>
        <v>465974.93226688</v>
      </c>
      <c r="M371" s="23">
        <f t="shared" si="227"/>
        <v>402578.95644096</v>
      </c>
      <c r="N371" s="23">
        <f t="shared" si="227"/>
        <v>430798.45279711997</v>
      </c>
      <c r="O371" s="23">
        <f t="shared" ref="O371:Q371" si="228">O340*O349+O350*O341</f>
        <v>329214.58603711991</v>
      </c>
      <c r="P371" s="23">
        <f t="shared" si="228"/>
        <v>244147.54379712002</v>
      </c>
      <c r="Q371" s="23">
        <f t="shared" si="228"/>
        <v>187518.55669247999</v>
      </c>
      <c r="R371" s="100">
        <f>SUM(F371:Q371)</f>
        <v>3866461.5832332796</v>
      </c>
    </row>
    <row r="372" spans="1:37" s="30" customFormat="1" x14ac:dyDescent="0.2"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70"/>
    </row>
    <row r="373" spans="1:37" s="30" customFormat="1" x14ac:dyDescent="0.2">
      <c r="A373"/>
      <c r="B373" s="15" t="s">
        <v>97</v>
      </c>
      <c r="C373" s="15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</row>
    <row r="374" spans="1:37" s="30" customFormat="1" x14ac:dyDescent="0.2">
      <c r="A374"/>
      <c r="B374" s="15" t="s">
        <v>7</v>
      </c>
      <c r="C374" s="15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</row>
    <row r="375" spans="1:37" s="30" customFormat="1" x14ac:dyDescent="0.2">
      <c r="A375"/>
      <c r="B375" t="s">
        <v>282</v>
      </c>
      <c r="C375"/>
      <c r="D375">
        <v>85</v>
      </c>
      <c r="E375" t="s">
        <v>5</v>
      </c>
      <c r="F375" s="17">
        <f t="shared" ref="F375:Q375" si="229">F328</f>
        <v>548.57000000000005</v>
      </c>
      <c r="G375" s="17">
        <f t="shared" si="229"/>
        <v>548.57000000000005</v>
      </c>
      <c r="H375" s="17">
        <f t="shared" si="229"/>
        <v>548.57000000000005</v>
      </c>
      <c r="I375" s="17">
        <f t="shared" si="229"/>
        <v>548.57000000000005</v>
      </c>
      <c r="J375" s="17">
        <f t="shared" si="229"/>
        <v>548.57000000000005</v>
      </c>
      <c r="K375" s="17">
        <f t="shared" si="229"/>
        <v>548.57000000000005</v>
      </c>
      <c r="L375" s="17">
        <f t="shared" si="229"/>
        <v>548.57000000000005</v>
      </c>
      <c r="M375" s="17">
        <f t="shared" si="229"/>
        <v>548.57000000000005</v>
      </c>
      <c r="N375" s="17">
        <f t="shared" si="229"/>
        <v>548.57000000000005</v>
      </c>
      <c r="O375" s="17">
        <f t="shared" si="229"/>
        <v>548.57000000000005</v>
      </c>
      <c r="P375" s="17">
        <f t="shared" si="229"/>
        <v>548.57000000000005</v>
      </c>
      <c r="Q375" s="17">
        <f t="shared" si="229"/>
        <v>548.57000000000005</v>
      </c>
      <c r="R375" s="26"/>
    </row>
    <row r="376" spans="1:37" s="30" customFormat="1" x14ac:dyDescent="0.2">
      <c r="A376"/>
      <c r="B376" t="s">
        <v>3</v>
      </c>
      <c r="C376"/>
      <c r="D376"/>
      <c r="E376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20"/>
    </row>
    <row r="377" spans="1:37" s="30" customFormat="1" x14ac:dyDescent="0.2">
      <c r="A377"/>
      <c r="B377"/>
      <c r="C377" t="s">
        <v>56</v>
      </c>
      <c r="D377">
        <v>85</v>
      </c>
      <c r="E377" t="s">
        <v>6</v>
      </c>
      <c r="F377" s="18">
        <f t="shared" ref="F377:Q377" si="230">F330</f>
        <v>9.9360000000000004E-2</v>
      </c>
      <c r="G377" s="18">
        <f t="shared" si="230"/>
        <v>9.9360000000000004E-2</v>
      </c>
      <c r="H377" s="18">
        <f t="shared" si="230"/>
        <v>9.9360000000000004E-2</v>
      </c>
      <c r="I377" s="18">
        <f t="shared" si="230"/>
        <v>9.9360000000000004E-2</v>
      </c>
      <c r="J377" s="18">
        <f t="shared" si="230"/>
        <v>9.9360000000000004E-2</v>
      </c>
      <c r="K377" s="18">
        <f t="shared" si="230"/>
        <v>9.9360000000000004E-2</v>
      </c>
      <c r="L377" s="18">
        <f t="shared" si="230"/>
        <v>9.9360000000000004E-2</v>
      </c>
      <c r="M377" s="18">
        <f t="shared" si="230"/>
        <v>9.9360000000000004E-2</v>
      </c>
      <c r="N377" s="18">
        <f t="shared" si="230"/>
        <v>9.9360000000000004E-2</v>
      </c>
      <c r="O377" s="18">
        <f t="shared" si="230"/>
        <v>9.9360000000000004E-2</v>
      </c>
      <c r="P377" s="18">
        <f t="shared" si="230"/>
        <v>9.9360000000000004E-2</v>
      </c>
      <c r="Q377" s="18">
        <f t="shared" si="230"/>
        <v>9.9360000000000004E-2</v>
      </c>
      <c r="R377" s="20"/>
    </row>
    <row r="378" spans="1:37" s="30" customFormat="1" x14ac:dyDescent="0.2">
      <c r="A378"/>
      <c r="B378"/>
      <c r="C378" t="s">
        <v>57</v>
      </c>
      <c r="D378">
        <v>85</v>
      </c>
      <c r="E378" t="s">
        <v>6</v>
      </c>
      <c r="F378" s="18">
        <f t="shared" ref="F378:Q378" si="231">F331</f>
        <v>4.9169999999999998E-2</v>
      </c>
      <c r="G378" s="18">
        <f t="shared" si="231"/>
        <v>4.9169999999999998E-2</v>
      </c>
      <c r="H378" s="18">
        <f t="shared" si="231"/>
        <v>4.9169999999999998E-2</v>
      </c>
      <c r="I378" s="18">
        <f t="shared" si="231"/>
        <v>4.9169999999999998E-2</v>
      </c>
      <c r="J378" s="18">
        <f t="shared" si="231"/>
        <v>4.9169999999999998E-2</v>
      </c>
      <c r="K378" s="18">
        <f t="shared" si="231"/>
        <v>4.9169999999999998E-2</v>
      </c>
      <c r="L378" s="18">
        <f t="shared" si="231"/>
        <v>4.9169999999999998E-2</v>
      </c>
      <c r="M378" s="18">
        <f t="shared" si="231"/>
        <v>4.9169999999999998E-2</v>
      </c>
      <c r="N378" s="18">
        <f t="shared" si="231"/>
        <v>4.9169999999999998E-2</v>
      </c>
      <c r="O378" s="18">
        <f t="shared" si="231"/>
        <v>4.9169999999999998E-2</v>
      </c>
      <c r="P378" s="18">
        <f t="shared" si="231"/>
        <v>4.9169999999999998E-2</v>
      </c>
      <c r="Q378" s="18">
        <f t="shared" si="231"/>
        <v>4.9169999999999998E-2</v>
      </c>
      <c r="R378" s="20"/>
    </row>
    <row r="379" spans="1:37" s="30" customFormat="1" x14ac:dyDescent="0.2">
      <c r="A379"/>
      <c r="B379"/>
      <c r="C379" t="s">
        <v>58</v>
      </c>
      <c r="D379">
        <v>85</v>
      </c>
      <c r="E379" t="s">
        <v>6</v>
      </c>
      <c r="F379" s="18">
        <f t="shared" ref="F379:Q379" si="232">F332</f>
        <v>4.7039999999999998E-2</v>
      </c>
      <c r="G379" s="18">
        <f t="shared" si="232"/>
        <v>4.7039999999999998E-2</v>
      </c>
      <c r="H379" s="18">
        <f t="shared" si="232"/>
        <v>4.7039999999999998E-2</v>
      </c>
      <c r="I379" s="18">
        <f t="shared" si="232"/>
        <v>4.7039999999999998E-2</v>
      </c>
      <c r="J379" s="18">
        <f t="shared" si="232"/>
        <v>4.7039999999999998E-2</v>
      </c>
      <c r="K379" s="18">
        <f t="shared" si="232"/>
        <v>4.7039999999999998E-2</v>
      </c>
      <c r="L379" s="18">
        <f t="shared" si="232"/>
        <v>4.7039999999999998E-2</v>
      </c>
      <c r="M379" s="18">
        <f t="shared" si="232"/>
        <v>4.7039999999999998E-2</v>
      </c>
      <c r="N379" s="18">
        <f t="shared" si="232"/>
        <v>4.7039999999999998E-2</v>
      </c>
      <c r="O379" s="18">
        <f t="shared" si="232"/>
        <v>4.7039999999999998E-2</v>
      </c>
      <c r="P379" s="18">
        <f t="shared" si="232"/>
        <v>4.7039999999999998E-2</v>
      </c>
      <c r="Q379" s="18">
        <f t="shared" si="232"/>
        <v>4.7039999999999998E-2</v>
      </c>
      <c r="R379" s="20"/>
    </row>
    <row r="380" spans="1:37" s="30" customFormat="1" x14ac:dyDescent="0.2">
      <c r="A380"/>
      <c r="B380" t="s">
        <v>303</v>
      </c>
      <c r="C380"/>
      <c r="D380">
        <v>101</v>
      </c>
      <c r="E380" t="s">
        <v>6</v>
      </c>
      <c r="F380" s="18">
        <f t="shared" ref="F380:Q380" si="233">F333</f>
        <v>0.2702</v>
      </c>
      <c r="G380" s="18">
        <f t="shared" si="233"/>
        <v>0.2702</v>
      </c>
      <c r="H380" s="18">
        <f t="shared" si="233"/>
        <v>0.2702</v>
      </c>
      <c r="I380" s="18">
        <f t="shared" si="233"/>
        <v>0.2702</v>
      </c>
      <c r="J380" s="18">
        <f t="shared" si="233"/>
        <v>0.2702</v>
      </c>
      <c r="K380" s="18">
        <f t="shared" si="233"/>
        <v>0.2702</v>
      </c>
      <c r="L380" s="18">
        <f t="shared" si="233"/>
        <v>0.2702</v>
      </c>
      <c r="M380" s="18">
        <f t="shared" si="233"/>
        <v>0.2702</v>
      </c>
      <c r="N380" s="18">
        <f t="shared" si="233"/>
        <v>0.2702</v>
      </c>
      <c r="O380" s="18">
        <f t="shared" si="233"/>
        <v>0.2702</v>
      </c>
      <c r="P380" s="18">
        <f t="shared" si="233"/>
        <v>0.2702</v>
      </c>
      <c r="Q380" s="18">
        <f t="shared" si="233"/>
        <v>0.2702</v>
      </c>
      <c r="R380" s="20"/>
    </row>
    <row r="381" spans="1:37" s="30" customFormat="1" x14ac:dyDescent="0.2">
      <c r="A381"/>
      <c r="B381"/>
      <c r="C381" t="s">
        <v>61</v>
      </c>
      <c r="D381" s="21">
        <v>85</v>
      </c>
      <c r="E381" t="s">
        <v>6</v>
      </c>
      <c r="F381" s="18">
        <f t="shared" ref="F381:Q382" si="234">F334</f>
        <v>7.4700000000000001E-3</v>
      </c>
      <c r="G381" s="18">
        <f t="shared" si="234"/>
        <v>7.4700000000000001E-3</v>
      </c>
      <c r="H381" s="18">
        <f t="shared" si="234"/>
        <v>7.4700000000000001E-3</v>
      </c>
      <c r="I381" s="18">
        <f t="shared" si="234"/>
        <v>7.4700000000000001E-3</v>
      </c>
      <c r="J381" s="18">
        <f t="shared" si="234"/>
        <v>7.4700000000000001E-3</v>
      </c>
      <c r="K381" s="18">
        <f t="shared" si="234"/>
        <v>7.4700000000000001E-3</v>
      </c>
      <c r="L381" s="18">
        <f t="shared" si="234"/>
        <v>7.4700000000000001E-3</v>
      </c>
      <c r="M381" s="18">
        <f t="shared" si="234"/>
        <v>7.4700000000000001E-3</v>
      </c>
      <c r="N381" s="18">
        <f t="shared" si="234"/>
        <v>7.4700000000000001E-3</v>
      </c>
      <c r="O381" s="18">
        <f t="shared" si="234"/>
        <v>7.4700000000000001E-3</v>
      </c>
      <c r="P381" s="18">
        <f t="shared" si="234"/>
        <v>7.4700000000000001E-3</v>
      </c>
      <c r="Q381" s="18">
        <f t="shared" si="234"/>
        <v>7.4700000000000001E-3</v>
      </c>
      <c r="R381" s="20"/>
    </row>
    <row r="382" spans="1:37" s="30" customFormat="1" x14ac:dyDescent="0.2">
      <c r="A382"/>
      <c r="B382" t="s">
        <v>550</v>
      </c>
      <c r="C382"/>
      <c r="D382" s="21">
        <v>149</v>
      </c>
      <c r="E382" t="s">
        <v>6</v>
      </c>
      <c r="F382" s="18">
        <f t="shared" si="234"/>
        <v>3.31E-3</v>
      </c>
      <c r="G382" s="18">
        <f t="shared" si="234"/>
        <v>3.31E-3</v>
      </c>
      <c r="H382" s="18">
        <f t="shared" si="234"/>
        <v>3.31E-3</v>
      </c>
      <c r="I382" s="18">
        <f t="shared" si="234"/>
        <v>3.31E-3</v>
      </c>
      <c r="J382" s="18">
        <f t="shared" si="234"/>
        <v>3.31E-3</v>
      </c>
      <c r="K382" s="18">
        <f t="shared" si="234"/>
        <v>3.31E-3</v>
      </c>
      <c r="L382" s="18">
        <f t="shared" si="234"/>
        <v>3.31E-3</v>
      </c>
      <c r="M382" s="18">
        <f t="shared" si="234"/>
        <v>3.31E-3</v>
      </c>
      <c r="N382" s="18">
        <f t="shared" si="234"/>
        <v>3.31E-3</v>
      </c>
      <c r="O382" s="18">
        <f t="shared" si="234"/>
        <v>3.31E-3</v>
      </c>
      <c r="P382" s="18">
        <f t="shared" si="234"/>
        <v>3.31E-3</v>
      </c>
      <c r="Q382" s="18">
        <f t="shared" si="234"/>
        <v>3.31E-3</v>
      </c>
      <c r="R382" s="20"/>
    </row>
    <row r="383" spans="1:37" s="30" customFormat="1" x14ac:dyDescent="0.2">
      <c r="A383"/>
      <c r="B383" t="s">
        <v>18</v>
      </c>
      <c r="C383"/>
      <c r="D383"/>
      <c r="E383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</row>
    <row r="384" spans="1:37" s="30" customFormat="1" x14ac:dyDescent="0.2">
      <c r="A384"/>
      <c r="B384"/>
      <c r="C384" t="s">
        <v>19</v>
      </c>
      <c r="D384">
        <v>101</v>
      </c>
      <c r="E384" t="s">
        <v>6</v>
      </c>
      <c r="F384" s="112">
        <f t="shared" ref="F384:Q384" si="235">F337</f>
        <v>1.21</v>
      </c>
      <c r="G384" s="112">
        <f t="shared" si="235"/>
        <v>1.21</v>
      </c>
      <c r="H384" s="112">
        <f t="shared" si="235"/>
        <v>1.21</v>
      </c>
      <c r="I384" s="112">
        <f t="shared" si="235"/>
        <v>1.21</v>
      </c>
      <c r="J384" s="112">
        <f t="shared" si="235"/>
        <v>1.21</v>
      </c>
      <c r="K384" s="112">
        <f t="shared" si="235"/>
        <v>1.21</v>
      </c>
      <c r="L384" s="112">
        <f t="shared" si="235"/>
        <v>1.21</v>
      </c>
      <c r="M384" s="112">
        <f t="shared" si="235"/>
        <v>1.21</v>
      </c>
      <c r="N384" s="112">
        <f t="shared" si="235"/>
        <v>1.21</v>
      </c>
      <c r="O384" s="112">
        <f t="shared" si="235"/>
        <v>1.21</v>
      </c>
      <c r="P384" s="112">
        <f t="shared" si="235"/>
        <v>1.21</v>
      </c>
      <c r="Q384" s="112">
        <f t="shared" si="235"/>
        <v>1.21</v>
      </c>
      <c r="R384" s="20"/>
    </row>
    <row r="385" spans="1:19" s="30" customFormat="1" x14ac:dyDescent="0.2">
      <c r="C385" s="30" t="s">
        <v>20</v>
      </c>
      <c r="D385" s="30">
        <v>101</v>
      </c>
      <c r="E385" s="30" t="s">
        <v>6</v>
      </c>
      <c r="F385" s="49">
        <f t="shared" ref="F385:Q385" si="236">F338</f>
        <v>1.05</v>
      </c>
      <c r="G385" s="49">
        <f t="shared" si="236"/>
        <v>1.05</v>
      </c>
      <c r="H385" s="49">
        <f t="shared" si="236"/>
        <v>1.05</v>
      </c>
      <c r="I385" s="49">
        <f t="shared" si="236"/>
        <v>1.05</v>
      </c>
      <c r="J385" s="49">
        <f t="shared" si="236"/>
        <v>1.05</v>
      </c>
      <c r="K385" s="49">
        <f t="shared" si="236"/>
        <v>1.05</v>
      </c>
      <c r="L385" s="49">
        <f t="shared" si="236"/>
        <v>1.05</v>
      </c>
      <c r="M385" s="49">
        <f t="shared" si="236"/>
        <v>1.05</v>
      </c>
      <c r="N385" s="49">
        <f t="shared" si="236"/>
        <v>1.05</v>
      </c>
      <c r="O385" s="49">
        <f t="shared" si="236"/>
        <v>1.05</v>
      </c>
      <c r="P385" s="49">
        <f t="shared" si="236"/>
        <v>1.05</v>
      </c>
      <c r="Q385" s="49">
        <f t="shared" si="236"/>
        <v>1.05</v>
      </c>
      <c r="R385" s="65"/>
    </row>
    <row r="386" spans="1:19" s="30" customFormat="1" x14ac:dyDescent="0.2">
      <c r="B386" s="30" t="s">
        <v>21</v>
      </c>
      <c r="D386" s="30">
        <v>85</v>
      </c>
      <c r="E386" s="30" t="s">
        <v>22</v>
      </c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65"/>
    </row>
    <row r="387" spans="1:19" s="30" customFormat="1" x14ac:dyDescent="0.2">
      <c r="B387" s="30" t="s">
        <v>304</v>
      </c>
      <c r="F387" s="18">
        <f t="shared" ref="F387:Q387" si="237">F340</f>
        <v>0.25791999999999998</v>
      </c>
      <c r="G387" s="18">
        <f t="shared" si="237"/>
        <v>0.25791999999999998</v>
      </c>
      <c r="H387" s="18">
        <f t="shared" si="237"/>
        <v>0.25791999999999998</v>
      </c>
      <c r="I387" s="18">
        <f t="shared" si="237"/>
        <v>0.25791999999999998</v>
      </c>
      <c r="J387" s="18">
        <f t="shared" si="237"/>
        <v>0.25791999999999998</v>
      </c>
      <c r="K387" s="18">
        <f t="shared" si="237"/>
        <v>0.25791999999999998</v>
      </c>
      <c r="L387" s="18">
        <f t="shared" si="237"/>
        <v>0.25791999999999998</v>
      </c>
      <c r="M387" s="18">
        <f t="shared" si="237"/>
        <v>0.25791999999999998</v>
      </c>
      <c r="N387" s="18">
        <f t="shared" si="237"/>
        <v>0.25791999999999998</v>
      </c>
      <c r="O387" s="18">
        <f t="shared" si="237"/>
        <v>0.25791999999999998</v>
      </c>
      <c r="P387" s="18">
        <f t="shared" si="237"/>
        <v>0.25791999999999998</v>
      </c>
      <c r="Q387" s="18">
        <f t="shared" si="237"/>
        <v>0.25791999999999998</v>
      </c>
      <c r="R387" s="65"/>
    </row>
    <row r="388" spans="1:19" s="30" customFormat="1" x14ac:dyDescent="0.2">
      <c r="B388" s="30" t="s">
        <v>311</v>
      </c>
      <c r="F388" s="112">
        <f t="shared" ref="F388:Q388" si="238">F341</f>
        <v>1</v>
      </c>
      <c r="G388" s="112">
        <f t="shared" si="238"/>
        <v>1</v>
      </c>
      <c r="H388" s="112">
        <f t="shared" si="238"/>
        <v>1</v>
      </c>
      <c r="I388" s="112">
        <f t="shared" si="238"/>
        <v>1</v>
      </c>
      <c r="J388" s="112">
        <f t="shared" si="238"/>
        <v>1</v>
      </c>
      <c r="K388" s="112">
        <f t="shared" si="238"/>
        <v>1</v>
      </c>
      <c r="L388" s="112">
        <f t="shared" si="238"/>
        <v>1</v>
      </c>
      <c r="M388" s="112">
        <f t="shared" si="238"/>
        <v>1</v>
      </c>
      <c r="N388" s="112">
        <f t="shared" si="238"/>
        <v>1</v>
      </c>
      <c r="O388" s="112">
        <f t="shared" si="238"/>
        <v>1</v>
      </c>
      <c r="P388" s="112">
        <f t="shared" si="238"/>
        <v>1</v>
      </c>
      <c r="Q388" s="112">
        <f t="shared" si="238"/>
        <v>1</v>
      </c>
      <c r="R388" s="65"/>
    </row>
    <row r="389" spans="1:19" s="30" customFormat="1" x14ac:dyDescent="0.2"/>
    <row r="390" spans="1:19" s="30" customFormat="1" x14ac:dyDescent="0.2">
      <c r="B390" s="29" t="s">
        <v>8</v>
      </c>
    </row>
    <row r="391" spans="1:19" s="30" customFormat="1" x14ac:dyDescent="0.2">
      <c r="B391" s="30" t="s">
        <v>22</v>
      </c>
      <c r="E391" s="30" t="s">
        <v>22</v>
      </c>
      <c r="F391" s="76">
        <f>'(R) Data'!C24</f>
        <v>4.0689467709182781</v>
      </c>
      <c r="G391" s="156">
        <f>'(R) Data'!D24</f>
        <v>4.04005372475656</v>
      </c>
      <c r="H391" s="156">
        <f>'(R) Data'!E24</f>
        <v>3.967749156553301</v>
      </c>
      <c r="I391" s="156">
        <f>'(R) Data'!F24</f>
        <v>4.1100078348603315</v>
      </c>
      <c r="J391" s="156">
        <f>'(R) Data'!G24</f>
        <v>3.9844102268911592</v>
      </c>
      <c r="K391" s="156">
        <f>'(R) Data'!H24</f>
        <v>3.9576420884246191</v>
      </c>
      <c r="L391" s="156">
        <f>'(R) Data'!I24</f>
        <v>4.0277920564751035</v>
      </c>
      <c r="M391" s="156">
        <f>'(R) Data'!J24</f>
        <v>3.8663685274665016</v>
      </c>
      <c r="N391" s="156">
        <f>'(R) Data'!K24</f>
        <v>4.0635687604948423</v>
      </c>
      <c r="O391" s="156">
        <f>'(R) Data'!L24</f>
        <v>4.0043178780713475</v>
      </c>
      <c r="P391" s="156">
        <f>'(R) Data'!M24</f>
        <v>4.0188672366334286</v>
      </c>
      <c r="Q391" s="156">
        <f>'(R) Data'!N24</f>
        <v>3.9250961591045805</v>
      </c>
      <c r="R391" s="107">
        <f>SUM(F391:Q391)</f>
        <v>48.03482042065005</v>
      </c>
    </row>
    <row r="392" spans="1:19" s="30" customFormat="1" x14ac:dyDescent="0.2">
      <c r="B392" s="30" t="s">
        <v>30</v>
      </c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107"/>
    </row>
    <row r="393" spans="1:19" x14ac:dyDescent="0.2">
      <c r="A393" s="30"/>
      <c r="B393" s="30"/>
      <c r="C393" s="30" t="s">
        <v>56</v>
      </c>
      <c r="D393" s="30"/>
      <c r="E393" s="30" t="s">
        <v>10</v>
      </c>
      <c r="F393" s="161">
        <f>'(R) Therms By Block'!B44</f>
        <v>92736.415999999997</v>
      </c>
      <c r="G393" s="170">
        <f>'(R) Therms By Block'!C44</f>
        <v>88705.854999999996</v>
      </c>
      <c r="H393" s="170">
        <f>'(R) Therms By Block'!D44</f>
        <v>88846.324999999997</v>
      </c>
      <c r="I393" s="170">
        <f>'(R) Therms By Block'!E44</f>
        <v>96948.638000000006</v>
      </c>
      <c r="J393" s="170">
        <f>'(R) Therms By Block'!F44</f>
        <v>99609.741999999998</v>
      </c>
      <c r="K393" s="170">
        <f>'(R) Therms By Block'!G44</f>
        <v>98942.221999999994</v>
      </c>
      <c r="L393" s="170">
        <f>'(R) Therms By Block'!H44</f>
        <v>100694.553</v>
      </c>
      <c r="M393" s="170">
        <f>'(R) Therms By Block'!I44</f>
        <v>95970.812999999995</v>
      </c>
      <c r="N393" s="170">
        <f>'(R) Therms By Block'!J44</f>
        <v>99781.682000000001</v>
      </c>
      <c r="O393" s="170">
        <f>'(R) Therms By Block'!K44</f>
        <v>100107.56</v>
      </c>
      <c r="P393" s="170">
        <f>'(R) Therms By Block'!L44</f>
        <v>91522.342999999993</v>
      </c>
      <c r="Q393" s="170">
        <f>'(R) Therms By Block'!M44</f>
        <v>87325.294999999998</v>
      </c>
      <c r="R393" s="107">
        <f>SUM(F393:Q393)</f>
        <v>1141191.4439999997</v>
      </c>
      <c r="S393"/>
    </row>
    <row r="394" spans="1:19" x14ac:dyDescent="0.2">
      <c r="A394" s="30"/>
      <c r="B394" s="30"/>
      <c r="C394" s="30" t="s">
        <v>57</v>
      </c>
      <c r="D394" s="30"/>
      <c r="E394" s="30" t="s">
        <v>10</v>
      </c>
      <c r="F394" s="170">
        <f>'(R) Therms By Block'!B45</f>
        <v>25480.246999999999</v>
      </c>
      <c r="G394" s="170">
        <f>'(R) Therms By Block'!C45</f>
        <v>19372.763999999999</v>
      </c>
      <c r="H394" s="170">
        <f>'(R) Therms By Block'!D45</f>
        <v>28774.941999999999</v>
      </c>
      <c r="I394" s="170">
        <f>'(R) Therms By Block'!E45</f>
        <v>35709.906999999999</v>
      </c>
      <c r="J394" s="170">
        <f>'(R) Therms By Block'!F45</f>
        <v>45196.078000000001</v>
      </c>
      <c r="K394" s="170">
        <f>'(R) Therms By Block'!G45</f>
        <v>53216.502999999997</v>
      </c>
      <c r="L394" s="170">
        <f>'(R) Therms By Block'!H45</f>
        <v>47232.860999999997</v>
      </c>
      <c r="M394" s="170">
        <f>'(R) Therms By Block'!I45</f>
        <v>41418.798999999999</v>
      </c>
      <c r="N394" s="170">
        <f>'(R) Therms By Block'!J45</f>
        <v>37198.016000000003</v>
      </c>
      <c r="O394" s="170">
        <f>'(R) Therms By Block'!K45</f>
        <v>47052.500999999997</v>
      </c>
      <c r="P394" s="170">
        <f>'(R) Therms By Block'!L45</f>
        <v>35115.035000000003</v>
      </c>
      <c r="Q394" s="170">
        <f>'(R) Therms By Block'!M45</f>
        <v>24692.401000000002</v>
      </c>
      <c r="R394" s="107">
        <f>SUM(F394:Q394)</f>
        <v>440460.05400000006</v>
      </c>
      <c r="S394"/>
    </row>
    <row r="395" spans="1:19" s="30" customFormat="1" x14ac:dyDescent="0.2">
      <c r="C395" s="30" t="s">
        <v>58</v>
      </c>
      <c r="E395" s="30" t="s">
        <v>10</v>
      </c>
      <c r="F395" s="107">
        <f t="shared" ref="F395:N395" si="239">F396-SUM(F393:F394)</f>
        <v>0</v>
      </c>
      <c r="G395" s="107">
        <f t="shared" si="239"/>
        <v>0</v>
      </c>
      <c r="H395" s="107">
        <f t="shared" si="239"/>
        <v>0</v>
      </c>
      <c r="I395" s="107">
        <f t="shared" si="239"/>
        <v>0</v>
      </c>
      <c r="J395" s="107">
        <f t="shared" si="239"/>
        <v>5770.2039999999979</v>
      </c>
      <c r="K395" s="107">
        <f t="shared" si="239"/>
        <v>10783.439000000042</v>
      </c>
      <c r="L395" s="107">
        <f t="shared" si="239"/>
        <v>4855.9159999999974</v>
      </c>
      <c r="M395" s="107">
        <f t="shared" si="239"/>
        <v>6754.8839999999909</v>
      </c>
      <c r="N395" s="107">
        <f t="shared" si="239"/>
        <v>8416.9130000000005</v>
      </c>
      <c r="O395" s="107">
        <f t="shared" ref="O395:Q395" si="240">O396-SUM(O393:O394)</f>
        <v>2528.7159999999858</v>
      </c>
      <c r="P395" s="107">
        <f t="shared" si="240"/>
        <v>76.122000000003027</v>
      </c>
      <c r="Q395" s="107">
        <f t="shared" si="240"/>
        <v>0</v>
      </c>
      <c r="R395" s="107">
        <f>SUM(F395:Q395)</f>
        <v>39186.194000000018</v>
      </c>
    </row>
    <row r="396" spans="1:19" s="30" customFormat="1" x14ac:dyDescent="0.2">
      <c r="C396" s="30" t="s">
        <v>17</v>
      </c>
      <c r="E396" s="30" t="s">
        <v>10</v>
      </c>
      <c r="F396" s="111">
        <f>'Weather Adj'!D188</f>
        <v>118216.663</v>
      </c>
      <c r="G396" s="111">
        <f>'Weather Adj'!E188</f>
        <v>108078.61899999999</v>
      </c>
      <c r="H396" s="111">
        <f>'Weather Adj'!F188</f>
        <v>117621.26699999999</v>
      </c>
      <c r="I396" s="111">
        <f>'Weather Adj'!G188</f>
        <v>132658.54500000001</v>
      </c>
      <c r="J396" s="111">
        <f>'Weather Adj'!H188</f>
        <v>150576.024</v>
      </c>
      <c r="K396" s="111">
        <f>'Weather Adj'!I188</f>
        <v>162942.16400000002</v>
      </c>
      <c r="L396" s="111">
        <f>'Weather Adj'!J188</f>
        <v>152783.32999999999</v>
      </c>
      <c r="M396" s="111">
        <f>'Weather Adj'!K188</f>
        <v>144144.49599999998</v>
      </c>
      <c r="N396" s="111">
        <f>'Weather Adj'!L188</f>
        <v>145396.611</v>
      </c>
      <c r="O396" s="111">
        <f>'Weather Adj'!M188</f>
        <v>149688.77699999997</v>
      </c>
      <c r="P396" s="111">
        <f>'Weather Adj'!N188</f>
        <v>126713.5</v>
      </c>
      <c r="Q396" s="111">
        <f>'Weather Adj'!O188</f>
        <v>112017.696</v>
      </c>
      <c r="R396" s="109">
        <f>SUM(R393:R395)</f>
        <v>1620837.6919999998</v>
      </c>
    </row>
    <row r="397" spans="1:19" s="30" customFormat="1" x14ac:dyDescent="0.2">
      <c r="B397" s="30" t="s">
        <v>29</v>
      </c>
      <c r="E397" s="30" t="s">
        <v>100</v>
      </c>
      <c r="F397" s="76">
        <f>'(R) Data'!C44</f>
        <v>518.69000000000005</v>
      </c>
      <c r="G397" s="156">
        <f>'(R) Data'!D44</f>
        <v>510.01299999999998</v>
      </c>
      <c r="H397" s="156">
        <f>'(R) Data'!E44</f>
        <v>488.32299999999998</v>
      </c>
      <c r="I397" s="156">
        <f>'(R) Data'!F44</f>
        <v>513.17600000000004</v>
      </c>
      <c r="J397" s="156">
        <f>'(R) Data'!G44</f>
        <v>495.04300000000001</v>
      </c>
      <c r="K397" s="156">
        <f>'(R) Data'!H44</f>
        <v>490.26099999999997</v>
      </c>
      <c r="L397" s="156">
        <f>'(R) Data'!I44</f>
        <v>497.79899999999998</v>
      </c>
      <c r="M397" s="156">
        <f>'(R) Data'!J44</f>
        <v>465.29399999999998</v>
      </c>
      <c r="N397" s="156">
        <f>'(R) Data'!K44</f>
        <v>518.226</v>
      </c>
      <c r="O397" s="156">
        <f>'(R) Data'!L44</f>
        <v>498.14</v>
      </c>
      <c r="P397" s="156">
        <f>'(R) Data'!M44</f>
        <v>499.85300000000001</v>
      </c>
      <c r="Q397" s="156">
        <f>'(R) Data'!N44</f>
        <v>498.16500000000002</v>
      </c>
      <c r="R397" s="107">
        <f>SUM(F397:Q397)</f>
        <v>5992.9830000000002</v>
      </c>
    </row>
    <row r="398" spans="1:19" s="30" customFormat="1" x14ac:dyDescent="0.2">
      <c r="B398" s="30" t="s">
        <v>21</v>
      </c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107"/>
    </row>
    <row r="399" spans="1:19" s="30" customFormat="1" x14ac:dyDescent="0.2">
      <c r="K399" s="46"/>
      <c r="L399" s="46"/>
      <c r="M399" s="46"/>
      <c r="N399" s="46"/>
      <c r="O399" s="46"/>
      <c r="P399" s="46"/>
      <c r="Q399" s="46"/>
      <c r="R399" s="96"/>
    </row>
    <row r="400" spans="1:19" s="30" customFormat="1" x14ac:dyDescent="0.2">
      <c r="B400" s="29" t="s">
        <v>9</v>
      </c>
      <c r="R400" s="96"/>
    </row>
    <row r="401" spans="1:19" s="30" customFormat="1" x14ac:dyDescent="0.2">
      <c r="A401" s="30" t="s">
        <v>147</v>
      </c>
      <c r="B401" s="30" t="s">
        <v>282</v>
      </c>
      <c r="D401" s="30">
        <v>85</v>
      </c>
      <c r="F401" s="34">
        <f t="shared" ref="F401:N401" si="241">F375*F391</f>
        <v>2232.1021301226401</v>
      </c>
      <c r="G401" s="34">
        <f t="shared" si="241"/>
        <v>2216.2522717897064</v>
      </c>
      <c r="H401" s="34">
        <f t="shared" si="241"/>
        <v>2176.5881548104444</v>
      </c>
      <c r="I401" s="34">
        <f t="shared" si="241"/>
        <v>2254.6269979693325</v>
      </c>
      <c r="J401" s="34">
        <f t="shared" si="241"/>
        <v>2185.7279181656836</v>
      </c>
      <c r="K401" s="34">
        <f t="shared" si="241"/>
        <v>2171.0437204470936</v>
      </c>
      <c r="L401" s="34">
        <f t="shared" si="241"/>
        <v>2209.5258884205477</v>
      </c>
      <c r="M401" s="34">
        <f t="shared" si="241"/>
        <v>2120.9737831122989</v>
      </c>
      <c r="N401" s="34">
        <f t="shared" si="241"/>
        <v>2229.1519149446558</v>
      </c>
      <c r="O401" s="34">
        <f t="shared" ref="O401:Q401" si="242">O375*O391</f>
        <v>2196.6486583735991</v>
      </c>
      <c r="P401" s="34">
        <f t="shared" si="242"/>
        <v>2204.63</v>
      </c>
      <c r="Q401" s="34">
        <f t="shared" si="242"/>
        <v>2153.19</v>
      </c>
      <c r="R401" s="70">
        <f>SUM(F401:Q401)</f>
        <v>26350.461438155999</v>
      </c>
    </row>
    <row r="402" spans="1:19" s="30" customFormat="1" x14ac:dyDescent="0.2">
      <c r="A402"/>
      <c r="B402"/>
      <c r="C402" t="s">
        <v>3</v>
      </c>
      <c r="D402"/>
      <c r="E402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100"/>
    </row>
    <row r="403" spans="1:19" s="30" customFormat="1" x14ac:dyDescent="0.2">
      <c r="A403"/>
      <c r="B403"/>
      <c r="C403" t="s">
        <v>56</v>
      </c>
      <c r="D403">
        <v>85</v>
      </c>
      <c r="E403"/>
      <c r="F403" s="23">
        <f t="shared" ref="F403:N403" si="243">F377*F393</f>
        <v>9214.2902937599993</v>
      </c>
      <c r="G403" s="23">
        <f t="shared" si="243"/>
        <v>8813.8137528000007</v>
      </c>
      <c r="H403" s="23">
        <f t="shared" si="243"/>
        <v>8827.7708519999996</v>
      </c>
      <c r="I403" s="23">
        <f t="shared" si="243"/>
        <v>9632.8166716800006</v>
      </c>
      <c r="J403" s="23">
        <f t="shared" si="243"/>
        <v>9897.2239651199998</v>
      </c>
      <c r="K403" s="23">
        <f t="shared" si="243"/>
        <v>9830.8991779200005</v>
      </c>
      <c r="L403" s="23">
        <f t="shared" si="243"/>
        <v>10005.01078608</v>
      </c>
      <c r="M403" s="23">
        <f t="shared" si="243"/>
        <v>9535.6599796800001</v>
      </c>
      <c r="N403" s="23">
        <f t="shared" si="243"/>
        <v>9914.3079235200003</v>
      </c>
      <c r="O403" s="23">
        <f t="shared" ref="O403:Q403" si="244">O377*O393</f>
        <v>9946.6871616000008</v>
      </c>
      <c r="P403" s="23">
        <f t="shared" si="244"/>
        <v>9093.6600004800002</v>
      </c>
      <c r="Q403" s="23">
        <f t="shared" si="244"/>
        <v>8676.6413112000009</v>
      </c>
      <c r="R403" s="100">
        <f t="shared" ref="R403:R412" si="245">SUM(F403:Q403)</f>
        <v>113388.78187584</v>
      </c>
    </row>
    <row r="404" spans="1:19" s="30" customFormat="1" x14ac:dyDescent="0.2">
      <c r="A404"/>
      <c r="B404"/>
      <c r="C404" t="s">
        <v>57</v>
      </c>
      <c r="D404">
        <v>85</v>
      </c>
      <c r="E404"/>
      <c r="F404" s="23">
        <f t="shared" ref="F404:N404" si="246">F378*F394</f>
        <v>1252.86374499</v>
      </c>
      <c r="G404" s="23">
        <f t="shared" si="246"/>
        <v>952.55880587999991</v>
      </c>
      <c r="H404" s="23">
        <f t="shared" si="246"/>
        <v>1414.8638981399999</v>
      </c>
      <c r="I404" s="23">
        <f t="shared" si="246"/>
        <v>1755.8561271899998</v>
      </c>
      <c r="J404" s="23">
        <f t="shared" si="246"/>
        <v>2222.2911552599999</v>
      </c>
      <c r="K404" s="23">
        <f t="shared" si="246"/>
        <v>2616.6554525099996</v>
      </c>
      <c r="L404" s="23">
        <f t="shared" si="246"/>
        <v>2322.43977537</v>
      </c>
      <c r="M404" s="23">
        <f t="shared" si="246"/>
        <v>2036.5623468299998</v>
      </c>
      <c r="N404" s="23">
        <f t="shared" si="246"/>
        <v>1829.0264467200002</v>
      </c>
      <c r="O404" s="23">
        <f t="shared" ref="O404:Q404" si="247">O378*O394</f>
        <v>2313.5714741699999</v>
      </c>
      <c r="P404" s="23">
        <f t="shared" si="247"/>
        <v>1726.6062709500002</v>
      </c>
      <c r="Q404" s="23">
        <f t="shared" si="247"/>
        <v>1214.1253571700001</v>
      </c>
      <c r="R404" s="100">
        <f t="shared" si="245"/>
        <v>21657.42085518</v>
      </c>
    </row>
    <row r="405" spans="1:19" s="30" customFormat="1" x14ac:dyDescent="0.2">
      <c r="A405"/>
      <c r="B405"/>
      <c r="C405" t="s">
        <v>58</v>
      </c>
      <c r="D405">
        <v>85</v>
      </c>
      <c r="E405"/>
      <c r="F405" s="23">
        <f t="shared" ref="F405:N405" si="248">F379*F395</f>
        <v>0</v>
      </c>
      <c r="G405" s="23">
        <f t="shared" si="248"/>
        <v>0</v>
      </c>
      <c r="H405" s="23">
        <f t="shared" si="248"/>
        <v>0</v>
      </c>
      <c r="I405" s="23">
        <f t="shared" si="248"/>
        <v>0</v>
      </c>
      <c r="J405" s="23">
        <f t="shared" si="248"/>
        <v>271.43039615999987</v>
      </c>
      <c r="K405" s="23">
        <f t="shared" si="248"/>
        <v>507.25297056000198</v>
      </c>
      <c r="L405" s="23">
        <f t="shared" si="248"/>
        <v>228.42228863999986</v>
      </c>
      <c r="M405" s="23">
        <f t="shared" si="248"/>
        <v>317.74974335999957</v>
      </c>
      <c r="N405" s="23">
        <f t="shared" si="248"/>
        <v>395.93158751999999</v>
      </c>
      <c r="O405" s="23">
        <f t="shared" ref="O405:Q405" si="249">O379*O395</f>
        <v>118.95080063999933</v>
      </c>
      <c r="P405" s="23">
        <f t="shared" si="249"/>
        <v>3.5807788800001421</v>
      </c>
      <c r="Q405" s="23">
        <f t="shared" si="249"/>
        <v>0</v>
      </c>
      <c r="R405" s="100">
        <f t="shared" si="245"/>
        <v>1843.3185657600006</v>
      </c>
    </row>
    <row r="406" spans="1:19" s="30" customFormat="1" x14ac:dyDescent="0.2">
      <c r="A406" t="s">
        <v>147</v>
      </c>
      <c r="B406"/>
      <c r="C406" t="s">
        <v>26</v>
      </c>
      <c r="D406"/>
      <c r="E406"/>
      <c r="F406" s="24">
        <f t="shared" ref="F406:N406" si="250">SUM(F403:F405)</f>
        <v>10467.154038749999</v>
      </c>
      <c r="G406" s="24">
        <f t="shared" si="250"/>
        <v>9766.372558680001</v>
      </c>
      <c r="H406" s="24">
        <f t="shared" si="250"/>
        <v>10242.63475014</v>
      </c>
      <c r="I406" s="24">
        <f t="shared" si="250"/>
        <v>11388.67279887</v>
      </c>
      <c r="J406" s="24">
        <f t="shared" si="250"/>
        <v>12390.94551654</v>
      </c>
      <c r="K406" s="24">
        <f t="shared" si="250"/>
        <v>12954.807600990003</v>
      </c>
      <c r="L406" s="24">
        <f t="shared" si="250"/>
        <v>12555.87285009</v>
      </c>
      <c r="M406" s="24">
        <f t="shared" si="250"/>
        <v>11889.97206987</v>
      </c>
      <c r="N406" s="24">
        <f t="shared" si="250"/>
        <v>12139.265957759999</v>
      </c>
      <c r="O406" s="24">
        <f t="shared" ref="O406:Q406" si="251">SUM(O403:O405)</f>
        <v>12379.209436409999</v>
      </c>
      <c r="P406" s="24">
        <f t="shared" si="251"/>
        <v>10823.84705031</v>
      </c>
      <c r="Q406" s="24">
        <f t="shared" si="251"/>
        <v>9890.7666683700008</v>
      </c>
      <c r="R406" s="684">
        <f t="shared" si="245"/>
        <v>136889.52129678</v>
      </c>
    </row>
    <row r="407" spans="1:19" s="30" customFormat="1" x14ac:dyDescent="0.2">
      <c r="A407" s="30" t="s">
        <v>130</v>
      </c>
      <c r="B407" t="s">
        <v>303</v>
      </c>
      <c r="C407"/>
      <c r="D407">
        <v>101</v>
      </c>
      <c r="E407"/>
      <c r="F407" s="23">
        <f t="shared" ref="F407:N407" si="252">F380*F396</f>
        <v>31942.1423426</v>
      </c>
      <c r="G407" s="23">
        <f t="shared" si="252"/>
        <v>29202.842853799997</v>
      </c>
      <c r="H407" s="23">
        <f t="shared" si="252"/>
        <v>31781.266343399999</v>
      </c>
      <c r="I407" s="23">
        <f t="shared" si="252"/>
        <v>35844.338859000003</v>
      </c>
      <c r="J407" s="34">
        <f t="shared" si="252"/>
        <v>40685.641684800001</v>
      </c>
      <c r="K407" s="23">
        <f t="shared" si="252"/>
        <v>44026.972712800001</v>
      </c>
      <c r="L407" s="23">
        <f t="shared" si="252"/>
        <v>41282.055765999998</v>
      </c>
      <c r="M407" s="23">
        <f t="shared" si="252"/>
        <v>38947.842819199992</v>
      </c>
      <c r="N407" s="23">
        <f t="shared" si="252"/>
        <v>39286.164292200003</v>
      </c>
      <c r="O407" s="23">
        <f t="shared" ref="O407:Q407" si="253">O380*O396</f>
        <v>40445.90754539999</v>
      </c>
      <c r="P407" s="23">
        <f t="shared" si="253"/>
        <v>34237.987699999998</v>
      </c>
      <c r="Q407" s="23">
        <f t="shared" si="253"/>
        <v>30267.181459199997</v>
      </c>
      <c r="R407" s="100">
        <f t="shared" si="245"/>
        <v>437950.34437839995</v>
      </c>
    </row>
    <row r="408" spans="1:19" s="30" customFormat="1" x14ac:dyDescent="0.2">
      <c r="A408" s="50" t="s">
        <v>147</v>
      </c>
      <c r="B408" s="50" t="s">
        <v>61</v>
      </c>
      <c r="C408"/>
      <c r="D408" s="51">
        <v>85</v>
      </c>
      <c r="E408" s="50"/>
      <c r="F408" s="40">
        <f t="shared" ref="F408:N408" si="254">F381*F396</f>
        <v>883.07847261000006</v>
      </c>
      <c r="G408" s="40">
        <f t="shared" si="254"/>
        <v>807.34728392999989</v>
      </c>
      <c r="H408" s="40">
        <f t="shared" si="254"/>
        <v>878.63086448999991</v>
      </c>
      <c r="I408" s="40">
        <f t="shared" si="254"/>
        <v>990.95933115000014</v>
      </c>
      <c r="J408" s="40">
        <f t="shared" si="254"/>
        <v>1124.80289928</v>
      </c>
      <c r="K408" s="40">
        <f t="shared" si="254"/>
        <v>1217.1779650800001</v>
      </c>
      <c r="L408" s="40">
        <f t="shared" si="254"/>
        <v>1141.2914750999998</v>
      </c>
      <c r="M408" s="40">
        <f t="shared" si="254"/>
        <v>1076.7593851199999</v>
      </c>
      <c r="N408" s="40">
        <f t="shared" si="254"/>
        <v>1086.11268417</v>
      </c>
      <c r="O408" s="40">
        <f t="shared" ref="O408:Q408" si="255">O381*O396</f>
        <v>1118.1751641899998</v>
      </c>
      <c r="P408" s="40">
        <f t="shared" si="255"/>
        <v>946.549845</v>
      </c>
      <c r="Q408" s="40">
        <f t="shared" si="255"/>
        <v>836.77218912000001</v>
      </c>
      <c r="R408" s="97">
        <f t="shared" si="245"/>
        <v>12107.657559239999</v>
      </c>
    </row>
    <row r="409" spans="1:19" s="30" customFormat="1" x14ac:dyDescent="0.2">
      <c r="A409" s="50" t="s">
        <v>551</v>
      </c>
      <c r="B409" s="50" t="s">
        <v>552</v>
      </c>
      <c r="C409"/>
      <c r="D409" s="51">
        <v>149</v>
      </c>
      <c r="E409" s="50"/>
      <c r="F409" s="40">
        <f>F382*F396</f>
        <v>391.29715453</v>
      </c>
      <c r="G409" s="40">
        <f t="shared" ref="G409:Q409" si="256">G382*G396</f>
        <v>357.74022888999997</v>
      </c>
      <c r="H409" s="40">
        <f t="shared" si="256"/>
        <v>389.32639376999998</v>
      </c>
      <c r="I409" s="40">
        <f t="shared" si="256"/>
        <v>439.09978395000002</v>
      </c>
      <c r="J409" s="40">
        <f t="shared" si="256"/>
        <v>498.40663943999999</v>
      </c>
      <c r="K409" s="40">
        <f t="shared" si="256"/>
        <v>539.33856284000001</v>
      </c>
      <c r="L409" s="40">
        <f t="shared" si="256"/>
        <v>505.71282229999997</v>
      </c>
      <c r="M409" s="40">
        <f t="shared" si="256"/>
        <v>477.11828175999995</v>
      </c>
      <c r="N409" s="40">
        <f t="shared" si="256"/>
        <v>481.26278241</v>
      </c>
      <c r="O409" s="40">
        <f t="shared" si="256"/>
        <v>495.4698518699999</v>
      </c>
      <c r="P409" s="40">
        <f t="shared" si="256"/>
        <v>419.42168500000002</v>
      </c>
      <c r="Q409" s="40">
        <f t="shared" si="256"/>
        <v>370.77857375999997</v>
      </c>
      <c r="R409" s="97">
        <f t="shared" si="245"/>
        <v>5364.9727605199996</v>
      </c>
    </row>
    <row r="410" spans="1:19" s="30" customFormat="1" x14ac:dyDescent="0.2">
      <c r="A410"/>
      <c r="B410" t="s">
        <v>18</v>
      </c>
      <c r="C410"/>
      <c r="D410"/>
      <c r="E410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100">
        <f t="shared" si="245"/>
        <v>0</v>
      </c>
    </row>
    <row r="411" spans="1:19" s="30" customFormat="1" x14ac:dyDescent="0.2">
      <c r="A411" t="s">
        <v>147</v>
      </c>
      <c r="B411"/>
      <c r="C411" t="s">
        <v>19</v>
      </c>
      <c r="D411">
        <v>85</v>
      </c>
      <c r="E411"/>
      <c r="F411" s="23">
        <f t="shared" ref="F411:N411" si="257">F384*F397</f>
        <v>627.61490000000003</v>
      </c>
      <c r="G411" s="23">
        <f t="shared" si="257"/>
        <v>617.11572999999999</v>
      </c>
      <c r="H411" s="23">
        <f t="shared" si="257"/>
        <v>590.87082999999996</v>
      </c>
      <c r="I411" s="23">
        <f t="shared" si="257"/>
        <v>620.94296000000008</v>
      </c>
      <c r="J411" s="23">
        <f t="shared" si="257"/>
        <v>599.00202999999999</v>
      </c>
      <c r="K411" s="23">
        <f t="shared" si="257"/>
        <v>593.21580999999992</v>
      </c>
      <c r="L411" s="23">
        <f t="shared" si="257"/>
        <v>602.33678999999995</v>
      </c>
      <c r="M411" s="23">
        <f t="shared" si="257"/>
        <v>563.00573999999995</v>
      </c>
      <c r="N411" s="23">
        <f t="shared" si="257"/>
        <v>627.05345999999997</v>
      </c>
      <c r="O411" s="23">
        <f t="shared" ref="O411:Q411" si="258">O384*O397</f>
        <v>602.74939999999992</v>
      </c>
      <c r="P411" s="23">
        <f t="shared" si="258"/>
        <v>604.82213000000002</v>
      </c>
      <c r="Q411" s="23">
        <f t="shared" si="258"/>
        <v>602.77965000000006</v>
      </c>
      <c r="R411" s="100">
        <f t="shared" si="245"/>
        <v>7251.5094300000001</v>
      </c>
    </row>
    <row r="412" spans="1:19" s="30" customFormat="1" x14ac:dyDescent="0.2">
      <c r="A412" s="30" t="s">
        <v>130</v>
      </c>
      <c r="B412"/>
      <c r="C412" t="s">
        <v>20</v>
      </c>
      <c r="D412">
        <v>101</v>
      </c>
      <c r="E412"/>
      <c r="F412" s="23">
        <f t="shared" ref="F412:N412" si="259">F385*F397</f>
        <v>544.62450000000013</v>
      </c>
      <c r="G412" s="23">
        <f t="shared" si="259"/>
        <v>535.51364999999998</v>
      </c>
      <c r="H412" s="23">
        <f t="shared" si="259"/>
        <v>512.73915</v>
      </c>
      <c r="I412" s="23">
        <f t="shared" si="259"/>
        <v>538.83480000000009</v>
      </c>
      <c r="J412" s="34">
        <f t="shared" si="259"/>
        <v>519.79515000000004</v>
      </c>
      <c r="K412" s="23">
        <f t="shared" si="259"/>
        <v>514.77404999999999</v>
      </c>
      <c r="L412" s="23">
        <f t="shared" si="259"/>
        <v>522.68894999999998</v>
      </c>
      <c r="M412" s="23">
        <f t="shared" si="259"/>
        <v>488.55869999999999</v>
      </c>
      <c r="N412" s="23">
        <f t="shared" si="259"/>
        <v>544.13729999999998</v>
      </c>
      <c r="O412" s="23">
        <f t="shared" ref="O412:Q412" si="260">O385*O397</f>
        <v>523.04700000000003</v>
      </c>
      <c r="P412" s="23">
        <f t="shared" si="260"/>
        <v>524.84564999999998</v>
      </c>
      <c r="Q412" s="23">
        <f t="shared" si="260"/>
        <v>523.07325000000003</v>
      </c>
      <c r="R412" s="100">
        <f t="shared" si="245"/>
        <v>6292.6321500000013</v>
      </c>
    </row>
    <row r="413" spans="1:19" x14ac:dyDescent="0.2">
      <c r="C413" t="s">
        <v>23</v>
      </c>
      <c r="F413" s="24">
        <f t="shared" ref="F413:N413" si="261">SUM(F411:F412)</f>
        <v>1172.2394000000002</v>
      </c>
      <c r="G413" s="24">
        <f t="shared" si="261"/>
        <v>1152.6293799999999</v>
      </c>
      <c r="H413" s="24">
        <f t="shared" si="261"/>
        <v>1103.60998</v>
      </c>
      <c r="I413" s="24">
        <f t="shared" si="261"/>
        <v>1159.7777600000002</v>
      </c>
      <c r="J413" s="24">
        <f t="shared" si="261"/>
        <v>1118.79718</v>
      </c>
      <c r="K413" s="24">
        <f t="shared" si="261"/>
        <v>1107.9898599999999</v>
      </c>
      <c r="L413" s="24">
        <f t="shared" si="261"/>
        <v>1125.02574</v>
      </c>
      <c r="M413" s="24">
        <f t="shared" si="261"/>
        <v>1051.5644399999999</v>
      </c>
      <c r="N413" s="24">
        <f t="shared" si="261"/>
        <v>1171.19076</v>
      </c>
      <c r="O413" s="24">
        <f t="shared" ref="O413:Q413" si="262">SUM(O411:O412)</f>
        <v>1125.7963999999999</v>
      </c>
      <c r="P413" s="24">
        <f t="shared" si="262"/>
        <v>1129.66778</v>
      </c>
      <c r="Q413" s="24">
        <f t="shared" si="262"/>
        <v>1125.8529000000001</v>
      </c>
      <c r="R413" s="684">
        <f>SUM(R411:R412)</f>
        <v>13544.141580000001</v>
      </c>
      <c r="S413"/>
    </row>
    <row r="414" spans="1:19" x14ac:dyDescent="0.2">
      <c r="A414" s="30" t="s">
        <v>147</v>
      </c>
      <c r="B414" s="30" t="s">
        <v>21</v>
      </c>
      <c r="C414" s="30"/>
      <c r="D414" s="30">
        <v>85</v>
      </c>
      <c r="E414" s="30"/>
      <c r="F414" s="74">
        <f>'(R) Data'!C60</f>
        <v>0</v>
      </c>
      <c r="G414" s="74">
        <f>'(R) Data'!D60</f>
        <v>0</v>
      </c>
      <c r="H414" s="74">
        <f>'(R) Data'!E60</f>
        <v>0</v>
      </c>
      <c r="I414" s="74">
        <f>'(R) Data'!F60</f>
        <v>0</v>
      </c>
      <c r="J414" s="74">
        <f>'(R) Data'!G60</f>
        <v>0</v>
      </c>
      <c r="K414" s="74">
        <f>'(R) Data'!H60</f>
        <v>0</v>
      </c>
      <c r="L414" s="74">
        <f>'(R) Data'!I60</f>
        <v>0</v>
      </c>
      <c r="M414" s="74">
        <f>'(R) Data'!J60</f>
        <v>0</v>
      </c>
      <c r="N414" s="74">
        <f>'(R) Data'!K60</f>
        <v>0</v>
      </c>
      <c r="O414" s="74">
        <f>'(R) Data'!L60</f>
        <v>0</v>
      </c>
      <c r="P414" s="74">
        <f>'(R) Data'!M60</f>
        <v>0</v>
      </c>
      <c r="Q414" s="74">
        <f>'(R) Data'!N60</f>
        <v>0</v>
      </c>
      <c r="R414" s="70">
        <f>SUM(F414:Q414)</f>
        <v>0</v>
      </c>
      <c r="S414"/>
    </row>
    <row r="415" spans="1:19" x14ac:dyDescent="0.2">
      <c r="B415" t="s">
        <v>25</v>
      </c>
      <c r="F415" s="24">
        <f t="shared" ref="F415:N415" si="263">F407+F412</f>
        <v>32486.766842600002</v>
      </c>
      <c r="G415" s="24">
        <f t="shared" si="263"/>
        <v>29738.356503799998</v>
      </c>
      <c r="H415" s="24">
        <f t="shared" si="263"/>
        <v>32294.0054934</v>
      </c>
      <c r="I415" s="24">
        <f t="shared" si="263"/>
        <v>36383.173659</v>
      </c>
      <c r="J415" s="24">
        <f t="shared" si="263"/>
        <v>41205.436834799999</v>
      </c>
      <c r="K415" s="24">
        <f t="shared" si="263"/>
        <v>44541.746762800001</v>
      </c>
      <c r="L415" s="24">
        <f t="shared" si="263"/>
        <v>41804.744716000001</v>
      </c>
      <c r="M415" s="24">
        <f t="shared" si="263"/>
        <v>39436.401519199993</v>
      </c>
      <c r="N415" s="24">
        <f t="shared" si="263"/>
        <v>39830.301592200005</v>
      </c>
      <c r="O415" s="24">
        <f t="shared" ref="O415:Q415" si="264">O407+O412</f>
        <v>40968.954545399989</v>
      </c>
      <c r="P415" s="24">
        <f t="shared" si="264"/>
        <v>34762.833350000001</v>
      </c>
      <c r="Q415" s="24">
        <f t="shared" si="264"/>
        <v>30790.254709199999</v>
      </c>
      <c r="R415" s="684">
        <f>R407+R412</f>
        <v>444242.97652839997</v>
      </c>
      <c r="S415"/>
    </row>
    <row r="416" spans="1:19" x14ac:dyDescent="0.2">
      <c r="B416" t="s">
        <v>24</v>
      </c>
      <c r="F416" s="24">
        <f>F401+F406+F407+F408+F409+F413+F414</f>
        <v>47088.013538612642</v>
      </c>
      <c r="G416" s="24">
        <f t="shared" ref="G416:R416" si="265">G401+G406+G407+G408+G409+G413+G414</f>
        <v>43503.184577089705</v>
      </c>
      <c r="H416" s="24">
        <f t="shared" si="265"/>
        <v>46572.056486610447</v>
      </c>
      <c r="I416" s="24">
        <f t="shared" si="265"/>
        <v>52077.475530939329</v>
      </c>
      <c r="J416" s="24">
        <f t="shared" si="265"/>
        <v>58004.321838225689</v>
      </c>
      <c r="K416" s="24">
        <f t="shared" si="265"/>
        <v>62017.330422157102</v>
      </c>
      <c r="L416" s="24">
        <f t="shared" si="265"/>
        <v>58819.48454191054</v>
      </c>
      <c r="M416" s="24">
        <f t="shared" si="265"/>
        <v>55564.230779062287</v>
      </c>
      <c r="N416" s="24">
        <f t="shared" si="265"/>
        <v>56393.148391484654</v>
      </c>
      <c r="O416" s="24">
        <f t="shared" si="265"/>
        <v>57761.207056243584</v>
      </c>
      <c r="P416" s="24">
        <f t="shared" si="265"/>
        <v>49762.104060310005</v>
      </c>
      <c r="Q416" s="24">
        <f t="shared" si="265"/>
        <v>44644.541790449992</v>
      </c>
      <c r="R416" s="24">
        <f t="shared" si="265"/>
        <v>632207.09901309595</v>
      </c>
      <c r="S416"/>
    </row>
    <row r="417" spans="1:19" x14ac:dyDescent="0.2"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100"/>
      <c r="S417"/>
    </row>
    <row r="418" spans="1:19" x14ac:dyDescent="0.2">
      <c r="A418" t="s">
        <v>305</v>
      </c>
      <c r="B418" t="s">
        <v>304</v>
      </c>
      <c r="F418" s="23">
        <f t="shared" ref="F418:N418" si="266">F387*F396+F397*F388</f>
        <v>31009.131720959998</v>
      </c>
      <c r="G418" s="23">
        <f t="shared" si="266"/>
        <v>28385.650412479994</v>
      </c>
      <c r="H418" s="23">
        <f t="shared" si="266"/>
        <v>30825.200184639998</v>
      </c>
      <c r="I418" s="23">
        <f t="shared" si="266"/>
        <v>34728.467926400001</v>
      </c>
      <c r="J418" s="23">
        <f t="shared" si="266"/>
        <v>39331.611110079997</v>
      </c>
      <c r="K418" s="23">
        <f t="shared" si="266"/>
        <v>42516.303938880003</v>
      </c>
      <c r="L418" s="23">
        <f t="shared" si="266"/>
        <v>39903.675473599993</v>
      </c>
      <c r="M418" s="23">
        <f t="shared" si="266"/>
        <v>37643.042408319998</v>
      </c>
      <c r="N418" s="23">
        <f t="shared" si="266"/>
        <v>38018.919909119999</v>
      </c>
      <c r="O418" s="23">
        <f t="shared" ref="O418:Q418" si="267">O387*O396+O397*O388</f>
        <v>39105.869363839993</v>
      </c>
      <c r="P418" s="23">
        <f t="shared" si="267"/>
        <v>33181.798920000001</v>
      </c>
      <c r="Q418" s="23">
        <f t="shared" si="267"/>
        <v>29389.769152319997</v>
      </c>
      <c r="R418" s="100">
        <f>SUM(F418:Q418)</f>
        <v>424039.44052064</v>
      </c>
      <c r="S418"/>
    </row>
    <row r="420" spans="1:19" x14ac:dyDescent="0.2">
      <c r="A420" s="30"/>
      <c r="B420" s="29" t="s">
        <v>229</v>
      </c>
      <c r="C420" s="29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/>
    </row>
    <row r="421" spans="1:19" x14ac:dyDescent="0.2">
      <c r="B421" s="15" t="s">
        <v>7</v>
      </c>
      <c r="C421" s="15"/>
      <c r="D421" s="21"/>
      <c r="S421"/>
    </row>
    <row r="422" spans="1:19" s="30" customFormat="1" x14ac:dyDescent="0.2">
      <c r="A422"/>
      <c r="B422" t="s">
        <v>282</v>
      </c>
      <c r="C422"/>
      <c r="D422" s="21" t="s">
        <v>231</v>
      </c>
      <c r="E422" t="s">
        <v>5</v>
      </c>
      <c r="F422" s="159">
        <f>'Rate Design Int &amp; Trans'!$H$34</f>
        <v>877.69</v>
      </c>
      <c r="G422" s="159">
        <f>'Rate Design Int &amp; Trans'!$H$34</f>
        <v>877.69</v>
      </c>
      <c r="H422" s="159">
        <f>'Rate Design Int &amp; Trans'!$H$34</f>
        <v>877.69</v>
      </c>
      <c r="I422" s="159">
        <f>'Rate Design Int &amp; Trans'!$H$34</f>
        <v>877.69</v>
      </c>
      <c r="J422" s="159">
        <f>'Rate Design Int &amp; Trans'!$H$34</f>
        <v>877.69</v>
      </c>
      <c r="K422" s="159">
        <f>'Rate Design Int &amp; Trans'!$H$34</f>
        <v>877.69</v>
      </c>
      <c r="L422" s="159">
        <f>'Rate Design Int &amp; Trans'!$H$34</f>
        <v>877.69</v>
      </c>
      <c r="M422" s="159">
        <f>'Rate Design Int &amp; Trans'!$H$34</f>
        <v>877.69</v>
      </c>
      <c r="N422" s="159">
        <f>'Rate Design Int &amp; Trans'!$H$34</f>
        <v>877.69</v>
      </c>
      <c r="O422" s="159">
        <f>'Rate Design Int &amp; Trans'!$H$34</f>
        <v>877.69</v>
      </c>
      <c r="P422" s="159">
        <f>'Rate Design Int &amp; Trans'!$H$34</f>
        <v>877.69</v>
      </c>
      <c r="Q422" s="159">
        <f>'Rate Design Int &amp; Trans'!$H$34</f>
        <v>877.69</v>
      </c>
      <c r="R422"/>
    </row>
    <row r="423" spans="1:19" s="30" customFormat="1" x14ac:dyDescent="0.2">
      <c r="A423"/>
      <c r="B423" t="s">
        <v>3</v>
      </c>
      <c r="C423"/>
      <c r="D423" s="21"/>
      <c r="E423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/>
    </row>
    <row r="424" spans="1:19" s="30" customFormat="1" x14ac:dyDescent="0.2">
      <c r="A424"/>
      <c r="B424"/>
      <c r="C424" t="s">
        <v>56</v>
      </c>
      <c r="D424" s="21" t="s">
        <v>231</v>
      </c>
      <c r="E424" t="s">
        <v>6</v>
      </c>
      <c r="F424" s="131">
        <f>'Rate Design Int &amp; Trans'!$H$40</f>
        <v>9.9360000000000004E-2</v>
      </c>
      <c r="G424" s="131">
        <f>'Rate Design Int &amp; Trans'!$H$40</f>
        <v>9.9360000000000004E-2</v>
      </c>
      <c r="H424" s="131">
        <f>'Rate Design Int &amp; Trans'!$H$40</f>
        <v>9.9360000000000004E-2</v>
      </c>
      <c r="I424" s="131">
        <f>'Rate Design Int &amp; Trans'!$H$40</f>
        <v>9.9360000000000004E-2</v>
      </c>
      <c r="J424" s="131">
        <f>'Rate Design Int &amp; Trans'!$H$40</f>
        <v>9.9360000000000004E-2</v>
      </c>
      <c r="K424" s="131">
        <f>'Rate Design Int &amp; Trans'!$H$40</f>
        <v>9.9360000000000004E-2</v>
      </c>
      <c r="L424" s="131">
        <f>'Rate Design Int &amp; Trans'!$H$40</f>
        <v>9.9360000000000004E-2</v>
      </c>
      <c r="M424" s="131">
        <f>'Rate Design Int &amp; Trans'!$H$40</f>
        <v>9.9360000000000004E-2</v>
      </c>
      <c r="N424" s="131">
        <f>'Rate Design Int &amp; Trans'!$H$40</f>
        <v>9.9360000000000004E-2</v>
      </c>
      <c r="O424" s="131">
        <f>'Rate Design Int &amp; Trans'!$H$40</f>
        <v>9.9360000000000004E-2</v>
      </c>
      <c r="P424" s="131">
        <f>'Rate Design Int &amp; Trans'!$H$40</f>
        <v>9.9360000000000004E-2</v>
      </c>
      <c r="Q424" s="131">
        <f>'Rate Design Int &amp; Trans'!$H$40</f>
        <v>9.9360000000000004E-2</v>
      </c>
      <c r="R424"/>
    </row>
    <row r="425" spans="1:19" s="30" customFormat="1" x14ac:dyDescent="0.2">
      <c r="A425"/>
      <c r="B425"/>
      <c r="C425" t="s">
        <v>57</v>
      </c>
      <c r="D425" s="21" t="s">
        <v>231</v>
      </c>
      <c r="E425" t="s">
        <v>6</v>
      </c>
      <c r="F425" s="131">
        <f>'Rate Design Int &amp; Trans'!$H$41</f>
        <v>4.9169999999999998E-2</v>
      </c>
      <c r="G425" s="131">
        <f>'Rate Design Int &amp; Trans'!$H$41</f>
        <v>4.9169999999999998E-2</v>
      </c>
      <c r="H425" s="131">
        <f>'Rate Design Int &amp; Trans'!$H$41</f>
        <v>4.9169999999999998E-2</v>
      </c>
      <c r="I425" s="131">
        <f>'Rate Design Int &amp; Trans'!$H$41</f>
        <v>4.9169999999999998E-2</v>
      </c>
      <c r="J425" s="131">
        <f>'Rate Design Int &amp; Trans'!$H$41</f>
        <v>4.9169999999999998E-2</v>
      </c>
      <c r="K425" s="131">
        <f>'Rate Design Int &amp; Trans'!$H$41</f>
        <v>4.9169999999999998E-2</v>
      </c>
      <c r="L425" s="131">
        <f>'Rate Design Int &amp; Trans'!$H$41</f>
        <v>4.9169999999999998E-2</v>
      </c>
      <c r="M425" s="131">
        <f>'Rate Design Int &amp; Trans'!$H$41</f>
        <v>4.9169999999999998E-2</v>
      </c>
      <c r="N425" s="131">
        <f>'Rate Design Int &amp; Trans'!$H$41</f>
        <v>4.9169999999999998E-2</v>
      </c>
      <c r="O425" s="131">
        <f>'Rate Design Int &amp; Trans'!$H$41</f>
        <v>4.9169999999999998E-2</v>
      </c>
      <c r="P425" s="131">
        <f>'Rate Design Int &amp; Trans'!$H$41</f>
        <v>4.9169999999999998E-2</v>
      </c>
      <c r="Q425" s="131">
        <f>'Rate Design Int &amp; Trans'!$H$41</f>
        <v>4.9169999999999998E-2</v>
      </c>
      <c r="R425"/>
    </row>
    <row r="426" spans="1:19" s="30" customFormat="1" x14ac:dyDescent="0.2">
      <c r="A426"/>
      <c r="B426"/>
      <c r="C426" t="s">
        <v>58</v>
      </c>
      <c r="D426" s="21" t="s">
        <v>231</v>
      </c>
      <c r="E426" t="s">
        <v>6</v>
      </c>
      <c r="F426" s="131">
        <f>'Rate Design Int &amp; Trans'!$H$42</f>
        <v>4.7039999999999998E-2</v>
      </c>
      <c r="G426" s="131">
        <f>'Rate Design Int &amp; Trans'!$H$42</f>
        <v>4.7039999999999998E-2</v>
      </c>
      <c r="H426" s="131">
        <f>'Rate Design Int &amp; Trans'!$H$42</f>
        <v>4.7039999999999998E-2</v>
      </c>
      <c r="I426" s="131">
        <f>'Rate Design Int &amp; Trans'!$H$42</f>
        <v>4.7039999999999998E-2</v>
      </c>
      <c r="J426" s="131">
        <f>'Rate Design Int &amp; Trans'!$H$42</f>
        <v>4.7039999999999998E-2</v>
      </c>
      <c r="K426" s="131">
        <f>'Rate Design Int &amp; Trans'!$H$42</f>
        <v>4.7039999999999998E-2</v>
      </c>
      <c r="L426" s="131">
        <f>'Rate Design Int &amp; Trans'!$H$42</f>
        <v>4.7039999999999998E-2</v>
      </c>
      <c r="M426" s="131">
        <f>'Rate Design Int &amp; Trans'!$H$42</f>
        <v>4.7039999999999998E-2</v>
      </c>
      <c r="N426" s="131">
        <f>'Rate Design Int &amp; Trans'!$H$42</f>
        <v>4.7039999999999998E-2</v>
      </c>
      <c r="O426" s="131">
        <f>'Rate Design Int &amp; Trans'!$H$42</f>
        <v>4.7039999999999998E-2</v>
      </c>
      <c r="P426" s="131">
        <f>'Rate Design Int &amp; Trans'!$H$42</f>
        <v>4.7039999999999998E-2</v>
      </c>
      <c r="Q426" s="131">
        <f>'Rate Design Int &amp; Trans'!$H$42</f>
        <v>4.7039999999999998E-2</v>
      </c>
      <c r="R426"/>
    </row>
    <row r="427" spans="1:19" s="30" customFormat="1" x14ac:dyDescent="0.2">
      <c r="B427" s="30" t="s">
        <v>301</v>
      </c>
      <c r="D427" s="47" t="s">
        <v>231</v>
      </c>
      <c r="E427" s="30" t="s">
        <v>6</v>
      </c>
      <c r="F427" s="131">
        <f>'Rate Design Int &amp; Trans'!$H$45</f>
        <v>6.9999999999999999E-4</v>
      </c>
      <c r="G427" s="131">
        <f>'Rate Design Int &amp; Trans'!$H$45</f>
        <v>6.9999999999999999E-4</v>
      </c>
      <c r="H427" s="131">
        <f>'Rate Design Int &amp; Trans'!$H$45</f>
        <v>6.9999999999999999E-4</v>
      </c>
      <c r="I427" s="131">
        <f>'Rate Design Int &amp; Trans'!$H$45</f>
        <v>6.9999999999999999E-4</v>
      </c>
      <c r="J427" s="131">
        <f>'Rate Design Int &amp; Trans'!$H$45</f>
        <v>6.9999999999999999E-4</v>
      </c>
      <c r="K427" s="131">
        <f>'Rate Design Int &amp; Trans'!$H$45</f>
        <v>6.9999999999999999E-4</v>
      </c>
      <c r="L427" s="131">
        <f>'Rate Design Int &amp; Trans'!$H$45</f>
        <v>6.9999999999999999E-4</v>
      </c>
      <c r="M427" s="131">
        <f>'Rate Design Int &amp; Trans'!$H$45</f>
        <v>6.9999999999999999E-4</v>
      </c>
      <c r="N427" s="131">
        <f>'Rate Design Int &amp; Trans'!$H$45</f>
        <v>6.9999999999999999E-4</v>
      </c>
      <c r="O427" s="131">
        <f>'Rate Design Int &amp; Trans'!$H$45</f>
        <v>6.9999999999999999E-4</v>
      </c>
      <c r="P427" s="131">
        <f>'Rate Design Int &amp; Trans'!$H$45</f>
        <v>6.9999999999999999E-4</v>
      </c>
      <c r="Q427" s="131">
        <f>'Rate Design Int &amp; Trans'!$H$45</f>
        <v>6.9999999999999999E-4</v>
      </c>
    </row>
    <row r="428" spans="1:19" s="30" customFormat="1" x14ac:dyDescent="0.2">
      <c r="B428" s="30" t="s">
        <v>550</v>
      </c>
      <c r="D428" s="47">
        <v>149</v>
      </c>
      <c r="E428" s="30" t="s">
        <v>6</v>
      </c>
      <c r="F428" s="772">
        <f>F335</f>
        <v>3.31E-3</v>
      </c>
      <c r="G428" s="772">
        <f t="shared" ref="G428:Q428" si="268">G335</f>
        <v>3.31E-3</v>
      </c>
      <c r="H428" s="772">
        <f t="shared" si="268"/>
        <v>3.31E-3</v>
      </c>
      <c r="I428" s="772">
        <f t="shared" si="268"/>
        <v>3.31E-3</v>
      </c>
      <c r="J428" s="772">
        <f t="shared" si="268"/>
        <v>3.31E-3</v>
      </c>
      <c r="K428" s="772">
        <f t="shared" si="268"/>
        <v>3.31E-3</v>
      </c>
      <c r="L428" s="772">
        <f t="shared" si="268"/>
        <v>3.31E-3</v>
      </c>
      <c r="M428" s="772">
        <f t="shared" si="268"/>
        <v>3.31E-3</v>
      </c>
      <c r="N428" s="772">
        <f t="shared" si="268"/>
        <v>3.31E-3</v>
      </c>
      <c r="O428" s="772">
        <f t="shared" si="268"/>
        <v>3.31E-3</v>
      </c>
      <c r="P428" s="772">
        <f t="shared" si="268"/>
        <v>3.31E-3</v>
      </c>
      <c r="Q428" s="772">
        <f t="shared" si="268"/>
        <v>3.31E-3</v>
      </c>
    </row>
    <row r="429" spans="1:19" s="30" customFormat="1" x14ac:dyDescent="0.2">
      <c r="B429" s="30" t="s">
        <v>19</v>
      </c>
      <c r="D429" s="30">
        <v>101</v>
      </c>
      <c r="E429" s="30" t="s">
        <v>6</v>
      </c>
      <c r="F429" s="159">
        <f>'Rate Design Int &amp; Trans'!$H$35</f>
        <v>1.21</v>
      </c>
      <c r="G429" s="159">
        <f>'Rate Design Int &amp; Trans'!$H$35</f>
        <v>1.21</v>
      </c>
      <c r="H429" s="159">
        <f>'Rate Design Int &amp; Trans'!$H$35</f>
        <v>1.21</v>
      </c>
      <c r="I429" s="159">
        <f>'Rate Design Int &amp; Trans'!$H$35</f>
        <v>1.21</v>
      </c>
      <c r="J429" s="159">
        <f>'Rate Design Int &amp; Trans'!$H$35</f>
        <v>1.21</v>
      </c>
      <c r="K429" s="159">
        <f>'Rate Design Int &amp; Trans'!$H$35</f>
        <v>1.21</v>
      </c>
      <c r="L429" s="159">
        <f>'Rate Design Int &amp; Trans'!$H$35</f>
        <v>1.21</v>
      </c>
      <c r="M429" s="159">
        <f>'Rate Design Int &amp; Trans'!$H$35</f>
        <v>1.21</v>
      </c>
      <c r="N429" s="159">
        <f>'Rate Design Int &amp; Trans'!$H$35</f>
        <v>1.21</v>
      </c>
      <c r="O429" s="159">
        <f>'Rate Design Int &amp; Trans'!$H$35</f>
        <v>1.21</v>
      </c>
      <c r="P429" s="159">
        <f>'Rate Design Int &amp; Trans'!$H$35</f>
        <v>1.21</v>
      </c>
      <c r="Q429" s="159">
        <f>'Rate Design Int &amp; Trans'!$H$35</f>
        <v>1.21</v>
      </c>
    </row>
    <row r="430" spans="1:19" x14ac:dyDescent="0.2">
      <c r="A430" s="30"/>
      <c r="B430" s="30" t="s">
        <v>21</v>
      </c>
      <c r="C430" s="30"/>
      <c r="D430" s="47" t="s">
        <v>231</v>
      </c>
      <c r="E430" s="30" t="s">
        <v>22</v>
      </c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30"/>
      <c r="S430"/>
    </row>
    <row r="431" spans="1:19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/>
    </row>
    <row r="432" spans="1:19" x14ac:dyDescent="0.2">
      <c r="A432" s="30"/>
      <c r="B432" s="29" t="s">
        <v>8</v>
      </c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/>
    </row>
    <row r="433" spans="1:19" x14ac:dyDescent="0.2">
      <c r="A433" s="30"/>
      <c r="B433" s="30" t="s">
        <v>22</v>
      </c>
      <c r="C433" s="30"/>
      <c r="D433" s="21" t="s">
        <v>231</v>
      </c>
      <c r="E433" s="30" t="s">
        <v>22</v>
      </c>
      <c r="F433" s="72">
        <f>'(R) Data'!C25</f>
        <v>33</v>
      </c>
      <c r="G433" s="72">
        <f>'(R) Data'!D25</f>
        <v>33</v>
      </c>
      <c r="H433" s="72">
        <f>'(R) Data'!E25</f>
        <v>33</v>
      </c>
      <c r="I433" s="72">
        <f>'(R) Data'!F25</f>
        <v>33</v>
      </c>
      <c r="J433" s="72">
        <f>'(R) Data'!G25</f>
        <v>33</v>
      </c>
      <c r="K433" s="72">
        <f>'(R) Data'!H25</f>
        <v>32.999880693439685</v>
      </c>
      <c r="L433" s="72">
        <f>'(R) Data'!I25</f>
        <v>33</v>
      </c>
      <c r="M433" s="72">
        <f>'(R) Data'!J25</f>
        <v>33</v>
      </c>
      <c r="N433" s="72">
        <f>'(R) Data'!K25</f>
        <v>33</v>
      </c>
      <c r="O433" s="72">
        <f>'(R) Data'!L25</f>
        <v>33.00002141855061</v>
      </c>
      <c r="P433" s="72">
        <f>'(R) Data'!M25</f>
        <v>33</v>
      </c>
      <c r="Q433" s="72">
        <f>'(R) Data'!N25</f>
        <v>33</v>
      </c>
      <c r="R433" s="46">
        <f>SUM(F433:Q433)</f>
        <v>395.99990211199025</v>
      </c>
      <c r="S433"/>
    </row>
    <row r="434" spans="1:19" x14ac:dyDescent="0.2">
      <c r="A434" s="30"/>
      <c r="B434" s="30" t="s">
        <v>30</v>
      </c>
      <c r="C434" s="30"/>
      <c r="D434" s="30"/>
      <c r="E434" s="30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0"/>
      <c r="S434"/>
    </row>
    <row r="435" spans="1:19" x14ac:dyDescent="0.2">
      <c r="A435" s="30"/>
      <c r="B435" s="30"/>
      <c r="C435" s="30" t="s">
        <v>56</v>
      </c>
      <c r="D435" s="21" t="s">
        <v>231</v>
      </c>
      <c r="E435" s="30" t="s">
        <v>10</v>
      </c>
      <c r="F435" s="161">
        <f>'(R) Therms By Block'!B51</f>
        <v>766888.77</v>
      </c>
      <c r="G435" s="170">
        <f>'(R) Therms By Block'!C51</f>
        <v>765804.68</v>
      </c>
      <c r="H435" s="170">
        <f>'(R) Therms By Block'!D51</f>
        <v>768877.91</v>
      </c>
      <c r="I435" s="170">
        <f>'(R) Therms By Block'!E51</f>
        <v>786959.22</v>
      </c>
      <c r="J435" s="170">
        <f>'(R) Therms By Block'!F51</f>
        <v>782983.73</v>
      </c>
      <c r="K435" s="170">
        <f>'(R) Therms By Block'!G51</f>
        <v>806226.5</v>
      </c>
      <c r="L435" s="170">
        <f>'(R) Therms By Block'!H51</f>
        <v>795648.58</v>
      </c>
      <c r="M435" s="170">
        <f>'(R) Therms By Block'!I51</f>
        <v>769515.8</v>
      </c>
      <c r="N435" s="170">
        <f>'(R) Therms By Block'!J51</f>
        <v>788760.82</v>
      </c>
      <c r="O435" s="170">
        <f>'(R) Therms By Block'!K51</f>
        <v>775878.28</v>
      </c>
      <c r="P435" s="170">
        <f>'(R) Therms By Block'!L51</f>
        <v>779542.12</v>
      </c>
      <c r="Q435" s="170">
        <f>'(R) Therms By Block'!M51</f>
        <v>782090.09</v>
      </c>
      <c r="R435" s="46">
        <f>SUM(F435:Q435)</f>
        <v>9369176.5</v>
      </c>
      <c r="S435"/>
    </row>
    <row r="436" spans="1:19" x14ac:dyDescent="0.2">
      <c r="A436" s="30"/>
      <c r="B436" s="30"/>
      <c r="C436" s="30" t="s">
        <v>57</v>
      </c>
      <c r="D436" s="21" t="s">
        <v>231</v>
      </c>
      <c r="E436" s="30" t="s">
        <v>10</v>
      </c>
      <c r="F436" s="170">
        <f>'(R) Therms By Block'!B52</f>
        <v>443250.74</v>
      </c>
      <c r="G436" s="170">
        <f>'(R) Therms By Block'!C52</f>
        <v>463829.1</v>
      </c>
      <c r="H436" s="170">
        <f>'(R) Therms By Block'!D52</f>
        <v>429032.8</v>
      </c>
      <c r="I436" s="170">
        <f>'(R) Therms By Block'!E52</f>
        <v>504504.02</v>
      </c>
      <c r="J436" s="170">
        <f>'(R) Therms By Block'!F52</f>
        <v>536322.56000000006</v>
      </c>
      <c r="K436" s="170">
        <f>'(R) Therms By Block'!G52</f>
        <v>534661.91</v>
      </c>
      <c r="L436" s="170">
        <f>'(R) Therms By Block'!H52</f>
        <v>542927.29</v>
      </c>
      <c r="M436" s="170">
        <f>'(R) Therms By Block'!I52</f>
        <v>521896.28</v>
      </c>
      <c r="N436" s="170">
        <f>'(R) Therms By Block'!J52</f>
        <v>553130.56999999995</v>
      </c>
      <c r="O436" s="170">
        <f>'(R) Therms By Block'!K52</f>
        <v>502540.24</v>
      </c>
      <c r="P436" s="170">
        <f>'(R) Therms By Block'!L52</f>
        <v>489533.2</v>
      </c>
      <c r="Q436" s="170">
        <f>'(R) Therms By Block'!M52</f>
        <v>495352.57</v>
      </c>
      <c r="R436" s="46">
        <f>SUM(F436:Q436)</f>
        <v>6016981.2800000012</v>
      </c>
      <c r="S436"/>
    </row>
    <row r="437" spans="1:19" x14ac:dyDescent="0.2">
      <c r="A437" s="30"/>
      <c r="B437" s="30"/>
      <c r="C437" s="30" t="s">
        <v>58</v>
      </c>
      <c r="D437" s="21" t="s">
        <v>231</v>
      </c>
      <c r="E437" s="30" t="s">
        <v>10</v>
      </c>
      <c r="F437" s="107">
        <f t="shared" ref="F437:N437" si="269">F438-F435-F436</f>
        <v>360795.61999999988</v>
      </c>
      <c r="G437" s="107">
        <f t="shared" si="269"/>
        <v>422867</v>
      </c>
      <c r="H437" s="107">
        <f t="shared" si="269"/>
        <v>365541.02999999997</v>
      </c>
      <c r="I437" s="107">
        <f t="shared" si="269"/>
        <v>530082.54</v>
      </c>
      <c r="J437" s="107">
        <f t="shared" si="269"/>
        <v>659720.83000000007</v>
      </c>
      <c r="K437" s="107">
        <f t="shared" si="269"/>
        <v>812383.87000000023</v>
      </c>
      <c r="L437" s="107">
        <f t="shared" si="269"/>
        <v>875409.04999999981</v>
      </c>
      <c r="M437" s="107">
        <f t="shared" si="269"/>
        <v>673378.37000000011</v>
      </c>
      <c r="N437" s="107">
        <f t="shared" si="269"/>
        <v>763922.19000000029</v>
      </c>
      <c r="O437" s="107">
        <f t="shared" ref="O437:Q437" si="270">O438-O435-O436</f>
        <v>574527.58000000007</v>
      </c>
      <c r="P437" s="107">
        <f t="shared" si="270"/>
        <v>594287.80000000005</v>
      </c>
      <c r="Q437" s="107">
        <f t="shared" si="270"/>
        <v>473268.68999999989</v>
      </c>
      <c r="R437" s="46">
        <f>SUM(F437:Q437)</f>
        <v>7106184.5700000003</v>
      </c>
      <c r="S437"/>
    </row>
    <row r="438" spans="1:19" x14ac:dyDescent="0.2">
      <c r="A438" s="30"/>
      <c r="B438" s="30"/>
      <c r="C438" s="30" t="s">
        <v>17</v>
      </c>
      <c r="D438" s="21" t="s">
        <v>231</v>
      </c>
      <c r="E438" s="30" t="s">
        <v>10</v>
      </c>
      <c r="F438" s="111">
        <f>'Weather Adj'!D174</f>
        <v>1570935.13</v>
      </c>
      <c r="G438" s="111">
        <f>'Weather Adj'!E174</f>
        <v>1652500.78</v>
      </c>
      <c r="H438" s="111">
        <f>'Weather Adj'!F174</f>
        <v>1563451.74</v>
      </c>
      <c r="I438" s="111">
        <f>'Weather Adj'!G174</f>
        <v>1821545.78</v>
      </c>
      <c r="J438" s="111">
        <f>'Weather Adj'!H174</f>
        <v>1979027.12</v>
      </c>
      <c r="K438" s="111">
        <f>'Weather Adj'!I174</f>
        <v>2153272.2800000003</v>
      </c>
      <c r="L438" s="111">
        <f>'Weather Adj'!J174</f>
        <v>2213984.92</v>
      </c>
      <c r="M438" s="111">
        <f>'Weather Adj'!K174</f>
        <v>1964790.4500000002</v>
      </c>
      <c r="N438" s="111">
        <f>'Weather Adj'!L174</f>
        <v>2105813.58</v>
      </c>
      <c r="O438" s="111">
        <f>'Weather Adj'!M174</f>
        <v>1852946.1</v>
      </c>
      <c r="P438" s="111">
        <f>'Weather Adj'!N174</f>
        <v>1863363.12</v>
      </c>
      <c r="Q438" s="111">
        <f>'Weather Adj'!O174</f>
        <v>1750711.3499999999</v>
      </c>
      <c r="R438" s="109">
        <f>SUM(R435:R437)</f>
        <v>22492342.350000001</v>
      </c>
      <c r="S438"/>
    </row>
    <row r="439" spans="1:19" x14ac:dyDescent="0.2">
      <c r="A439" s="30"/>
      <c r="B439" s="30" t="s">
        <v>29</v>
      </c>
      <c r="C439" s="30"/>
      <c r="D439" s="21" t="s">
        <v>231</v>
      </c>
      <c r="E439" s="30" t="s">
        <v>100</v>
      </c>
      <c r="F439" s="72">
        <f>'(R) Data'!C45</f>
        <v>10775</v>
      </c>
      <c r="G439" s="72">
        <f>'(R) Data'!D45</f>
        <v>10775</v>
      </c>
      <c r="H439" s="72">
        <f>'(R) Data'!E45</f>
        <v>10775</v>
      </c>
      <c r="I439" s="72">
        <f>'(R) Data'!F45</f>
        <v>10775</v>
      </c>
      <c r="J439" s="72">
        <f>'(R) Data'!G45</f>
        <v>10775</v>
      </c>
      <c r="K439" s="72">
        <f>'(R) Data'!H45</f>
        <v>10775</v>
      </c>
      <c r="L439" s="72">
        <f>'(R) Data'!I45</f>
        <v>10775</v>
      </c>
      <c r="M439" s="72">
        <f>'(R) Data'!J45</f>
        <v>10775</v>
      </c>
      <c r="N439" s="72">
        <f>'(R) Data'!K45</f>
        <v>10775</v>
      </c>
      <c r="O439" s="72">
        <f>'(R) Data'!L45</f>
        <v>10775</v>
      </c>
      <c r="P439" s="72">
        <f>'(R) Data'!M45</f>
        <v>12175</v>
      </c>
      <c r="Q439" s="72">
        <f>'(R) Data'!N45</f>
        <v>10775</v>
      </c>
      <c r="R439" s="46">
        <f>SUM(F439:Q439)</f>
        <v>130700</v>
      </c>
      <c r="S439"/>
    </row>
    <row r="440" spans="1:19" x14ac:dyDescent="0.2">
      <c r="A440" s="30"/>
      <c r="B440" s="30" t="s">
        <v>21</v>
      </c>
      <c r="C440" s="30"/>
      <c r="D440" s="30"/>
      <c r="E440" s="30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0"/>
      <c r="S440"/>
    </row>
    <row r="441" spans="1:19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/>
    </row>
    <row r="442" spans="1:19" x14ac:dyDescent="0.2">
      <c r="A442" s="30"/>
      <c r="B442" s="29" t="s">
        <v>9</v>
      </c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/>
    </row>
    <row r="443" spans="1:19" x14ac:dyDescent="0.2">
      <c r="A443" s="30" t="s">
        <v>147</v>
      </c>
      <c r="B443" s="30" t="s">
        <v>282</v>
      </c>
      <c r="C443" s="30"/>
      <c r="D443" s="47" t="s">
        <v>231</v>
      </c>
      <c r="E443" s="30"/>
      <c r="F443" s="34">
        <f t="shared" ref="F443:N443" si="271">F422*F433</f>
        <v>28963.77</v>
      </c>
      <c r="G443" s="34">
        <f t="shared" si="271"/>
        <v>28963.77</v>
      </c>
      <c r="H443" s="34">
        <f t="shared" si="271"/>
        <v>28963.77</v>
      </c>
      <c r="I443" s="34">
        <f t="shared" si="271"/>
        <v>28963.77</v>
      </c>
      <c r="J443" s="34">
        <f t="shared" si="271"/>
        <v>28963.77</v>
      </c>
      <c r="K443" s="34">
        <f t="shared" si="271"/>
        <v>28963.665285825078</v>
      </c>
      <c r="L443" s="34">
        <f t="shared" si="271"/>
        <v>28963.77</v>
      </c>
      <c r="M443" s="34">
        <f t="shared" si="271"/>
        <v>28963.77</v>
      </c>
      <c r="N443" s="34">
        <f t="shared" si="271"/>
        <v>28963.77</v>
      </c>
      <c r="O443" s="34">
        <f t="shared" ref="O443:Q443" si="272">O422*O433</f>
        <v>28963.788798847687</v>
      </c>
      <c r="P443" s="34">
        <f t="shared" si="272"/>
        <v>28963.77</v>
      </c>
      <c r="Q443" s="34">
        <f t="shared" si="272"/>
        <v>28963.77</v>
      </c>
      <c r="R443" s="34">
        <f>SUM(F443:Q443)</f>
        <v>347565.1540846728</v>
      </c>
      <c r="S443"/>
    </row>
    <row r="444" spans="1:19" x14ac:dyDescent="0.2">
      <c r="A444" s="30"/>
      <c r="B444" s="30" t="s">
        <v>3</v>
      </c>
      <c r="C444" s="30"/>
      <c r="D444" s="30"/>
      <c r="E444" s="30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/>
    </row>
    <row r="445" spans="1:19" x14ac:dyDescent="0.2">
      <c r="A445" s="30"/>
      <c r="B445" s="30"/>
      <c r="C445" s="30" t="s">
        <v>56</v>
      </c>
      <c r="D445" s="47" t="s">
        <v>231</v>
      </c>
      <c r="E445" s="30"/>
      <c r="F445" s="34">
        <f t="shared" ref="F445:N445" si="273">F424*F435</f>
        <v>76198.068187199999</v>
      </c>
      <c r="G445" s="34">
        <f t="shared" si="273"/>
        <v>76090.35300480001</v>
      </c>
      <c r="H445" s="34">
        <f t="shared" si="273"/>
        <v>76395.709137600003</v>
      </c>
      <c r="I445" s="34">
        <f t="shared" si="273"/>
        <v>78192.268099199995</v>
      </c>
      <c r="J445" s="34">
        <f t="shared" si="273"/>
        <v>77797.263412800006</v>
      </c>
      <c r="K445" s="34">
        <f t="shared" si="273"/>
        <v>80106.665040000007</v>
      </c>
      <c r="L445" s="34">
        <f t="shared" si="273"/>
        <v>79055.6429088</v>
      </c>
      <c r="M445" s="34">
        <f t="shared" si="273"/>
        <v>76459.089888000002</v>
      </c>
      <c r="N445" s="34">
        <f t="shared" si="273"/>
        <v>78371.275075199999</v>
      </c>
      <c r="O445" s="34">
        <f t="shared" ref="O445:Q445" si="274">O424*O435</f>
        <v>77091.265900800005</v>
      </c>
      <c r="P445" s="34">
        <f t="shared" si="274"/>
        <v>77455.305043200002</v>
      </c>
      <c r="Q445" s="34">
        <f t="shared" si="274"/>
        <v>77708.471342399993</v>
      </c>
      <c r="R445" s="34">
        <f>SUM(F445:Q445)</f>
        <v>930921.37704000005</v>
      </c>
      <c r="S445"/>
    </row>
    <row r="446" spans="1:19" x14ac:dyDescent="0.2">
      <c r="A446" s="30"/>
      <c r="B446" s="30"/>
      <c r="C446" s="30" t="s">
        <v>57</v>
      </c>
      <c r="D446" s="47" t="s">
        <v>231</v>
      </c>
      <c r="E446" s="30"/>
      <c r="F446" s="34">
        <f t="shared" ref="F446:N446" si="275">F425*F436</f>
        <v>21794.638885799999</v>
      </c>
      <c r="G446" s="34">
        <f t="shared" si="275"/>
        <v>22806.476846999998</v>
      </c>
      <c r="H446" s="34">
        <f t="shared" si="275"/>
        <v>21095.542775999998</v>
      </c>
      <c r="I446" s="34">
        <f t="shared" si="275"/>
        <v>24806.462663400001</v>
      </c>
      <c r="J446" s="34">
        <f t="shared" si="275"/>
        <v>26370.980275200003</v>
      </c>
      <c r="K446" s="34">
        <f t="shared" si="275"/>
        <v>26289.326114700001</v>
      </c>
      <c r="L446" s="34">
        <f t="shared" si="275"/>
        <v>26695.734849300003</v>
      </c>
      <c r="M446" s="34">
        <f t="shared" si="275"/>
        <v>25661.640087600001</v>
      </c>
      <c r="N446" s="34">
        <f t="shared" si="275"/>
        <v>27197.430126899995</v>
      </c>
      <c r="O446" s="34">
        <f t="shared" ref="O446:Q446" si="276">O425*O436</f>
        <v>24709.9036008</v>
      </c>
      <c r="P446" s="34">
        <f t="shared" si="276"/>
        <v>24070.347443999999</v>
      </c>
      <c r="Q446" s="34">
        <f t="shared" si="276"/>
        <v>24356.485866899999</v>
      </c>
      <c r="R446" s="34">
        <f>SUM(F446:Q446)</f>
        <v>295854.9695376</v>
      </c>
      <c r="S446"/>
    </row>
    <row r="447" spans="1:19" x14ac:dyDescent="0.2">
      <c r="C447" t="s">
        <v>58</v>
      </c>
      <c r="D447" s="47" t="s">
        <v>231</v>
      </c>
      <c r="F447" s="23">
        <f t="shared" ref="F447:N447" si="277">F426*F437</f>
        <v>16971.825964799995</v>
      </c>
      <c r="G447" s="23">
        <f t="shared" si="277"/>
        <v>19891.663679999998</v>
      </c>
      <c r="H447" s="23">
        <f t="shared" si="277"/>
        <v>17195.050051199996</v>
      </c>
      <c r="I447" s="23">
        <f t="shared" si="277"/>
        <v>24935.082681600001</v>
      </c>
      <c r="J447" s="23">
        <f t="shared" si="277"/>
        <v>31033.267843200003</v>
      </c>
      <c r="K447" s="23">
        <f t="shared" si="277"/>
        <v>38214.537244800013</v>
      </c>
      <c r="L447" s="23">
        <f t="shared" si="277"/>
        <v>41179.241711999988</v>
      </c>
      <c r="M447" s="23">
        <f t="shared" si="277"/>
        <v>31675.718524800006</v>
      </c>
      <c r="N447" s="23">
        <f t="shared" si="277"/>
        <v>35934.89981760001</v>
      </c>
      <c r="O447" s="23">
        <f t="shared" ref="O447:Q447" si="278">O426*O437</f>
        <v>27025.777363200003</v>
      </c>
      <c r="P447" s="23">
        <f t="shared" si="278"/>
        <v>27955.298112</v>
      </c>
      <c r="Q447" s="23">
        <f t="shared" si="278"/>
        <v>22262.559177599993</v>
      </c>
      <c r="R447" s="23">
        <f>SUM(F447:Q447)</f>
        <v>334274.92217279994</v>
      </c>
      <c r="S447"/>
    </row>
    <row r="448" spans="1:19" x14ac:dyDescent="0.2">
      <c r="A448" t="s">
        <v>147</v>
      </c>
      <c r="C448" t="s">
        <v>26</v>
      </c>
      <c r="F448" s="24">
        <f t="shared" ref="F448:N448" si="279">SUM(F445:F447)</f>
        <v>114964.53303779999</v>
      </c>
      <c r="G448" s="24">
        <f t="shared" si="279"/>
        <v>118788.49353180001</v>
      </c>
      <c r="H448" s="24">
        <f t="shared" si="279"/>
        <v>114686.3019648</v>
      </c>
      <c r="I448" s="24">
        <f t="shared" si="279"/>
        <v>127933.8134442</v>
      </c>
      <c r="J448" s="24">
        <f t="shared" si="279"/>
        <v>135201.51153120003</v>
      </c>
      <c r="K448" s="24">
        <f t="shared" si="279"/>
        <v>144610.52839950001</v>
      </c>
      <c r="L448" s="24">
        <f t="shared" si="279"/>
        <v>146930.61947009998</v>
      </c>
      <c r="M448" s="24">
        <f t="shared" si="279"/>
        <v>133796.4485004</v>
      </c>
      <c r="N448" s="24">
        <f t="shared" si="279"/>
        <v>141503.60501970001</v>
      </c>
      <c r="O448" s="24">
        <f t="shared" ref="O448:Q448" si="280">SUM(O445:O447)</f>
        <v>128826.9468648</v>
      </c>
      <c r="P448" s="24">
        <f t="shared" si="280"/>
        <v>129480.9505992</v>
      </c>
      <c r="Q448" s="24">
        <f t="shared" si="280"/>
        <v>124327.51638689998</v>
      </c>
      <c r="R448" s="24">
        <f>SUM(R445:R447)</f>
        <v>1561051.2687504</v>
      </c>
      <c r="S448"/>
    </row>
    <row r="449" spans="1:19" x14ac:dyDescent="0.2">
      <c r="A449" t="s">
        <v>130</v>
      </c>
      <c r="B449" s="30" t="s">
        <v>301</v>
      </c>
      <c r="D449" s="47" t="s">
        <v>231</v>
      </c>
      <c r="F449" s="40">
        <f t="shared" ref="F449:N449" si="281">F427*F438</f>
        <v>1099.654591</v>
      </c>
      <c r="G449" s="40">
        <f t="shared" si="281"/>
        <v>1156.750546</v>
      </c>
      <c r="H449" s="40">
        <f t="shared" si="281"/>
        <v>1094.4162180000001</v>
      </c>
      <c r="I449" s="40">
        <f t="shared" si="281"/>
        <v>1275.082046</v>
      </c>
      <c r="J449" s="40">
        <f t="shared" si="281"/>
        <v>1385.318984</v>
      </c>
      <c r="K449" s="40">
        <f t="shared" si="281"/>
        <v>1507.2905960000003</v>
      </c>
      <c r="L449" s="40">
        <f t="shared" si="281"/>
        <v>1549.789444</v>
      </c>
      <c r="M449" s="40">
        <f t="shared" si="281"/>
        <v>1375.3533150000001</v>
      </c>
      <c r="N449" s="40">
        <f t="shared" si="281"/>
        <v>1474.069506</v>
      </c>
      <c r="O449" s="40">
        <f t="shared" ref="O449:Q449" si="282">O427*O438</f>
        <v>1297.0622700000001</v>
      </c>
      <c r="P449" s="40">
        <f t="shared" si="282"/>
        <v>1304.354184</v>
      </c>
      <c r="Q449" s="40">
        <f t="shared" si="282"/>
        <v>1225.4979449999998</v>
      </c>
      <c r="R449" s="40">
        <f>SUM(F449:Q449)</f>
        <v>15744.639644999999</v>
      </c>
      <c r="S449"/>
    </row>
    <row r="450" spans="1:19" x14ac:dyDescent="0.2">
      <c r="A450" t="s">
        <v>551</v>
      </c>
      <c r="B450" s="30" t="s">
        <v>552</v>
      </c>
      <c r="D450" s="47">
        <v>149</v>
      </c>
      <c r="F450" s="40">
        <f>F428*F438</f>
        <v>5199.7952802999998</v>
      </c>
      <c r="G450" s="40">
        <f t="shared" ref="G450:Q450" si="283">G428*G438</f>
        <v>5469.7775818</v>
      </c>
      <c r="H450" s="40">
        <f t="shared" si="283"/>
        <v>5175.0252594000003</v>
      </c>
      <c r="I450" s="40">
        <f t="shared" si="283"/>
        <v>6029.3165318000001</v>
      </c>
      <c r="J450" s="40">
        <f t="shared" si="283"/>
        <v>6550.5797672000008</v>
      </c>
      <c r="K450" s="40">
        <f t="shared" si="283"/>
        <v>7127.3312468000013</v>
      </c>
      <c r="L450" s="40">
        <f t="shared" si="283"/>
        <v>7328.2900851999993</v>
      </c>
      <c r="M450" s="40">
        <f t="shared" si="283"/>
        <v>6503.456389500001</v>
      </c>
      <c r="N450" s="40">
        <f t="shared" si="283"/>
        <v>6970.2429498000001</v>
      </c>
      <c r="O450" s="40">
        <f t="shared" si="283"/>
        <v>6133.2515910000002</v>
      </c>
      <c r="P450" s="40">
        <f t="shared" si="283"/>
        <v>6167.7319272000004</v>
      </c>
      <c r="Q450" s="40">
        <f t="shared" si="283"/>
        <v>5794.8545684999999</v>
      </c>
      <c r="R450" s="40">
        <f>SUM(F450:Q450)</f>
        <v>74449.653178499997</v>
      </c>
      <c r="S450"/>
    </row>
    <row r="451" spans="1:19" x14ac:dyDescent="0.2">
      <c r="A451" t="s">
        <v>147</v>
      </c>
      <c r="B451" t="s">
        <v>19</v>
      </c>
      <c r="D451" s="47" t="s">
        <v>231</v>
      </c>
      <c r="F451" s="23">
        <f t="shared" ref="F451:N451" si="284">F429*F439</f>
        <v>13037.75</v>
      </c>
      <c r="G451" s="23">
        <f t="shared" si="284"/>
        <v>13037.75</v>
      </c>
      <c r="H451" s="23">
        <f t="shared" si="284"/>
        <v>13037.75</v>
      </c>
      <c r="I451" s="23">
        <f t="shared" si="284"/>
        <v>13037.75</v>
      </c>
      <c r="J451" s="23">
        <f t="shared" si="284"/>
        <v>13037.75</v>
      </c>
      <c r="K451" s="23">
        <f t="shared" si="284"/>
        <v>13037.75</v>
      </c>
      <c r="L451" s="23">
        <f t="shared" si="284"/>
        <v>13037.75</v>
      </c>
      <c r="M451" s="23">
        <f t="shared" si="284"/>
        <v>13037.75</v>
      </c>
      <c r="N451" s="23">
        <f t="shared" si="284"/>
        <v>13037.75</v>
      </c>
      <c r="O451" s="23">
        <f t="shared" ref="O451:Q451" si="285">O429*O439</f>
        <v>13037.75</v>
      </c>
      <c r="P451" s="23">
        <f t="shared" si="285"/>
        <v>14731.75</v>
      </c>
      <c r="Q451" s="23">
        <f t="shared" si="285"/>
        <v>13037.75</v>
      </c>
      <c r="R451" s="23">
        <f>SUM(F451:Q451)</f>
        <v>158147</v>
      </c>
      <c r="S451"/>
    </row>
    <row r="452" spans="1:19" x14ac:dyDescent="0.2">
      <c r="A452" s="30" t="s">
        <v>147</v>
      </c>
      <c r="B452" s="30" t="s">
        <v>21</v>
      </c>
      <c r="C452" s="30"/>
      <c r="D452" s="47" t="s">
        <v>231</v>
      </c>
      <c r="E452" s="30"/>
      <c r="F452" s="74">
        <f>'(R) Data'!C61</f>
        <v>0</v>
      </c>
      <c r="G452" s="74">
        <f>'(R) Data'!D61</f>
        <v>0</v>
      </c>
      <c r="H452" s="74">
        <f>'(R) Data'!E61</f>
        <v>0</v>
      </c>
      <c r="I452" s="74">
        <f>'(R) Data'!F61</f>
        <v>0</v>
      </c>
      <c r="J452" s="74">
        <f>'(R) Data'!G61</f>
        <v>0</v>
      </c>
      <c r="K452" s="74">
        <f>'(R) Data'!H61</f>
        <v>0</v>
      </c>
      <c r="L452" s="74">
        <f>'(R) Data'!I61</f>
        <v>0</v>
      </c>
      <c r="M452" s="74">
        <f>'(R) Data'!J61</f>
        <v>0</v>
      </c>
      <c r="N452" s="74">
        <f>'(R) Data'!K61</f>
        <v>0</v>
      </c>
      <c r="O452" s="74">
        <f>'(R) Data'!L61</f>
        <v>0</v>
      </c>
      <c r="P452" s="74">
        <f>'(R) Data'!M61</f>
        <v>0</v>
      </c>
      <c r="Q452" s="74">
        <f>'(R) Data'!N61</f>
        <v>0</v>
      </c>
      <c r="R452" s="70">
        <f>SUM(F452:Q452)</f>
        <v>0</v>
      </c>
      <c r="S452"/>
    </row>
    <row r="453" spans="1:19" x14ac:dyDescent="0.2">
      <c r="B453" t="s">
        <v>24</v>
      </c>
      <c r="F453" s="24">
        <f>F443+F448+F449+F450+F451+F452</f>
        <v>163265.50290909997</v>
      </c>
      <c r="G453" s="24">
        <f t="shared" ref="G453:R453" si="286">G443+G448+G449+G450+G451+G452</f>
        <v>167416.54165960001</v>
      </c>
      <c r="H453" s="24">
        <f t="shared" si="286"/>
        <v>162957.2634422</v>
      </c>
      <c r="I453" s="24">
        <f t="shared" si="286"/>
        <v>177239.73202199998</v>
      </c>
      <c r="J453" s="24">
        <f t="shared" si="286"/>
        <v>185138.93028240002</v>
      </c>
      <c r="K453" s="24">
        <f t="shared" si="286"/>
        <v>195246.56552812509</v>
      </c>
      <c r="L453" s="24">
        <f t="shared" si="286"/>
        <v>197810.21899929995</v>
      </c>
      <c r="M453" s="24">
        <f t="shared" si="286"/>
        <v>183676.77820489998</v>
      </c>
      <c r="N453" s="24">
        <f t="shared" si="286"/>
        <v>191949.43747550002</v>
      </c>
      <c r="O453" s="24">
        <f t="shared" si="286"/>
        <v>178258.79952464771</v>
      </c>
      <c r="P453" s="24">
        <f t="shared" si="286"/>
        <v>180648.55671039998</v>
      </c>
      <c r="Q453" s="24">
        <f t="shared" si="286"/>
        <v>173349.38890039999</v>
      </c>
      <c r="R453" s="24">
        <f t="shared" si="286"/>
        <v>2156957.715658573</v>
      </c>
      <c r="S453"/>
    </row>
    <row r="454" spans="1:19" x14ac:dyDescent="0.2">
      <c r="A454" s="30"/>
      <c r="B454" s="30"/>
      <c r="C454" s="30"/>
      <c r="D454" s="30"/>
      <c r="E454" s="30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/>
    </row>
    <row r="455" spans="1:19" x14ac:dyDescent="0.2">
      <c r="A455" s="30" t="s">
        <v>305</v>
      </c>
      <c r="B455" s="30" t="s">
        <v>304</v>
      </c>
      <c r="C455" s="30"/>
      <c r="D455" s="30"/>
      <c r="E455" s="30"/>
      <c r="F455" s="34">
        <f t="shared" ref="F455:N455" si="287">F449</f>
        <v>1099.654591</v>
      </c>
      <c r="G455" s="34">
        <f t="shared" si="287"/>
        <v>1156.750546</v>
      </c>
      <c r="H455" s="34">
        <f t="shared" si="287"/>
        <v>1094.4162180000001</v>
      </c>
      <c r="I455" s="34">
        <f t="shared" si="287"/>
        <v>1275.082046</v>
      </c>
      <c r="J455" s="34">
        <f t="shared" si="287"/>
        <v>1385.318984</v>
      </c>
      <c r="K455" s="34">
        <f t="shared" si="287"/>
        <v>1507.2905960000003</v>
      </c>
      <c r="L455" s="34">
        <f t="shared" si="287"/>
        <v>1549.789444</v>
      </c>
      <c r="M455" s="34">
        <f t="shared" si="287"/>
        <v>1375.3533150000001</v>
      </c>
      <c r="N455" s="34">
        <f t="shared" si="287"/>
        <v>1474.069506</v>
      </c>
      <c r="O455" s="34">
        <f t="shared" ref="O455:Q455" si="288">O449</f>
        <v>1297.0622700000001</v>
      </c>
      <c r="P455" s="34">
        <f t="shared" si="288"/>
        <v>1304.354184</v>
      </c>
      <c r="Q455" s="34">
        <f t="shared" si="288"/>
        <v>1225.4979449999998</v>
      </c>
      <c r="R455" s="34">
        <f>SUM(F455:Q455)</f>
        <v>15744.639644999999</v>
      </c>
      <c r="S455"/>
    </row>
    <row r="457" spans="1:19" x14ac:dyDescent="0.2">
      <c r="B457" s="15" t="s">
        <v>233</v>
      </c>
      <c r="C457" s="15"/>
      <c r="F457" s="50"/>
      <c r="G457" s="50"/>
      <c r="S457"/>
    </row>
    <row r="458" spans="1:19" x14ac:dyDescent="0.2">
      <c r="B458" s="15" t="s">
        <v>7</v>
      </c>
      <c r="C458" s="15"/>
      <c r="F458" s="50"/>
      <c r="G458" s="50"/>
      <c r="S458"/>
    </row>
    <row r="459" spans="1:19" x14ac:dyDescent="0.2">
      <c r="B459" t="s">
        <v>282</v>
      </c>
      <c r="D459" s="21" t="s">
        <v>231</v>
      </c>
      <c r="E459" t="s">
        <v>5</v>
      </c>
      <c r="F459" s="17">
        <f t="shared" ref="F459:Q459" si="289">F422</f>
        <v>877.69</v>
      </c>
      <c r="G459" s="17">
        <f t="shared" si="289"/>
        <v>877.69</v>
      </c>
      <c r="H459" s="17">
        <f t="shared" si="289"/>
        <v>877.69</v>
      </c>
      <c r="I459" s="17">
        <f t="shared" si="289"/>
        <v>877.69</v>
      </c>
      <c r="J459" s="112">
        <f t="shared" si="289"/>
        <v>877.69</v>
      </c>
      <c r="K459" s="112">
        <f t="shared" si="289"/>
        <v>877.69</v>
      </c>
      <c r="L459" s="112">
        <f t="shared" si="289"/>
        <v>877.69</v>
      </c>
      <c r="M459" s="112">
        <f t="shared" si="289"/>
        <v>877.69</v>
      </c>
      <c r="N459" s="112">
        <f t="shared" si="289"/>
        <v>877.69</v>
      </c>
      <c r="O459" s="112">
        <f t="shared" si="289"/>
        <v>877.69</v>
      </c>
      <c r="P459" s="112">
        <f t="shared" si="289"/>
        <v>877.69</v>
      </c>
      <c r="Q459" s="112">
        <f t="shared" si="289"/>
        <v>877.69</v>
      </c>
      <c r="S459"/>
    </row>
    <row r="460" spans="1:19" x14ac:dyDescent="0.2">
      <c r="B460" t="s">
        <v>3</v>
      </c>
      <c r="F460" s="18"/>
      <c r="G460" s="18"/>
      <c r="H460" s="18"/>
      <c r="I460" s="18"/>
      <c r="J460" s="98"/>
      <c r="K460" s="98"/>
      <c r="L460" s="98"/>
      <c r="M460" s="98"/>
      <c r="N460" s="98"/>
      <c r="O460" s="98"/>
      <c r="P460" s="98"/>
      <c r="Q460" s="98"/>
      <c r="S460"/>
    </row>
    <row r="461" spans="1:19" x14ac:dyDescent="0.2">
      <c r="C461" t="s">
        <v>56</v>
      </c>
      <c r="D461" s="21" t="s">
        <v>231</v>
      </c>
      <c r="E461" t="s">
        <v>6</v>
      </c>
      <c r="F461" s="18">
        <f t="shared" ref="F461:Q461" si="290">F424</f>
        <v>9.9360000000000004E-2</v>
      </c>
      <c r="G461" s="18">
        <f t="shared" si="290"/>
        <v>9.9360000000000004E-2</v>
      </c>
      <c r="H461" s="18">
        <f t="shared" si="290"/>
        <v>9.9360000000000004E-2</v>
      </c>
      <c r="I461" s="18">
        <f t="shared" si="290"/>
        <v>9.9360000000000004E-2</v>
      </c>
      <c r="J461" s="103">
        <f t="shared" si="290"/>
        <v>9.9360000000000004E-2</v>
      </c>
      <c r="K461" s="103">
        <f t="shared" si="290"/>
        <v>9.9360000000000004E-2</v>
      </c>
      <c r="L461" s="103">
        <f t="shared" si="290"/>
        <v>9.9360000000000004E-2</v>
      </c>
      <c r="M461" s="103">
        <f t="shared" si="290"/>
        <v>9.9360000000000004E-2</v>
      </c>
      <c r="N461" s="103">
        <f t="shared" si="290"/>
        <v>9.9360000000000004E-2</v>
      </c>
      <c r="O461" s="103">
        <f t="shared" si="290"/>
        <v>9.9360000000000004E-2</v>
      </c>
      <c r="P461" s="103">
        <f t="shared" si="290"/>
        <v>9.9360000000000004E-2</v>
      </c>
      <c r="Q461" s="103">
        <f t="shared" si="290"/>
        <v>9.9360000000000004E-2</v>
      </c>
      <c r="S461"/>
    </row>
    <row r="462" spans="1:19" x14ac:dyDescent="0.2">
      <c r="C462" t="s">
        <v>57</v>
      </c>
      <c r="D462" s="21" t="s">
        <v>231</v>
      </c>
      <c r="E462" t="s">
        <v>6</v>
      </c>
      <c r="F462" s="18">
        <f t="shared" ref="F462:Q462" si="291">F425</f>
        <v>4.9169999999999998E-2</v>
      </c>
      <c r="G462" s="18">
        <f t="shared" si="291"/>
        <v>4.9169999999999998E-2</v>
      </c>
      <c r="H462" s="18">
        <f t="shared" si="291"/>
        <v>4.9169999999999998E-2</v>
      </c>
      <c r="I462" s="18">
        <f t="shared" si="291"/>
        <v>4.9169999999999998E-2</v>
      </c>
      <c r="J462" s="103">
        <f t="shared" si="291"/>
        <v>4.9169999999999998E-2</v>
      </c>
      <c r="K462" s="103">
        <f t="shared" si="291"/>
        <v>4.9169999999999998E-2</v>
      </c>
      <c r="L462" s="103">
        <f t="shared" si="291"/>
        <v>4.9169999999999998E-2</v>
      </c>
      <c r="M462" s="103">
        <f t="shared" si="291"/>
        <v>4.9169999999999998E-2</v>
      </c>
      <c r="N462" s="103">
        <f t="shared" si="291"/>
        <v>4.9169999999999998E-2</v>
      </c>
      <c r="O462" s="103">
        <f t="shared" si="291"/>
        <v>4.9169999999999998E-2</v>
      </c>
      <c r="P462" s="103">
        <f t="shared" si="291"/>
        <v>4.9169999999999998E-2</v>
      </c>
      <c r="Q462" s="103">
        <f t="shared" si="291"/>
        <v>4.9169999999999998E-2</v>
      </c>
      <c r="S462"/>
    </row>
    <row r="463" spans="1:19" x14ac:dyDescent="0.2">
      <c r="C463" t="s">
        <v>58</v>
      </c>
      <c r="D463" s="21" t="s">
        <v>231</v>
      </c>
      <c r="E463" t="s">
        <v>6</v>
      </c>
      <c r="F463" s="18">
        <f t="shared" ref="F463:Q463" si="292">F426</f>
        <v>4.7039999999999998E-2</v>
      </c>
      <c r="G463" s="18">
        <f t="shared" si="292"/>
        <v>4.7039999999999998E-2</v>
      </c>
      <c r="H463" s="18">
        <f t="shared" si="292"/>
        <v>4.7039999999999998E-2</v>
      </c>
      <c r="I463" s="18">
        <f t="shared" si="292"/>
        <v>4.7039999999999998E-2</v>
      </c>
      <c r="J463" s="103">
        <f t="shared" si="292"/>
        <v>4.7039999999999998E-2</v>
      </c>
      <c r="K463" s="103">
        <f t="shared" si="292"/>
        <v>4.7039999999999998E-2</v>
      </c>
      <c r="L463" s="103">
        <f t="shared" si="292"/>
        <v>4.7039999999999998E-2</v>
      </c>
      <c r="M463" s="103">
        <f t="shared" si="292"/>
        <v>4.7039999999999998E-2</v>
      </c>
      <c r="N463" s="103">
        <f t="shared" si="292"/>
        <v>4.7039999999999998E-2</v>
      </c>
      <c r="O463" s="103">
        <f t="shared" si="292"/>
        <v>4.7039999999999998E-2</v>
      </c>
      <c r="P463" s="103">
        <f t="shared" si="292"/>
        <v>4.7039999999999998E-2</v>
      </c>
      <c r="Q463" s="103">
        <f t="shared" si="292"/>
        <v>4.7039999999999998E-2</v>
      </c>
      <c r="S463"/>
    </row>
    <row r="464" spans="1:19" x14ac:dyDescent="0.2">
      <c r="B464" s="30" t="s">
        <v>301</v>
      </c>
      <c r="D464" s="47" t="s">
        <v>231</v>
      </c>
      <c r="E464" s="30" t="s">
        <v>6</v>
      </c>
      <c r="F464" s="18">
        <f t="shared" ref="F464:Q465" si="293">F427</f>
        <v>6.9999999999999999E-4</v>
      </c>
      <c r="G464" s="18">
        <f t="shared" si="293"/>
        <v>6.9999999999999999E-4</v>
      </c>
      <c r="H464" s="18">
        <f t="shared" si="293"/>
        <v>6.9999999999999999E-4</v>
      </c>
      <c r="I464" s="18">
        <f t="shared" si="293"/>
        <v>6.9999999999999999E-4</v>
      </c>
      <c r="J464" s="103">
        <f t="shared" si="293"/>
        <v>6.9999999999999999E-4</v>
      </c>
      <c r="K464" s="103">
        <f t="shared" si="293"/>
        <v>6.9999999999999999E-4</v>
      </c>
      <c r="L464" s="103">
        <f t="shared" si="293"/>
        <v>6.9999999999999999E-4</v>
      </c>
      <c r="M464" s="103">
        <f t="shared" si="293"/>
        <v>6.9999999999999999E-4</v>
      </c>
      <c r="N464" s="103">
        <f t="shared" si="293"/>
        <v>6.9999999999999999E-4</v>
      </c>
      <c r="O464" s="103">
        <f t="shared" si="293"/>
        <v>6.9999999999999999E-4</v>
      </c>
      <c r="P464" s="103">
        <f t="shared" si="293"/>
        <v>6.9999999999999999E-4</v>
      </c>
      <c r="Q464" s="103">
        <f t="shared" si="293"/>
        <v>6.9999999999999999E-4</v>
      </c>
      <c r="S464"/>
    </row>
    <row r="465" spans="1:19" x14ac:dyDescent="0.2">
      <c r="B465" s="30" t="s">
        <v>550</v>
      </c>
      <c r="D465" s="47">
        <v>149</v>
      </c>
      <c r="E465" s="30" t="s">
        <v>6</v>
      </c>
      <c r="F465" s="18">
        <f t="shared" si="293"/>
        <v>3.31E-3</v>
      </c>
      <c r="G465" s="18">
        <f t="shared" si="293"/>
        <v>3.31E-3</v>
      </c>
      <c r="H465" s="18">
        <f t="shared" si="293"/>
        <v>3.31E-3</v>
      </c>
      <c r="I465" s="18">
        <f t="shared" si="293"/>
        <v>3.31E-3</v>
      </c>
      <c r="J465" s="18">
        <f t="shared" si="293"/>
        <v>3.31E-3</v>
      </c>
      <c r="K465" s="18">
        <f t="shared" si="293"/>
        <v>3.31E-3</v>
      </c>
      <c r="L465" s="18">
        <f t="shared" si="293"/>
        <v>3.31E-3</v>
      </c>
      <c r="M465" s="18">
        <f t="shared" si="293"/>
        <v>3.31E-3</v>
      </c>
      <c r="N465" s="18">
        <f t="shared" si="293"/>
        <v>3.31E-3</v>
      </c>
      <c r="O465" s="18">
        <f t="shared" si="293"/>
        <v>3.31E-3</v>
      </c>
      <c r="P465" s="18">
        <f t="shared" si="293"/>
        <v>3.31E-3</v>
      </c>
      <c r="Q465" s="18">
        <f t="shared" si="293"/>
        <v>3.31E-3</v>
      </c>
      <c r="S465"/>
    </row>
    <row r="466" spans="1:19" x14ac:dyDescent="0.2">
      <c r="B466" t="s">
        <v>19</v>
      </c>
      <c r="D466">
        <v>101</v>
      </c>
      <c r="E466" t="s">
        <v>6</v>
      </c>
      <c r="F466" s="17">
        <f t="shared" ref="F466:Q466" si="294">F429</f>
        <v>1.21</v>
      </c>
      <c r="G466" s="17">
        <f t="shared" si="294"/>
        <v>1.21</v>
      </c>
      <c r="H466" s="17">
        <f t="shared" si="294"/>
        <v>1.21</v>
      </c>
      <c r="I466" s="17">
        <f t="shared" si="294"/>
        <v>1.21</v>
      </c>
      <c r="J466" s="113">
        <f t="shared" si="294"/>
        <v>1.21</v>
      </c>
      <c r="K466" s="113">
        <f t="shared" si="294"/>
        <v>1.21</v>
      </c>
      <c r="L466" s="113">
        <f t="shared" si="294"/>
        <v>1.21</v>
      </c>
      <c r="M466" s="113">
        <f t="shared" si="294"/>
        <v>1.21</v>
      </c>
      <c r="N466" s="113">
        <f t="shared" si="294"/>
        <v>1.21</v>
      </c>
      <c r="O466" s="113">
        <f t="shared" si="294"/>
        <v>1.21</v>
      </c>
      <c r="P466" s="113">
        <f t="shared" si="294"/>
        <v>1.21</v>
      </c>
      <c r="Q466" s="113">
        <f t="shared" si="294"/>
        <v>1.21</v>
      </c>
      <c r="S466"/>
    </row>
    <row r="467" spans="1:19" x14ac:dyDescent="0.2">
      <c r="A467" s="30"/>
      <c r="B467" s="30" t="s">
        <v>21</v>
      </c>
      <c r="C467" s="30"/>
      <c r="D467" s="21" t="s">
        <v>231</v>
      </c>
      <c r="E467" s="30" t="s">
        <v>22</v>
      </c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30"/>
      <c r="S467"/>
    </row>
    <row r="468" spans="1:19" x14ac:dyDescent="0.2">
      <c r="A468" s="30"/>
      <c r="B468" s="30"/>
      <c r="C468" s="30"/>
      <c r="D468" s="30"/>
      <c r="E468" s="30"/>
      <c r="F468" s="31"/>
      <c r="G468" s="31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/>
    </row>
    <row r="469" spans="1:19" x14ac:dyDescent="0.2">
      <c r="A469" s="30"/>
      <c r="B469" s="29" t="s">
        <v>295</v>
      </c>
      <c r="C469" s="30"/>
      <c r="D469" s="30"/>
      <c r="E469" s="30"/>
      <c r="F469" s="31"/>
      <c r="G469" s="31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/>
    </row>
    <row r="470" spans="1:19" s="30" customFormat="1" x14ac:dyDescent="0.2">
      <c r="B470" s="30" t="s">
        <v>22</v>
      </c>
      <c r="D470" s="21" t="s">
        <v>231</v>
      </c>
      <c r="E470" s="30" t="s">
        <v>22</v>
      </c>
      <c r="F470" s="72">
        <f>'(R) Data'!C26</f>
        <v>69.033338330085456</v>
      </c>
      <c r="G470" s="72">
        <f>'(R) Data'!D26</f>
        <v>69.033328336581221</v>
      </c>
      <c r="H470" s="72">
        <f>'(R) Data'!E26</f>
        <v>68.937500624594009</v>
      </c>
      <c r="I470" s="72">
        <f>'(R) Data'!F26</f>
        <v>68.362504372158099</v>
      </c>
      <c r="J470" s="72">
        <f>'(R) Data'!G26</f>
        <v>69.000000000000014</v>
      </c>
      <c r="K470" s="72">
        <f>'(R) Data'!H26</f>
        <v>68.999750540828444</v>
      </c>
      <c r="L470" s="72">
        <f>'(R) Data'!I26</f>
        <v>69</v>
      </c>
      <c r="M470" s="72">
        <f>'(R) Data'!J26</f>
        <v>69</v>
      </c>
      <c r="N470" s="72">
        <f>'(R) Data'!K26</f>
        <v>69</v>
      </c>
      <c r="O470" s="72">
        <f>'(R) Data'!L26</f>
        <v>69.000032127825918</v>
      </c>
      <c r="P470" s="72">
        <f>'(R) Data'!M26</f>
        <v>70</v>
      </c>
      <c r="Q470" s="72">
        <f>'(R) Data'!N26</f>
        <v>71</v>
      </c>
      <c r="R470" s="107">
        <f>SUM(F470:Q470)</f>
        <v>830.36645433207309</v>
      </c>
    </row>
    <row r="471" spans="1:19" s="30" customFormat="1" x14ac:dyDescent="0.2">
      <c r="B471" s="30" t="s">
        <v>30</v>
      </c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107"/>
    </row>
    <row r="472" spans="1:19" s="30" customFormat="1" x14ac:dyDescent="0.2">
      <c r="C472" s="30" t="s">
        <v>56</v>
      </c>
      <c r="D472" s="21" t="s">
        <v>231</v>
      </c>
      <c r="E472" s="30" t="s">
        <v>10</v>
      </c>
      <c r="F472" s="161">
        <f>'(R) Therms By Block'!B58</f>
        <v>1561528.83</v>
      </c>
      <c r="G472" s="170">
        <f>'(R) Therms By Block'!C58</f>
        <v>1556380.97</v>
      </c>
      <c r="H472" s="170">
        <f>'(R) Therms By Block'!D58</f>
        <v>1598541.33</v>
      </c>
      <c r="I472" s="170">
        <f>'(R) Therms By Block'!E58</f>
        <v>1638582.18</v>
      </c>
      <c r="J472" s="170">
        <f>'(R) Therms By Block'!F58</f>
        <v>1588806.52</v>
      </c>
      <c r="K472" s="170">
        <f>'(R) Therms By Block'!G58</f>
        <v>1505284.1</v>
      </c>
      <c r="L472" s="170">
        <f>'(R) Therms By Block'!H58</f>
        <v>1462114.96</v>
      </c>
      <c r="M472" s="170">
        <f>'(R) Therms By Block'!I58</f>
        <v>1504173.8</v>
      </c>
      <c r="N472" s="170">
        <f>'(R) Therms By Block'!J58</f>
        <v>1601952.22</v>
      </c>
      <c r="O472" s="170">
        <f>'(R) Therms By Block'!K58</f>
        <v>1597650.4</v>
      </c>
      <c r="P472" s="170">
        <f>'(R) Therms By Block'!L58</f>
        <v>1600042.06</v>
      </c>
      <c r="Q472" s="170">
        <f>'(R) Therms By Block'!M58</f>
        <v>1608072.67</v>
      </c>
      <c r="R472" s="107">
        <f>SUM(F472:Q472)</f>
        <v>18823130.039999999</v>
      </c>
    </row>
    <row r="473" spans="1:19" s="30" customFormat="1" x14ac:dyDescent="0.2">
      <c r="C473" s="30" t="s">
        <v>57</v>
      </c>
      <c r="D473" s="21" t="s">
        <v>231</v>
      </c>
      <c r="E473" s="30" t="s">
        <v>10</v>
      </c>
      <c r="F473" s="170">
        <f>'(R) Therms By Block'!B59</f>
        <v>1105338.79</v>
      </c>
      <c r="G473" s="170">
        <f>'(R) Therms By Block'!C59</f>
        <v>1127142.8500000001</v>
      </c>
      <c r="H473" s="170">
        <f>'(R) Therms By Block'!D59</f>
        <v>1073013.7</v>
      </c>
      <c r="I473" s="170">
        <f>'(R) Therms By Block'!E59</f>
        <v>1212633.3899999999</v>
      </c>
      <c r="J473" s="170">
        <f>'(R) Therms By Block'!F59</f>
        <v>1044503.57</v>
      </c>
      <c r="K473" s="170">
        <f>'(R) Therms By Block'!G59</f>
        <v>1068403.94</v>
      </c>
      <c r="L473" s="170">
        <f>'(R) Therms By Block'!H59</f>
        <v>1038998.88</v>
      </c>
      <c r="M473" s="170">
        <f>'(R) Therms By Block'!I59</f>
        <v>947370.73</v>
      </c>
      <c r="N473" s="170">
        <f>'(R) Therms By Block'!J59</f>
        <v>1098021.3700000001</v>
      </c>
      <c r="O473" s="170">
        <f>'(R) Therms By Block'!K59</f>
        <v>1061605.1299999999</v>
      </c>
      <c r="P473" s="170">
        <f>'(R) Therms By Block'!L59</f>
        <v>1159432.25</v>
      </c>
      <c r="Q473" s="170">
        <f>'(R) Therms By Block'!M59</f>
        <v>1071304.6599999999</v>
      </c>
      <c r="R473" s="107">
        <f>SUM(F473:Q473)</f>
        <v>13007769.259999998</v>
      </c>
    </row>
    <row r="474" spans="1:19" s="30" customFormat="1" x14ac:dyDescent="0.2">
      <c r="C474" s="30" t="s">
        <v>58</v>
      </c>
      <c r="D474" s="21" t="s">
        <v>231</v>
      </c>
      <c r="E474" s="30" t="s">
        <v>10</v>
      </c>
      <c r="F474" s="107">
        <f t="shared" ref="F474:N474" si="295">F475-SUM(F472:F473)</f>
        <v>1613960.9400000004</v>
      </c>
      <c r="G474" s="107">
        <f t="shared" si="295"/>
        <v>2031825.9699999997</v>
      </c>
      <c r="H474" s="107">
        <f t="shared" si="295"/>
        <v>1959765.04</v>
      </c>
      <c r="I474" s="107">
        <f t="shared" si="295"/>
        <v>2275699.8699999996</v>
      </c>
      <c r="J474" s="107">
        <f t="shared" si="295"/>
        <v>1844888.7300000004</v>
      </c>
      <c r="K474" s="107">
        <f t="shared" si="295"/>
        <v>2021572.2999999998</v>
      </c>
      <c r="L474" s="107">
        <f t="shared" si="295"/>
        <v>1962519.2800000003</v>
      </c>
      <c r="M474" s="107">
        <f t="shared" si="295"/>
        <v>1665226.63</v>
      </c>
      <c r="N474" s="107">
        <f t="shared" si="295"/>
        <v>2171507.1799999997</v>
      </c>
      <c r="O474" s="107">
        <f t="shared" ref="O474:Q474" si="296">O475-SUM(O472:O473)</f>
        <v>1660681.2900000005</v>
      </c>
      <c r="P474" s="107">
        <f t="shared" si="296"/>
        <v>1497293.06</v>
      </c>
      <c r="Q474" s="107">
        <f t="shared" si="296"/>
        <v>1554405.1799999997</v>
      </c>
      <c r="R474" s="107">
        <f>SUM(F474:Q474)</f>
        <v>22259345.469999999</v>
      </c>
    </row>
    <row r="475" spans="1:19" s="30" customFormat="1" x14ac:dyDescent="0.2">
      <c r="C475" s="30" t="s">
        <v>17</v>
      </c>
      <c r="D475" s="21" t="s">
        <v>231</v>
      </c>
      <c r="E475" s="30" t="s">
        <v>10</v>
      </c>
      <c r="F475" s="111">
        <f>'Weather Adj'!D192</f>
        <v>4280828.5600000005</v>
      </c>
      <c r="G475" s="111">
        <f>'Weather Adj'!E192</f>
        <v>4715349.79</v>
      </c>
      <c r="H475" s="111">
        <f>'Weather Adj'!F192</f>
        <v>4631320.07</v>
      </c>
      <c r="I475" s="111">
        <f>'Weather Adj'!G192</f>
        <v>5126915.4399999995</v>
      </c>
      <c r="J475" s="111">
        <f>'Weather Adj'!H192</f>
        <v>4478198.82</v>
      </c>
      <c r="K475" s="111">
        <f>'Weather Adj'!I192</f>
        <v>4595260.34</v>
      </c>
      <c r="L475" s="111">
        <f>'Weather Adj'!J192</f>
        <v>4463633.12</v>
      </c>
      <c r="M475" s="111">
        <f>'Weather Adj'!K192</f>
        <v>4116771.16</v>
      </c>
      <c r="N475" s="111">
        <f>'Weather Adj'!L192</f>
        <v>4871480.7699999996</v>
      </c>
      <c r="O475" s="111">
        <f>'Weather Adj'!M192</f>
        <v>4319936.82</v>
      </c>
      <c r="P475" s="111">
        <f>'Weather Adj'!N192</f>
        <v>4256767.37</v>
      </c>
      <c r="Q475" s="111">
        <f>'Weather Adj'!O192</f>
        <v>4233782.51</v>
      </c>
      <c r="R475" s="109">
        <f>SUM(F475:Q475)</f>
        <v>54090244.769999988</v>
      </c>
    </row>
    <row r="476" spans="1:19" s="30" customFormat="1" x14ac:dyDescent="0.2">
      <c r="B476" s="30" t="s">
        <v>29</v>
      </c>
      <c r="D476" s="21" t="s">
        <v>231</v>
      </c>
      <c r="E476" s="30" t="s">
        <v>100</v>
      </c>
      <c r="F476" s="72">
        <f>'(R) Data'!C46</f>
        <v>45698</v>
      </c>
      <c r="G476" s="72">
        <f>'(R) Data'!D46</f>
        <v>43998</v>
      </c>
      <c r="H476" s="72">
        <f>'(R) Data'!E46</f>
        <v>44998</v>
      </c>
      <c r="I476" s="72">
        <f>'(R) Data'!F46</f>
        <v>47143.334000000003</v>
      </c>
      <c r="J476" s="72">
        <f>'(R) Data'!G46</f>
        <v>49840</v>
      </c>
      <c r="K476" s="72">
        <f>'(R) Data'!H46</f>
        <v>45913</v>
      </c>
      <c r="L476" s="72">
        <f>'(R) Data'!I46</f>
        <v>45863</v>
      </c>
      <c r="M476" s="72">
        <f>'(R) Data'!J46</f>
        <v>45976</v>
      </c>
      <c r="N476" s="72">
        <f>'(R) Data'!K46</f>
        <v>47273</v>
      </c>
      <c r="O476" s="72">
        <f>'(R) Data'!L46</f>
        <v>46772</v>
      </c>
      <c r="P476" s="72">
        <f>'(R) Data'!M46</f>
        <v>46208</v>
      </c>
      <c r="Q476" s="72">
        <f>'(R) Data'!N46</f>
        <v>45894</v>
      </c>
      <c r="R476" s="107">
        <f>SUM(F476:Q476)</f>
        <v>555576.33400000003</v>
      </c>
    </row>
    <row r="477" spans="1:19" s="30" customFormat="1" x14ac:dyDescent="0.2">
      <c r="B477" s="30" t="s">
        <v>21</v>
      </c>
      <c r="D477" s="47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</row>
    <row r="478" spans="1:19" s="30" customFormat="1" x14ac:dyDescent="0.2"/>
    <row r="479" spans="1:19" s="30" customFormat="1" x14ac:dyDescent="0.2">
      <c r="B479" s="29" t="s">
        <v>9</v>
      </c>
    </row>
    <row r="480" spans="1:19" s="30" customFormat="1" x14ac:dyDescent="0.2">
      <c r="A480" s="30" t="s">
        <v>147</v>
      </c>
      <c r="B480" s="30" t="s">
        <v>282</v>
      </c>
      <c r="D480" s="47" t="s">
        <v>231</v>
      </c>
      <c r="F480" s="34">
        <f t="shared" ref="F480:N480" si="297">F459*F470</f>
        <v>60589.870718932711</v>
      </c>
      <c r="G480" s="34">
        <f t="shared" si="297"/>
        <v>60589.861947733974</v>
      </c>
      <c r="H480" s="34">
        <f t="shared" si="297"/>
        <v>60505.754923199922</v>
      </c>
      <c r="I480" s="34">
        <f t="shared" si="297"/>
        <v>60001.086462399449</v>
      </c>
      <c r="J480" s="34">
        <f t="shared" si="297"/>
        <v>60560.610000000015</v>
      </c>
      <c r="K480" s="34">
        <f t="shared" si="297"/>
        <v>60560.391052179722</v>
      </c>
      <c r="L480" s="34">
        <f t="shared" si="297"/>
        <v>60560.61</v>
      </c>
      <c r="M480" s="34">
        <f t="shared" si="297"/>
        <v>60560.61</v>
      </c>
      <c r="N480" s="34">
        <f t="shared" si="297"/>
        <v>60560.61</v>
      </c>
      <c r="O480" s="34">
        <f t="shared" ref="O480:Q480" si="298">O459*O470</f>
        <v>60560.638198271532</v>
      </c>
      <c r="P480" s="34">
        <f t="shared" si="298"/>
        <v>61438.3</v>
      </c>
      <c r="Q480" s="34">
        <f t="shared" si="298"/>
        <v>62315.990000000005</v>
      </c>
      <c r="R480" s="34">
        <f>SUM(F480:Q480)</f>
        <v>728804.33330271731</v>
      </c>
    </row>
    <row r="481" spans="1:18" s="30" customFormat="1" x14ac:dyDescent="0.2">
      <c r="A481"/>
      <c r="B481" t="s">
        <v>3</v>
      </c>
      <c r="C481"/>
      <c r="D481" s="21"/>
      <c r="E481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</row>
    <row r="482" spans="1:18" s="30" customFormat="1" x14ac:dyDescent="0.2">
      <c r="A482"/>
      <c r="B482"/>
      <c r="C482" t="s">
        <v>56</v>
      </c>
      <c r="D482" s="47" t="s">
        <v>231</v>
      </c>
      <c r="E482"/>
      <c r="F482" s="34">
        <f t="shared" ref="F482:N482" si="299">F461*F472</f>
        <v>155153.5045488</v>
      </c>
      <c r="G482" s="34">
        <f t="shared" si="299"/>
        <v>154642.0131792</v>
      </c>
      <c r="H482" s="34">
        <f t="shared" si="299"/>
        <v>158831.06654880001</v>
      </c>
      <c r="I482" s="34">
        <f t="shared" si="299"/>
        <v>162809.52540479999</v>
      </c>
      <c r="J482" s="34">
        <f t="shared" si="299"/>
        <v>157863.81582720001</v>
      </c>
      <c r="K482" s="34">
        <f t="shared" si="299"/>
        <v>149565.02817600002</v>
      </c>
      <c r="L482" s="34">
        <f t="shared" si="299"/>
        <v>145275.74242560001</v>
      </c>
      <c r="M482" s="34">
        <f t="shared" si="299"/>
        <v>149454.70876800001</v>
      </c>
      <c r="N482" s="34">
        <f t="shared" si="299"/>
        <v>159169.9725792</v>
      </c>
      <c r="O482" s="34">
        <f t="shared" ref="O482:Q482" si="300">O461*O472</f>
        <v>158742.543744</v>
      </c>
      <c r="P482" s="34">
        <f t="shared" si="300"/>
        <v>158980.17908160001</v>
      </c>
      <c r="Q482" s="34">
        <f t="shared" si="300"/>
        <v>159778.10049119999</v>
      </c>
      <c r="R482" s="34">
        <f t="shared" ref="R482:R489" si="301">SUM(F482:Q482)</f>
        <v>1870266.2007743996</v>
      </c>
    </row>
    <row r="483" spans="1:18" s="30" customFormat="1" x14ac:dyDescent="0.2">
      <c r="A483"/>
      <c r="B483"/>
      <c r="C483" t="s">
        <v>57</v>
      </c>
      <c r="D483" s="47" t="s">
        <v>231</v>
      </c>
      <c r="E483"/>
      <c r="F483" s="34">
        <f t="shared" ref="F483:N483" si="302">F462*F473</f>
        <v>54349.508304299998</v>
      </c>
      <c r="G483" s="34">
        <f t="shared" si="302"/>
        <v>55421.613934500005</v>
      </c>
      <c r="H483" s="34">
        <f t="shared" si="302"/>
        <v>52760.083628999993</v>
      </c>
      <c r="I483" s="34">
        <f t="shared" si="302"/>
        <v>59625.183786299996</v>
      </c>
      <c r="J483" s="34">
        <f t="shared" si="302"/>
        <v>51358.240536899997</v>
      </c>
      <c r="K483" s="34">
        <f t="shared" si="302"/>
        <v>52533.421729799993</v>
      </c>
      <c r="L483" s="34">
        <f t="shared" si="302"/>
        <v>51087.574929599999</v>
      </c>
      <c r="M483" s="34">
        <f t="shared" si="302"/>
        <v>46582.218794100001</v>
      </c>
      <c r="N483" s="34">
        <f t="shared" si="302"/>
        <v>53989.710762900002</v>
      </c>
      <c r="O483" s="34">
        <f t="shared" ref="O483:Q483" si="303">O462*O473</f>
        <v>52199.124242099992</v>
      </c>
      <c r="P483" s="34">
        <f t="shared" si="303"/>
        <v>57009.2837325</v>
      </c>
      <c r="Q483" s="34">
        <f t="shared" si="303"/>
        <v>52676.050132199991</v>
      </c>
      <c r="R483" s="34">
        <f t="shared" si="301"/>
        <v>639592.01451420004</v>
      </c>
    </row>
    <row r="484" spans="1:18" s="30" customFormat="1" x14ac:dyDescent="0.2">
      <c r="A484"/>
      <c r="B484"/>
      <c r="C484" t="s">
        <v>58</v>
      </c>
      <c r="D484" s="47" t="s">
        <v>231</v>
      </c>
      <c r="E484"/>
      <c r="F484" s="23">
        <f t="shared" ref="F484:N484" si="304">F463*F474</f>
        <v>75920.722617600011</v>
      </c>
      <c r="G484" s="23">
        <f t="shared" si="304"/>
        <v>95577.093628799979</v>
      </c>
      <c r="H484" s="23">
        <f t="shared" si="304"/>
        <v>92187.347481599994</v>
      </c>
      <c r="I484" s="23">
        <f t="shared" si="304"/>
        <v>107048.92188479997</v>
      </c>
      <c r="J484" s="23">
        <f t="shared" si="304"/>
        <v>86783.565859200025</v>
      </c>
      <c r="K484" s="23">
        <f t="shared" si="304"/>
        <v>95094.760991999981</v>
      </c>
      <c r="L484" s="23">
        <f t="shared" si="304"/>
        <v>92316.906931200007</v>
      </c>
      <c r="M484" s="23">
        <f t="shared" si="304"/>
        <v>78332.260675199999</v>
      </c>
      <c r="N484" s="23">
        <f t="shared" si="304"/>
        <v>102147.69774719999</v>
      </c>
      <c r="O484" s="23">
        <f t="shared" ref="O484:Q484" si="305">O463*O474</f>
        <v>78118.447881600019</v>
      </c>
      <c r="P484" s="23">
        <f t="shared" si="305"/>
        <v>70432.665542400006</v>
      </c>
      <c r="Q484" s="23">
        <f t="shared" si="305"/>
        <v>73119.219667199985</v>
      </c>
      <c r="R484" s="23">
        <f t="shared" si="301"/>
        <v>1047079.6109087999</v>
      </c>
    </row>
    <row r="485" spans="1:18" s="30" customFormat="1" x14ac:dyDescent="0.2">
      <c r="A485" t="s">
        <v>147</v>
      </c>
      <c r="B485"/>
      <c r="C485" t="s">
        <v>26</v>
      </c>
      <c r="D485" s="21"/>
      <c r="E485"/>
      <c r="F485" s="24">
        <f t="shared" ref="F485:N485" si="306">SUM(F482:F484)</f>
        <v>285423.73547070002</v>
      </c>
      <c r="G485" s="24">
        <f t="shared" si="306"/>
        <v>305640.72074249998</v>
      </c>
      <c r="H485" s="24">
        <f t="shared" si="306"/>
        <v>303778.49765939999</v>
      </c>
      <c r="I485" s="24">
        <f t="shared" si="306"/>
        <v>329483.63107589993</v>
      </c>
      <c r="J485" s="24">
        <f t="shared" si="306"/>
        <v>296005.62222330004</v>
      </c>
      <c r="K485" s="24">
        <f t="shared" si="306"/>
        <v>297193.21089779999</v>
      </c>
      <c r="L485" s="24">
        <f t="shared" si="306"/>
        <v>288680.22428640001</v>
      </c>
      <c r="M485" s="24">
        <f t="shared" si="306"/>
        <v>274369.18823730003</v>
      </c>
      <c r="N485" s="24">
        <f t="shared" si="306"/>
        <v>315307.38108929998</v>
      </c>
      <c r="O485" s="24">
        <f t="shared" ref="O485:Q485" si="307">SUM(O482:O484)</f>
        <v>289060.11586770002</v>
      </c>
      <c r="P485" s="24">
        <f t="shared" si="307"/>
        <v>286422.12835650006</v>
      </c>
      <c r="Q485" s="24">
        <f t="shared" si="307"/>
        <v>285573.3702906</v>
      </c>
      <c r="R485" s="24">
        <f t="shared" si="301"/>
        <v>3556937.8261973998</v>
      </c>
    </row>
    <row r="486" spans="1:18" s="30" customFormat="1" x14ac:dyDescent="0.2">
      <c r="A486" s="50" t="s">
        <v>130</v>
      </c>
      <c r="B486" s="30" t="s">
        <v>301</v>
      </c>
      <c r="C486"/>
      <c r="D486" s="47" t="s">
        <v>231</v>
      </c>
      <c r="E486" s="50"/>
      <c r="F486" s="40">
        <f t="shared" ref="F486:N486" si="308">F464*F475</f>
        <v>2996.5799920000004</v>
      </c>
      <c r="G486" s="40">
        <f t="shared" si="308"/>
        <v>3300.7448530000001</v>
      </c>
      <c r="H486" s="40">
        <f t="shared" si="308"/>
        <v>3241.9240490000002</v>
      </c>
      <c r="I486" s="40">
        <f t="shared" si="308"/>
        <v>3588.8408079999995</v>
      </c>
      <c r="J486" s="40">
        <f t="shared" si="308"/>
        <v>3134.7391740000003</v>
      </c>
      <c r="K486" s="40">
        <f t="shared" si="308"/>
        <v>3216.6822379999999</v>
      </c>
      <c r="L486" s="40">
        <f t="shared" si="308"/>
        <v>3124.5431840000001</v>
      </c>
      <c r="M486" s="40">
        <f t="shared" si="308"/>
        <v>2881.7398120000003</v>
      </c>
      <c r="N486" s="40">
        <f t="shared" si="308"/>
        <v>3410.0365389999997</v>
      </c>
      <c r="O486" s="40">
        <f t="shared" ref="O486:Q486" si="309">O464*O475</f>
        <v>3023.955774</v>
      </c>
      <c r="P486" s="40">
        <f t="shared" si="309"/>
        <v>2979.7371590000002</v>
      </c>
      <c r="Q486" s="40">
        <f t="shared" si="309"/>
        <v>2963.6477569999997</v>
      </c>
      <c r="R486" s="40">
        <f t="shared" si="301"/>
        <v>37863.171339000008</v>
      </c>
    </row>
    <row r="487" spans="1:18" s="30" customFormat="1" x14ac:dyDescent="0.2">
      <c r="A487" s="50" t="s">
        <v>551</v>
      </c>
      <c r="B487" s="30" t="s">
        <v>552</v>
      </c>
      <c r="C487"/>
      <c r="D487" s="47">
        <v>149</v>
      </c>
      <c r="E487" s="50"/>
      <c r="F487" s="40">
        <f>F465*F475</f>
        <v>14169.542533600003</v>
      </c>
      <c r="G487" s="40">
        <f t="shared" ref="G487:Q487" si="310">G465*G475</f>
        <v>15607.8078049</v>
      </c>
      <c r="H487" s="40">
        <f t="shared" si="310"/>
        <v>15329.6694317</v>
      </c>
      <c r="I487" s="40">
        <f t="shared" si="310"/>
        <v>16970.090106399999</v>
      </c>
      <c r="J487" s="40">
        <f t="shared" si="310"/>
        <v>14822.8380942</v>
      </c>
      <c r="K487" s="40">
        <f t="shared" si="310"/>
        <v>15210.311725399999</v>
      </c>
      <c r="L487" s="40">
        <f t="shared" si="310"/>
        <v>14774.625627200001</v>
      </c>
      <c r="M487" s="40">
        <f t="shared" si="310"/>
        <v>13626.5125396</v>
      </c>
      <c r="N487" s="40">
        <f t="shared" si="310"/>
        <v>16124.601348699998</v>
      </c>
      <c r="O487" s="40">
        <f t="shared" si="310"/>
        <v>14298.990874200001</v>
      </c>
      <c r="P487" s="40">
        <f t="shared" si="310"/>
        <v>14089.899994700001</v>
      </c>
      <c r="Q487" s="40">
        <f t="shared" si="310"/>
        <v>14013.820108099999</v>
      </c>
      <c r="R487" s="40">
        <f t="shared" si="301"/>
        <v>179038.7101887</v>
      </c>
    </row>
    <row r="488" spans="1:18" s="30" customFormat="1" x14ac:dyDescent="0.2">
      <c r="A488" t="s">
        <v>147</v>
      </c>
      <c r="B488" t="s">
        <v>19</v>
      </c>
      <c r="C488"/>
      <c r="D488" s="47" t="s">
        <v>231</v>
      </c>
      <c r="E488"/>
      <c r="F488" s="40">
        <f t="shared" ref="F488:N488" si="311">F466*F476</f>
        <v>55294.58</v>
      </c>
      <c r="G488" s="40">
        <f t="shared" si="311"/>
        <v>53237.58</v>
      </c>
      <c r="H488" s="40">
        <f t="shared" si="311"/>
        <v>54447.58</v>
      </c>
      <c r="I488" s="40">
        <f t="shared" si="311"/>
        <v>57043.434140000005</v>
      </c>
      <c r="J488" s="40">
        <f t="shared" si="311"/>
        <v>60306.400000000001</v>
      </c>
      <c r="K488" s="40">
        <f t="shared" si="311"/>
        <v>55554.729999999996</v>
      </c>
      <c r="L488" s="40">
        <f t="shared" si="311"/>
        <v>55494.229999999996</v>
      </c>
      <c r="M488" s="40">
        <f t="shared" si="311"/>
        <v>55630.96</v>
      </c>
      <c r="N488" s="40">
        <f t="shared" si="311"/>
        <v>57200.33</v>
      </c>
      <c r="O488" s="40">
        <f t="shared" ref="O488:Q488" si="312">O466*O476</f>
        <v>56594.119999999995</v>
      </c>
      <c r="P488" s="40">
        <f t="shared" si="312"/>
        <v>55911.68</v>
      </c>
      <c r="Q488" s="40">
        <f t="shared" si="312"/>
        <v>55531.74</v>
      </c>
      <c r="R488" s="40">
        <f t="shared" si="301"/>
        <v>672247.36414000008</v>
      </c>
    </row>
    <row r="489" spans="1:18" s="30" customFormat="1" x14ac:dyDescent="0.2">
      <c r="A489" s="30" t="s">
        <v>147</v>
      </c>
      <c r="B489" s="30" t="s">
        <v>21</v>
      </c>
      <c r="D489" s="47" t="s">
        <v>231</v>
      </c>
      <c r="F489" s="74">
        <f>'(R) Data'!C62</f>
        <v>0</v>
      </c>
      <c r="G489" s="74">
        <f>'(R) Data'!D62</f>
        <v>4811.83</v>
      </c>
      <c r="H489" s="74">
        <f>'(R) Data'!E62</f>
        <v>0</v>
      </c>
      <c r="I489" s="74">
        <f>'(R) Data'!F62</f>
        <v>0</v>
      </c>
      <c r="J489" s="74">
        <f>'(R) Data'!G62</f>
        <v>0</v>
      </c>
      <c r="K489" s="74">
        <f>'(R) Data'!H62</f>
        <v>0</v>
      </c>
      <c r="L489" s="74">
        <f>'(R) Data'!I62</f>
        <v>0</v>
      </c>
      <c r="M489" s="74">
        <f>'(R) Data'!J62</f>
        <v>0</v>
      </c>
      <c r="N489" s="74">
        <f>'(R) Data'!K62</f>
        <v>0</v>
      </c>
      <c r="O489" s="74">
        <f>'(R) Data'!L62</f>
        <v>7750.42</v>
      </c>
      <c r="P489" s="74">
        <f>'(R) Data'!M62</f>
        <v>0</v>
      </c>
      <c r="Q489" s="74">
        <f>'(R) Data'!N62</f>
        <v>0</v>
      </c>
      <c r="R489" s="40">
        <f t="shared" si="301"/>
        <v>12562.25</v>
      </c>
    </row>
    <row r="490" spans="1:18" s="30" customFormat="1" x14ac:dyDescent="0.2">
      <c r="A490"/>
      <c r="B490" t="s">
        <v>24</v>
      </c>
      <c r="C490"/>
      <c r="D490"/>
      <c r="E490"/>
      <c r="F490" s="24">
        <f>F480+F485+F486+F487+F488+F489</f>
        <v>418474.30871523276</v>
      </c>
      <c r="G490" s="24">
        <f t="shared" ref="G490:R490" si="313">G480+G485+G486+G487+G488+G489</f>
        <v>443188.54534813395</v>
      </c>
      <c r="H490" s="24">
        <f t="shared" si="313"/>
        <v>437303.42606329999</v>
      </c>
      <c r="I490" s="24">
        <f t="shared" si="313"/>
        <v>467087.08259269944</v>
      </c>
      <c r="J490" s="24">
        <f t="shared" si="313"/>
        <v>434830.20949150005</v>
      </c>
      <c r="K490" s="24">
        <f t="shared" si="313"/>
        <v>431735.32591337967</v>
      </c>
      <c r="L490" s="24">
        <f t="shared" si="313"/>
        <v>422634.23309759999</v>
      </c>
      <c r="M490" s="24">
        <f t="shared" si="313"/>
        <v>407069.01058890007</v>
      </c>
      <c r="N490" s="24">
        <f t="shared" si="313"/>
        <v>452602.95897699997</v>
      </c>
      <c r="O490" s="24">
        <f t="shared" si="313"/>
        <v>431288.24071417149</v>
      </c>
      <c r="P490" s="24">
        <f t="shared" si="313"/>
        <v>420841.74551020004</v>
      </c>
      <c r="Q490" s="24">
        <f t="shared" si="313"/>
        <v>420398.56815569999</v>
      </c>
      <c r="R490" s="24">
        <f t="shared" si="313"/>
        <v>5187453.6551678171</v>
      </c>
    </row>
    <row r="491" spans="1:18" s="30" customFormat="1" x14ac:dyDescent="0.2">
      <c r="A491"/>
      <c r="B491"/>
      <c r="C491"/>
      <c r="D491"/>
      <c r="E491"/>
      <c r="F491" s="50"/>
      <c r="G491" s="50"/>
      <c r="H491"/>
      <c r="I491"/>
      <c r="J491"/>
      <c r="K491"/>
      <c r="L491"/>
      <c r="M491"/>
      <c r="N491"/>
      <c r="O491"/>
      <c r="P491"/>
      <c r="Q491"/>
      <c r="R491"/>
    </row>
    <row r="492" spans="1:18" s="30" customFormat="1" x14ac:dyDescent="0.2">
      <c r="A492" t="s">
        <v>305</v>
      </c>
      <c r="B492" t="s">
        <v>304</v>
      </c>
      <c r="C492"/>
      <c r="D492"/>
      <c r="E492"/>
      <c r="F492" s="40">
        <f t="shared" ref="F492:N492" si="314">F486</f>
        <v>2996.5799920000004</v>
      </c>
      <c r="G492" s="40">
        <f t="shared" si="314"/>
        <v>3300.7448530000001</v>
      </c>
      <c r="H492" s="40">
        <f t="shared" si="314"/>
        <v>3241.9240490000002</v>
      </c>
      <c r="I492" s="40">
        <f t="shared" si="314"/>
        <v>3588.8408079999995</v>
      </c>
      <c r="J492" s="40">
        <f t="shared" si="314"/>
        <v>3134.7391740000003</v>
      </c>
      <c r="K492" s="40">
        <f t="shared" si="314"/>
        <v>3216.6822379999999</v>
      </c>
      <c r="L492" s="40">
        <f t="shared" si="314"/>
        <v>3124.5431840000001</v>
      </c>
      <c r="M492" s="40">
        <f t="shared" si="314"/>
        <v>2881.7398120000003</v>
      </c>
      <c r="N492" s="40">
        <f t="shared" si="314"/>
        <v>3410.0365389999997</v>
      </c>
      <c r="O492" s="40">
        <f t="shared" ref="O492:Q492" si="315">O486</f>
        <v>3023.955774</v>
      </c>
      <c r="P492" s="40">
        <f t="shared" si="315"/>
        <v>2979.7371590000002</v>
      </c>
      <c r="Q492" s="40">
        <f t="shared" si="315"/>
        <v>2963.6477569999997</v>
      </c>
      <c r="R492" s="23">
        <f>SUM(F492:Q492)</f>
        <v>37863.171339000008</v>
      </c>
    </row>
    <row r="493" spans="1:18" s="30" customFormat="1" x14ac:dyDescent="0.2"/>
    <row r="494" spans="1:18" s="30" customFormat="1" x14ac:dyDescent="0.2">
      <c r="B494" s="29" t="s">
        <v>89</v>
      </c>
      <c r="C494" s="29"/>
    </row>
    <row r="495" spans="1:18" s="30" customFormat="1" x14ac:dyDescent="0.2">
      <c r="A495"/>
      <c r="B495" s="15" t="s">
        <v>7</v>
      </c>
      <c r="C495" s="1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</row>
    <row r="496" spans="1:18" s="30" customFormat="1" x14ac:dyDescent="0.2">
      <c r="A496"/>
      <c r="B496" t="s">
        <v>282</v>
      </c>
      <c r="C496"/>
      <c r="D496" s="21">
        <v>86</v>
      </c>
      <c r="E496" t="s">
        <v>5</v>
      </c>
      <c r="F496" s="159">
        <f>'Rate Design Int &amp; Trans'!$H$73</f>
        <v>139.36000000000001</v>
      </c>
      <c r="G496" s="159">
        <f>'Rate Design Int &amp; Trans'!$H$73</f>
        <v>139.36000000000001</v>
      </c>
      <c r="H496" s="159">
        <f>'Rate Design Int &amp; Trans'!$H$73</f>
        <v>139.36000000000001</v>
      </c>
      <c r="I496" s="159">
        <f>'Rate Design Int &amp; Trans'!$H$73</f>
        <v>139.36000000000001</v>
      </c>
      <c r="J496" s="159">
        <f>'Rate Design Int &amp; Trans'!$H$73</f>
        <v>139.36000000000001</v>
      </c>
      <c r="K496" s="159">
        <f>'Rate Design Int &amp; Trans'!$H$73</f>
        <v>139.36000000000001</v>
      </c>
      <c r="L496" s="159">
        <f>'Rate Design Int &amp; Trans'!$H$73</f>
        <v>139.36000000000001</v>
      </c>
      <c r="M496" s="159">
        <f>'Rate Design Int &amp; Trans'!$H$73</f>
        <v>139.36000000000001</v>
      </c>
      <c r="N496" s="159">
        <f>'Rate Design Int &amp; Trans'!$H$73</f>
        <v>139.36000000000001</v>
      </c>
      <c r="O496" s="159">
        <f>'Rate Design Int &amp; Trans'!$H$73</f>
        <v>139.36000000000001</v>
      </c>
      <c r="P496" s="159">
        <f>'Rate Design Int &amp; Trans'!$H$73</f>
        <v>139.36000000000001</v>
      </c>
      <c r="Q496" s="159">
        <f>'Rate Design Int &amp; Trans'!$H$73</f>
        <v>139.36000000000001</v>
      </c>
      <c r="R496" s="26"/>
    </row>
    <row r="497" spans="1:18" s="30" customFormat="1" x14ac:dyDescent="0.2">
      <c r="A497"/>
      <c r="B497" t="s">
        <v>3</v>
      </c>
      <c r="C497"/>
      <c r="D497"/>
      <c r="E497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20"/>
    </row>
    <row r="498" spans="1:18" s="30" customFormat="1" x14ac:dyDescent="0.2">
      <c r="A498"/>
      <c r="B498"/>
      <c r="C498" t="s">
        <v>59</v>
      </c>
      <c r="D498" s="21">
        <v>86</v>
      </c>
      <c r="E498" t="s">
        <v>6</v>
      </c>
      <c r="F498" s="160">
        <f>'Rate Design Int &amp; Trans'!$H$79</f>
        <v>0.19273999999999999</v>
      </c>
      <c r="G498" s="160">
        <f>'Rate Design Int &amp; Trans'!$H$79</f>
        <v>0.19273999999999999</v>
      </c>
      <c r="H498" s="160">
        <f>'Rate Design Int &amp; Trans'!$H$79</f>
        <v>0.19273999999999999</v>
      </c>
      <c r="I498" s="160">
        <f>'Rate Design Int &amp; Trans'!$H$79</f>
        <v>0.19273999999999999</v>
      </c>
      <c r="J498" s="160">
        <f>'Rate Design Int &amp; Trans'!$H$79</f>
        <v>0.19273999999999999</v>
      </c>
      <c r="K498" s="160">
        <f>'Rate Design Int &amp; Trans'!$H$79</f>
        <v>0.19273999999999999</v>
      </c>
      <c r="L498" s="160">
        <f>'Rate Design Int &amp; Trans'!$H$79</f>
        <v>0.19273999999999999</v>
      </c>
      <c r="M498" s="160">
        <f>'Rate Design Int &amp; Trans'!$H$79</f>
        <v>0.19273999999999999</v>
      </c>
      <c r="N498" s="160">
        <f>'Rate Design Int &amp; Trans'!$H$79</f>
        <v>0.19273999999999999</v>
      </c>
      <c r="O498" s="160">
        <f>'Rate Design Int &amp; Trans'!$H$79</f>
        <v>0.19273999999999999</v>
      </c>
      <c r="P498" s="160">
        <f>'Rate Design Int &amp; Trans'!$H$79</f>
        <v>0.19273999999999999</v>
      </c>
      <c r="Q498" s="160">
        <f>'Rate Design Int &amp; Trans'!$H$79</f>
        <v>0.19273999999999999</v>
      </c>
      <c r="R498" s="20"/>
    </row>
    <row r="499" spans="1:18" s="30" customFormat="1" x14ac:dyDescent="0.2">
      <c r="A499"/>
      <c r="B499"/>
      <c r="C499" t="s">
        <v>60</v>
      </c>
      <c r="D499" s="21">
        <v>86</v>
      </c>
      <c r="E499" t="s">
        <v>6</v>
      </c>
      <c r="F499" s="160">
        <f>'Rate Design Int &amp; Trans'!$H$80</f>
        <v>0.13664000000000001</v>
      </c>
      <c r="G499" s="160">
        <f>'Rate Design Int &amp; Trans'!$H$80</f>
        <v>0.13664000000000001</v>
      </c>
      <c r="H499" s="160">
        <f>'Rate Design Int &amp; Trans'!$H$80</f>
        <v>0.13664000000000001</v>
      </c>
      <c r="I499" s="160">
        <f>'Rate Design Int &amp; Trans'!$H$80</f>
        <v>0.13664000000000001</v>
      </c>
      <c r="J499" s="160">
        <f>'Rate Design Int &amp; Trans'!$H$80</f>
        <v>0.13664000000000001</v>
      </c>
      <c r="K499" s="160">
        <f>'Rate Design Int &amp; Trans'!$H$80</f>
        <v>0.13664000000000001</v>
      </c>
      <c r="L499" s="160">
        <f>'Rate Design Int &amp; Trans'!$H$80</f>
        <v>0.13664000000000001</v>
      </c>
      <c r="M499" s="160">
        <f>'Rate Design Int &amp; Trans'!$H$80</f>
        <v>0.13664000000000001</v>
      </c>
      <c r="N499" s="160">
        <f>'Rate Design Int &amp; Trans'!$H$80</f>
        <v>0.13664000000000001</v>
      </c>
      <c r="O499" s="160">
        <f>'Rate Design Int &amp; Trans'!$H$80</f>
        <v>0.13664000000000001</v>
      </c>
      <c r="P499" s="160">
        <f>'Rate Design Int &amp; Trans'!$H$80</f>
        <v>0.13664000000000001</v>
      </c>
      <c r="Q499" s="160">
        <f>'Rate Design Int &amp; Trans'!$H$80</f>
        <v>0.13664000000000001</v>
      </c>
      <c r="R499" s="20"/>
    </row>
    <row r="500" spans="1:18" s="30" customFormat="1" x14ac:dyDescent="0.2">
      <c r="A500"/>
      <c r="B500" t="s">
        <v>303</v>
      </c>
      <c r="C500"/>
      <c r="D500">
        <v>101</v>
      </c>
      <c r="E500" t="s">
        <v>6</v>
      </c>
      <c r="F500" s="182">
        <v>0.26795999999999998</v>
      </c>
      <c r="G500" s="182">
        <v>0.26795999999999998</v>
      </c>
      <c r="H500" s="182">
        <v>0.26795999999999998</v>
      </c>
      <c r="I500" s="182">
        <v>0.26795999999999998</v>
      </c>
      <c r="J500" s="182">
        <v>0.26795999999999998</v>
      </c>
      <c r="K500" s="182">
        <v>0.26795999999999998</v>
      </c>
      <c r="L500" s="182">
        <v>0.26795999999999998</v>
      </c>
      <c r="M500" s="182">
        <v>0.26795999999999998</v>
      </c>
      <c r="N500" s="182">
        <v>0.26795999999999998</v>
      </c>
      <c r="O500" s="182">
        <v>0.26795999999999998</v>
      </c>
      <c r="P500" s="182">
        <v>0.26795999999999998</v>
      </c>
      <c r="Q500" s="182">
        <v>0.26795999999999998</v>
      </c>
      <c r="R500" s="20"/>
    </row>
    <row r="501" spans="1:18" s="30" customFormat="1" x14ac:dyDescent="0.2">
      <c r="B501" s="30" t="s">
        <v>61</v>
      </c>
      <c r="D501" s="47">
        <v>86</v>
      </c>
      <c r="E501" s="30" t="s">
        <v>6</v>
      </c>
      <c r="F501" s="160">
        <f>'Rate Design Int &amp; Trans'!$H$75</f>
        <v>9.0699999999999999E-3</v>
      </c>
      <c r="G501" s="160">
        <f>'Rate Design Int &amp; Trans'!$H$75</f>
        <v>9.0699999999999999E-3</v>
      </c>
      <c r="H501" s="160">
        <f>'Rate Design Int &amp; Trans'!$H$75</f>
        <v>9.0699999999999999E-3</v>
      </c>
      <c r="I501" s="160">
        <f>'Rate Design Int &amp; Trans'!$H$75</f>
        <v>9.0699999999999999E-3</v>
      </c>
      <c r="J501" s="160">
        <f>'Rate Design Int &amp; Trans'!$H$75</f>
        <v>9.0699999999999999E-3</v>
      </c>
      <c r="K501" s="160">
        <f>'Rate Design Int &amp; Trans'!$H$75</f>
        <v>9.0699999999999999E-3</v>
      </c>
      <c r="L501" s="160">
        <f>'Rate Design Int &amp; Trans'!$H$75</f>
        <v>9.0699999999999999E-3</v>
      </c>
      <c r="M501" s="160">
        <f>'Rate Design Int &amp; Trans'!$H$75</f>
        <v>9.0699999999999999E-3</v>
      </c>
      <c r="N501" s="160">
        <f>'Rate Design Int &amp; Trans'!$H$75</f>
        <v>9.0699999999999999E-3</v>
      </c>
      <c r="O501" s="160">
        <f>'Rate Design Int &amp; Trans'!$H$75</f>
        <v>9.0699999999999999E-3</v>
      </c>
      <c r="P501" s="160">
        <f>'Rate Design Int &amp; Trans'!$H$75</f>
        <v>9.0699999999999999E-3</v>
      </c>
      <c r="Q501" s="160">
        <f>'Rate Design Int &amp; Trans'!$H$75</f>
        <v>9.0699999999999999E-3</v>
      </c>
      <c r="R501" s="65"/>
    </row>
    <row r="502" spans="1:18" s="30" customFormat="1" x14ac:dyDescent="0.2">
      <c r="B502" s="30" t="s">
        <v>550</v>
      </c>
      <c r="D502" s="47">
        <v>149</v>
      </c>
      <c r="E502" s="30" t="s">
        <v>6</v>
      </c>
      <c r="F502" s="182">
        <v>4.15E-3</v>
      </c>
      <c r="G502" s="182">
        <v>4.15E-3</v>
      </c>
      <c r="H502" s="182">
        <v>4.15E-3</v>
      </c>
      <c r="I502" s="182">
        <v>4.15E-3</v>
      </c>
      <c r="J502" s="182">
        <v>4.15E-3</v>
      </c>
      <c r="K502" s="182">
        <v>4.15E-3</v>
      </c>
      <c r="L502" s="182">
        <v>4.15E-3</v>
      </c>
      <c r="M502" s="182">
        <v>4.15E-3</v>
      </c>
      <c r="N502" s="182">
        <v>4.15E-3</v>
      </c>
      <c r="O502" s="182">
        <v>4.15E-3</v>
      </c>
      <c r="P502" s="182">
        <v>4.15E-3</v>
      </c>
      <c r="Q502" s="182">
        <v>4.15E-3</v>
      </c>
      <c r="R502" s="65"/>
    </row>
    <row r="503" spans="1:18" s="30" customFormat="1" x14ac:dyDescent="0.2">
      <c r="B503" s="30" t="s">
        <v>18</v>
      </c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65"/>
    </row>
    <row r="504" spans="1:18" s="30" customFormat="1" x14ac:dyDescent="0.2">
      <c r="C504" s="30" t="s">
        <v>19</v>
      </c>
      <c r="D504" s="30">
        <v>86</v>
      </c>
      <c r="E504" s="30" t="s">
        <v>6</v>
      </c>
      <c r="F504" s="159">
        <f>'Rate Design Int &amp; Trans'!$H$74</f>
        <v>1.22</v>
      </c>
      <c r="G504" s="159">
        <f>'Rate Design Int &amp; Trans'!$H$74</f>
        <v>1.22</v>
      </c>
      <c r="H504" s="159">
        <f>'Rate Design Int &amp; Trans'!$H$74</f>
        <v>1.22</v>
      </c>
      <c r="I504" s="159">
        <f>'Rate Design Int &amp; Trans'!$H$74</f>
        <v>1.22</v>
      </c>
      <c r="J504" s="159">
        <f>'Rate Design Int &amp; Trans'!$H$74</f>
        <v>1.22</v>
      </c>
      <c r="K504" s="159">
        <f>'Rate Design Int &amp; Trans'!$H$74</f>
        <v>1.22</v>
      </c>
      <c r="L504" s="159">
        <f>'Rate Design Int &amp; Trans'!$H$74</f>
        <v>1.22</v>
      </c>
      <c r="M504" s="159">
        <f>'Rate Design Int &amp; Trans'!$H$74</f>
        <v>1.22</v>
      </c>
      <c r="N504" s="159">
        <f>'Rate Design Int &amp; Trans'!$H$74</f>
        <v>1.22</v>
      </c>
      <c r="O504" s="159">
        <f>'Rate Design Int &amp; Trans'!$H$74</f>
        <v>1.22</v>
      </c>
      <c r="P504" s="159">
        <f>'Rate Design Int &amp; Trans'!$H$74</f>
        <v>1.22</v>
      </c>
      <c r="Q504" s="159">
        <f>'Rate Design Int &amp; Trans'!$H$74</f>
        <v>1.22</v>
      </c>
      <c r="R504" s="65"/>
    </row>
    <row r="505" spans="1:18" s="30" customFormat="1" x14ac:dyDescent="0.2">
      <c r="A505"/>
      <c r="C505" s="30" t="s">
        <v>20</v>
      </c>
      <c r="D505" s="30">
        <v>101</v>
      </c>
      <c r="E505" s="30" t="s">
        <v>6</v>
      </c>
      <c r="F505" s="183">
        <v>1.05</v>
      </c>
      <c r="G505" s="183">
        <v>1.05</v>
      </c>
      <c r="H505" s="183">
        <v>1.05</v>
      </c>
      <c r="I505" s="183">
        <v>1.05</v>
      </c>
      <c r="J505" s="183">
        <v>1.05</v>
      </c>
      <c r="K505" s="183">
        <v>1.05</v>
      </c>
      <c r="L505" s="183">
        <v>1.05</v>
      </c>
      <c r="M505" s="183">
        <v>1.05</v>
      </c>
      <c r="N505" s="183">
        <v>1.05</v>
      </c>
      <c r="O505" s="183">
        <v>1.05</v>
      </c>
      <c r="P505" s="183">
        <v>1.05</v>
      </c>
      <c r="Q505" s="183">
        <v>1.05</v>
      </c>
      <c r="R505" s="65"/>
    </row>
    <row r="506" spans="1:18" s="30" customFormat="1" x14ac:dyDescent="0.2">
      <c r="B506" s="30" t="s">
        <v>21</v>
      </c>
      <c r="D506" s="47">
        <v>86</v>
      </c>
      <c r="E506" s="30" t="s">
        <v>22</v>
      </c>
      <c r="F506" s="130"/>
      <c r="G506" s="130"/>
      <c r="H506" s="130"/>
      <c r="I506" s="130"/>
      <c r="J506" s="130"/>
      <c r="K506" s="130"/>
      <c r="L506" s="130"/>
      <c r="M506" s="130"/>
      <c r="N506" s="130"/>
      <c r="O506" s="130"/>
      <c r="P506" s="130"/>
      <c r="Q506" s="130"/>
      <c r="R506" s="65"/>
    </row>
    <row r="507" spans="1:18" s="30" customFormat="1" x14ac:dyDescent="0.2">
      <c r="B507" s="30" t="s">
        <v>304</v>
      </c>
      <c r="D507" s="47"/>
      <c r="F507" s="182">
        <v>0.25578000000000001</v>
      </c>
      <c r="G507" s="182">
        <v>0.25578000000000001</v>
      </c>
      <c r="H507" s="182">
        <v>0.25578000000000001</v>
      </c>
      <c r="I507" s="182">
        <v>0.25578000000000001</v>
      </c>
      <c r="J507" s="182">
        <v>0.25578000000000001</v>
      </c>
      <c r="K507" s="182">
        <v>0.25578000000000001</v>
      </c>
      <c r="L507" s="182">
        <v>0.25578000000000001</v>
      </c>
      <c r="M507" s="182">
        <v>0.25578000000000001</v>
      </c>
      <c r="N507" s="182">
        <v>0.25578000000000001</v>
      </c>
      <c r="O507" s="182">
        <v>0.25578000000000001</v>
      </c>
      <c r="P507" s="182">
        <v>0.25578000000000001</v>
      </c>
      <c r="Q507" s="182">
        <v>0.25578000000000001</v>
      </c>
      <c r="R507" s="65"/>
    </row>
    <row r="508" spans="1:18" s="30" customFormat="1" x14ac:dyDescent="0.2">
      <c r="B508" s="30" t="s">
        <v>310</v>
      </c>
      <c r="D508" s="47"/>
      <c r="F508" s="183">
        <v>1</v>
      </c>
      <c r="G508" s="183">
        <v>1</v>
      </c>
      <c r="H508" s="183">
        <v>1</v>
      </c>
      <c r="I508" s="183">
        <v>1</v>
      </c>
      <c r="J508" s="183">
        <v>1</v>
      </c>
      <c r="K508" s="183">
        <v>1</v>
      </c>
      <c r="L508" s="183">
        <v>1</v>
      </c>
      <c r="M508" s="183">
        <v>1</v>
      </c>
      <c r="N508" s="183">
        <v>1</v>
      </c>
      <c r="O508" s="183">
        <v>1</v>
      </c>
      <c r="P508" s="183">
        <v>1</v>
      </c>
      <c r="Q508" s="183">
        <v>1</v>
      </c>
      <c r="R508" s="65"/>
    </row>
    <row r="509" spans="1:18" s="30" customFormat="1" x14ac:dyDescent="0.2"/>
    <row r="510" spans="1:18" s="30" customFormat="1" x14ac:dyDescent="0.2">
      <c r="B510" s="29" t="s">
        <v>8</v>
      </c>
    </row>
    <row r="511" spans="1:18" s="30" customFormat="1" x14ac:dyDescent="0.2">
      <c r="B511" s="30" t="s">
        <v>22</v>
      </c>
      <c r="E511" s="30" t="s">
        <v>22</v>
      </c>
      <c r="F511" s="76">
        <f>'(R) Data'!C27</f>
        <v>225.0993511477011</v>
      </c>
      <c r="G511" s="76">
        <f>'(R) Data'!D27</f>
        <v>225.46549919765576</v>
      </c>
      <c r="H511" s="76">
        <f>'(R) Data'!E27</f>
        <v>215.11086304332656</v>
      </c>
      <c r="I511" s="76">
        <f>'(R) Data'!F27</f>
        <v>223.09404869880692</v>
      </c>
      <c r="J511" s="76">
        <f>'(R) Data'!G27</f>
        <v>212.5506174562199</v>
      </c>
      <c r="K511" s="76">
        <f>'(R) Data'!H27</f>
        <v>220.54810202637975</v>
      </c>
      <c r="L511" s="76">
        <f>'(R) Data'!I27</f>
        <v>221.02480064873632</v>
      </c>
      <c r="M511" s="76">
        <f>'(R) Data'!J27</f>
        <v>202.04635761589404</v>
      </c>
      <c r="N511" s="76">
        <f>'(R) Data'!K27</f>
        <v>229.08034869576969</v>
      </c>
      <c r="O511" s="76">
        <f>'(R) Data'!L27</f>
        <v>223.33720773077445</v>
      </c>
      <c r="P511" s="76">
        <f>'(R) Data'!M27</f>
        <v>221.29097301951776</v>
      </c>
      <c r="Q511" s="76">
        <f>'(R) Data'!N27</f>
        <v>210.97079506314577</v>
      </c>
      <c r="R511" s="107">
        <f>SUM(F511:Q511)</f>
        <v>2629.6189643439284</v>
      </c>
    </row>
    <row r="512" spans="1:18" s="30" customFormat="1" x14ac:dyDescent="0.2">
      <c r="B512" s="30" t="s">
        <v>30</v>
      </c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107"/>
    </row>
    <row r="513" spans="1:19" s="30" customFormat="1" x14ac:dyDescent="0.2">
      <c r="C513" s="30" t="s">
        <v>59</v>
      </c>
      <c r="E513" s="30" t="s">
        <v>10</v>
      </c>
      <c r="F513" s="161">
        <f>'(R) Therms By Block'!B65</f>
        <v>87597.444000000003</v>
      </c>
      <c r="G513" s="170">
        <f>'(R) Therms By Block'!C65</f>
        <v>84631.491999999998</v>
      </c>
      <c r="H513" s="170">
        <f>'(R) Therms By Block'!D65</f>
        <v>126225.602</v>
      </c>
      <c r="I513" s="170">
        <f>'(R) Therms By Block'!E65</f>
        <v>195108.80900000001</v>
      </c>
      <c r="J513" s="170">
        <f>'(R) Therms By Block'!F65</f>
        <v>201337.30300000001</v>
      </c>
      <c r="K513" s="170">
        <f>'(R) Therms By Block'!G65</f>
        <v>210305.31200000001</v>
      </c>
      <c r="L513" s="170">
        <f>'(R) Therms By Block'!H65</f>
        <v>210017.342</v>
      </c>
      <c r="M513" s="170">
        <f>'(R) Therms By Block'!I65</f>
        <v>192508.152</v>
      </c>
      <c r="N513" s="170">
        <f>'(R) Therms By Block'!J65</f>
        <v>216360.37599999999</v>
      </c>
      <c r="O513" s="170">
        <f>'(R) Therms By Block'!K65</f>
        <v>203989.42300000001</v>
      </c>
      <c r="P513" s="170">
        <f>'(R) Therms By Block'!L65</f>
        <v>163752.66</v>
      </c>
      <c r="Q513" s="170">
        <f>'(R) Therms By Block'!M65</f>
        <v>121940.942</v>
      </c>
      <c r="R513" s="107">
        <f>SUM(F513:Q513)</f>
        <v>2013774.8569999998</v>
      </c>
    </row>
    <row r="514" spans="1:19" s="30" customFormat="1" x14ac:dyDescent="0.2">
      <c r="C514" s="30" t="s">
        <v>60</v>
      </c>
      <c r="E514" s="30" t="s">
        <v>10</v>
      </c>
      <c r="F514" s="107">
        <f t="shared" ref="F514:N514" si="316">F515-F513</f>
        <v>121149.11199999998</v>
      </c>
      <c r="G514" s="107">
        <f t="shared" si="316"/>
        <v>108421.30499999999</v>
      </c>
      <c r="H514" s="107">
        <f t="shared" si="316"/>
        <v>194062.125</v>
      </c>
      <c r="I514" s="107">
        <f t="shared" si="316"/>
        <v>555854.17500000005</v>
      </c>
      <c r="J514" s="107">
        <f t="shared" si="316"/>
        <v>829237.08499999996</v>
      </c>
      <c r="K514" s="107">
        <f t="shared" si="316"/>
        <v>1072220.727</v>
      </c>
      <c r="L514" s="107">
        <f t="shared" si="316"/>
        <v>1048708.067</v>
      </c>
      <c r="M514" s="107">
        <f t="shared" si="316"/>
        <v>857230.8060000001</v>
      </c>
      <c r="N514" s="107">
        <f t="shared" si="316"/>
        <v>894232.78600000008</v>
      </c>
      <c r="O514" s="107">
        <f t="shared" ref="O514:Q514" si="317">O515-O513</f>
        <v>642308.30500000017</v>
      </c>
      <c r="P514" s="107">
        <f t="shared" si="317"/>
        <v>313486.36300000001</v>
      </c>
      <c r="Q514" s="107">
        <f t="shared" si="317"/>
        <v>185910.36200000002</v>
      </c>
      <c r="R514" s="107">
        <f>SUM(F514:Q514)</f>
        <v>6822821.2180000003</v>
      </c>
    </row>
    <row r="515" spans="1:19" s="30" customFormat="1" x14ac:dyDescent="0.2">
      <c r="C515" s="30" t="s">
        <v>17</v>
      </c>
      <c r="E515" s="30" t="s">
        <v>10</v>
      </c>
      <c r="F515" s="111">
        <f>'Weather Adj'!D177</f>
        <v>208746.55599999998</v>
      </c>
      <c r="G515" s="111">
        <f>'Weather Adj'!E177</f>
        <v>193052.79699999999</v>
      </c>
      <c r="H515" s="111">
        <f>'Weather Adj'!F177</f>
        <v>320287.72700000001</v>
      </c>
      <c r="I515" s="111">
        <f>'Weather Adj'!G177</f>
        <v>750962.98400000005</v>
      </c>
      <c r="J515" s="111">
        <f>'Weather Adj'!H177</f>
        <v>1030574.388</v>
      </c>
      <c r="K515" s="111">
        <f>'Weather Adj'!I177</f>
        <v>1282526.0389999999</v>
      </c>
      <c r="L515" s="111">
        <f>'Weather Adj'!J177</f>
        <v>1258725.409</v>
      </c>
      <c r="M515" s="111">
        <f>'Weather Adj'!K177</f>
        <v>1049738.9580000001</v>
      </c>
      <c r="N515" s="111">
        <f>'Weather Adj'!L177</f>
        <v>1110593.162</v>
      </c>
      <c r="O515" s="111">
        <f>'Weather Adj'!M177</f>
        <v>846297.72800000012</v>
      </c>
      <c r="P515" s="111">
        <f>'Weather Adj'!N177</f>
        <v>477239.02300000004</v>
      </c>
      <c r="Q515" s="111">
        <f>'Weather Adj'!O177</f>
        <v>307851.304</v>
      </c>
      <c r="R515" s="109">
        <f>SUM(R513:R514)</f>
        <v>8836596.0749999993</v>
      </c>
    </row>
    <row r="516" spans="1:19" s="30" customFormat="1" x14ac:dyDescent="0.2">
      <c r="B516" s="30" t="s">
        <v>29</v>
      </c>
      <c r="E516" s="30" t="s">
        <v>100</v>
      </c>
      <c r="F516" s="76">
        <f>'(R) Data'!C47</f>
        <v>6653.8180000000002</v>
      </c>
      <c r="G516" s="76">
        <f>'(R) Data'!D47</f>
        <v>6722.4350000000004</v>
      </c>
      <c r="H516" s="76">
        <f>'(R) Data'!E47</f>
        <v>6371.8159999999998</v>
      </c>
      <c r="I516" s="76">
        <f>'(R) Data'!F47</f>
        <v>6929.2560000000003</v>
      </c>
      <c r="J516" s="76">
        <f>'(R) Data'!G47</f>
        <v>6788.3680000000004</v>
      </c>
      <c r="K516" s="76">
        <f>'(R) Data'!H47</f>
        <v>6850.5789999999997</v>
      </c>
      <c r="L516" s="76">
        <f>'(R) Data'!I47</f>
        <v>6691.5240000000003</v>
      </c>
      <c r="M516" s="76">
        <f>'(R) Data'!J47</f>
        <v>6174.0619999999999</v>
      </c>
      <c r="N516" s="76">
        <f>'(R) Data'!K47</f>
        <v>7285.4610000000002</v>
      </c>
      <c r="O516" s="76">
        <f>'(R) Data'!L47</f>
        <v>6868.29</v>
      </c>
      <c r="P516" s="76">
        <f>'(R) Data'!M47</f>
        <v>6677.3860000000004</v>
      </c>
      <c r="Q516" s="76">
        <f>'(R) Data'!N47</f>
        <v>6560.8559999999998</v>
      </c>
      <c r="R516" s="107">
        <f>SUM(F516:Q516)</f>
        <v>80573.850999999995</v>
      </c>
    </row>
    <row r="517" spans="1:19" s="30" customFormat="1" x14ac:dyDescent="0.2">
      <c r="B517" s="30" t="s">
        <v>21</v>
      </c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107"/>
    </row>
    <row r="518" spans="1:19" s="30" customFormat="1" x14ac:dyDescent="0.2">
      <c r="R518" s="96"/>
    </row>
    <row r="519" spans="1:19" s="30" customFormat="1" x14ac:dyDescent="0.2">
      <c r="B519" s="29" t="s">
        <v>9</v>
      </c>
      <c r="R519" s="96"/>
    </row>
    <row r="520" spans="1:19" s="30" customFormat="1" x14ac:dyDescent="0.2">
      <c r="A520" s="30" t="s">
        <v>147</v>
      </c>
      <c r="B520" s="30" t="s">
        <v>282</v>
      </c>
      <c r="D520" s="30">
        <v>86</v>
      </c>
      <c r="F520" s="34">
        <f t="shared" ref="F520:N520" si="318">F496*F511</f>
        <v>31369.845575943629</v>
      </c>
      <c r="G520" s="34">
        <f t="shared" si="318"/>
        <v>31420.871968185311</v>
      </c>
      <c r="H520" s="34">
        <f t="shared" si="318"/>
        <v>29977.849873717991</v>
      </c>
      <c r="I520" s="34">
        <f t="shared" si="318"/>
        <v>31090.386626665735</v>
      </c>
      <c r="J520" s="34">
        <f t="shared" si="318"/>
        <v>29621.054048698807</v>
      </c>
      <c r="K520" s="34">
        <f t="shared" si="318"/>
        <v>30735.583498396285</v>
      </c>
      <c r="L520" s="34">
        <f t="shared" si="318"/>
        <v>30802.016218407894</v>
      </c>
      <c r="M520" s="34">
        <f t="shared" si="318"/>
        <v>28157.180397350996</v>
      </c>
      <c r="N520" s="34">
        <f t="shared" si="318"/>
        <v>31924.637394242465</v>
      </c>
      <c r="O520" s="34">
        <f t="shared" ref="O520:Q520" si="319">O496*O511</f>
        <v>31124.273269360732</v>
      </c>
      <c r="P520" s="34">
        <f t="shared" si="319"/>
        <v>30839.109999999997</v>
      </c>
      <c r="Q520" s="34">
        <f t="shared" si="319"/>
        <v>29400.89</v>
      </c>
      <c r="R520" s="70">
        <f>SUM(F520:Q520)</f>
        <v>366463.69887096982</v>
      </c>
    </row>
    <row r="521" spans="1:19" s="30" customFormat="1" x14ac:dyDescent="0.2">
      <c r="A521"/>
      <c r="B521" t="s">
        <v>3</v>
      </c>
      <c r="C521"/>
      <c r="D521"/>
      <c r="E521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100"/>
    </row>
    <row r="522" spans="1:19" s="30" customFormat="1" x14ac:dyDescent="0.2">
      <c r="A522"/>
      <c r="B522"/>
      <c r="C522" t="s">
        <v>59</v>
      </c>
      <c r="D522">
        <v>86</v>
      </c>
      <c r="E522"/>
      <c r="F522" s="23">
        <f t="shared" ref="F522:N522" si="320">F498*F513</f>
        <v>16883.531356560001</v>
      </c>
      <c r="G522" s="23">
        <f t="shared" si="320"/>
        <v>16311.873768079999</v>
      </c>
      <c r="H522" s="23">
        <f t="shared" si="320"/>
        <v>24328.722529479997</v>
      </c>
      <c r="I522" s="23">
        <f t="shared" si="320"/>
        <v>37605.271846659998</v>
      </c>
      <c r="J522" s="23">
        <f t="shared" si="320"/>
        <v>38805.751780220002</v>
      </c>
      <c r="K522" s="23">
        <f t="shared" si="320"/>
        <v>40534.245834879999</v>
      </c>
      <c r="L522" s="23">
        <f t="shared" si="320"/>
        <v>40478.742497079998</v>
      </c>
      <c r="M522" s="23">
        <f t="shared" si="320"/>
        <v>37104.021216479996</v>
      </c>
      <c r="N522" s="23">
        <f t="shared" si="320"/>
        <v>41701.298870239996</v>
      </c>
      <c r="O522" s="23">
        <f t="shared" ref="O522:Q522" si="321">O498*O513</f>
        <v>39316.921389020004</v>
      </c>
      <c r="P522" s="23">
        <f t="shared" si="321"/>
        <v>31561.687688400001</v>
      </c>
      <c r="Q522" s="23">
        <f t="shared" si="321"/>
        <v>23502.89716108</v>
      </c>
      <c r="R522" s="100">
        <f>SUM(F522:Q522)</f>
        <v>388134.96593817993</v>
      </c>
    </row>
    <row r="523" spans="1:19" s="30" customFormat="1" x14ac:dyDescent="0.2">
      <c r="A523"/>
      <c r="B523"/>
      <c r="C523" t="s">
        <v>60</v>
      </c>
      <c r="D523">
        <v>86</v>
      </c>
      <c r="E523"/>
      <c r="F523" s="23">
        <f t="shared" ref="F523:N523" si="322">F499*F514</f>
        <v>16553.814663679997</v>
      </c>
      <c r="G523" s="23">
        <f t="shared" si="322"/>
        <v>14814.6871152</v>
      </c>
      <c r="H523" s="23">
        <f t="shared" si="322"/>
        <v>26516.648760000004</v>
      </c>
      <c r="I523" s="23">
        <f t="shared" si="322"/>
        <v>75951.914472000019</v>
      </c>
      <c r="J523" s="23">
        <f t="shared" si="322"/>
        <v>113306.9552944</v>
      </c>
      <c r="K523" s="23">
        <f t="shared" si="322"/>
        <v>146508.24013727999</v>
      </c>
      <c r="L523" s="23">
        <f t="shared" si="322"/>
        <v>143295.47027488</v>
      </c>
      <c r="M523" s="23">
        <f t="shared" si="322"/>
        <v>117132.01733184002</v>
      </c>
      <c r="N523" s="23">
        <f t="shared" si="322"/>
        <v>122187.96787904002</v>
      </c>
      <c r="O523" s="23">
        <f t="shared" ref="O523:Q523" si="323">O499*O514</f>
        <v>87765.006795200024</v>
      </c>
      <c r="P523" s="23">
        <f t="shared" si="323"/>
        <v>42834.776640320008</v>
      </c>
      <c r="Q523" s="23">
        <f t="shared" si="323"/>
        <v>25402.791863680006</v>
      </c>
      <c r="R523" s="100">
        <f>SUM(F523:Q523)</f>
        <v>932270.29122751998</v>
      </c>
    </row>
    <row r="524" spans="1:19" s="30" customFormat="1" x14ac:dyDescent="0.2">
      <c r="A524" t="s">
        <v>147</v>
      </c>
      <c r="B524"/>
      <c r="C524" t="s">
        <v>26</v>
      </c>
      <c r="D524"/>
      <c r="E524"/>
      <c r="F524" s="24">
        <f t="shared" ref="F524:N524" si="324">SUM(F522:F523)</f>
        <v>33437.346020240002</v>
      </c>
      <c r="G524" s="24">
        <f t="shared" si="324"/>
        <v>31126.560883279999</v>
      </c>
      <c r="H524" s="24">
        <f t="shared" si="324"/>
        <v>50845.371289479997</v>
      </c>
      <c r="I524" s="24">
        <f t="shared" si="324"/>
        <v>113557.18631866001</v>
      </c>
      <c r="J524" s="24">
        <f t="shared" si="324"/>
        <v>152112.70707462</v>
      </c>
      <c r="K524" s="24">
        <f t="shared" si="324"/>
        <v>187042.48597216001</v>
      </c>
      <c r="L524" s="24">
        <f t="shared" si="324"/>
        <v>183774.21277196001</v>
      </c>
      <c r="M524" s="24">
        <f t="shared" si="324"/>
        <v>154236.03854832001</v>
      </c>
      <c r="N524" s="24">
        <f t="shared" si="324"/>
        <v>163889.26674928001</v>
      </c>
      <c r="O524" s="24">
        <f t="shared" ref="O524:Q524" si="325">SUM(O522:O523)</f>
        <v>127081.92818422003</v>
      </c>
      <c r="P524" s="24">
        <f t="shared" si="325"/>
        <v>74396.464328720002</v>
      </c>
      <c r="Q524" s="24">
        <f t="shared" si="325"/>
        <v>48905.689024760009</v>
      </c>
      <c r="R524" s="24">
        <f>SUM(R522:R523)</f>
        <v>1320405.2571657</v>
      </c>
    </row>
    <row r="525" spans="1:19" x14ac:dyDescent="0.2">
      <c r="A525" s="30" t="s">
        <v>130</v>
      </c>
      <c r="B525" t="s">
        <v>306</v>
      </c>
      <c r="D525">
        <v>101</v>
      </c>
      <c r="F525" s="40">
        <f t="shared" ref="F525:N525" si="326">F500*F515</f>
        <v>55935.727145759993</v>
      </c>
      <c r="G525" s="40">
        <f t="shared" si="326"/>
        <v>51730.427484119995</v>
      </c>
      <c r="H525" s="40">
        <f t="shared" si="326"/>
        <v>85824.299326919994</v>
      </c>
      <c r="I525" s="40">
        <f t="shared" si="326"/>
        <v>201228.04119264</v>
      </c>
      <c r="J525" s="36">
        <f t="shared" si="326"/>
        <v>276152.71300847997</v>
      </c>
      <c r="K525" s="40">
        <f t="shared" si="326"/>
        <v>343665.67741043994</v>
      </c>
      <c r="L525" s="40">
        <f t="shared" si="326"/>
        <v>337288.06059563998</v>
      </c>
      <c r="M525" s="40">
        <f t="shared" si="326"/>
        <v>281288.05118568003</v>
      </c>
      <c r="N525" s="40">
        <f t="shared" si="326"/>
        <v>297594.54368951998</v>
      </c>
      <c r="O525" s="40">
        <f t="shared" ref="O525:Q525" si="327">O500*O515</f>
        <v>226773.93919488002</v>
      </c>
      <c r="P525" s="40">
        <f t="shared" si="327"/>
        <v>127880.96860308001</v>
      </c>
      <c r="Q525" s="40">
        <f t="shared" si="327"/>
        <v>82491.83541983999</v>
      </c>
      <c r="R525" s="97">
        <f>SUM(F525:Q525)</f>
        <v>2367854.2842570003</v>
      </c>
      <c r="S525"/>
    </row>
    <row r="526" spans="1:19" x14ac:dyDescent="0.2">
      <c r="A526" t="s">
        <v>147</v>
      </c>
      <c r="B526" t="s">
        <v>61</v>
      </c>
      <c r="D526" s="21"/>
      <c r="F526" s="40">
        <f t="shared" ref="F526:N526" si="328">F501*F515</f>
        <v>1893.3312629199997</v>
      </c>
      <c r="G526" s="40">
        <f t="shared" si="328"/>
        <v>1750.98886879</v>
      </c>
      <c r="H526" s="40">
        <f t="shared" si="328"/>
        <v>2905.0096838899999</v>
      </c>
      <c r="I526" s="40">
        <f t="shared" si="328"/>
        <v>6811.2342648800004</v>
      </c>
      <c r="J526" s="40">
        <f t="shared" si="328"/>
        <v>9347.3096991599996</v>
      </c>
      <c r="K526" s="40">
        <f t="shared" si="328"/>
        <v>11632.511173729999</v>
      </c>
      <c r="L526" s="40">
        <f t="shared" si="328"/>
        <v>11416.63945963</v>
      </c>
      <c r="M526" s="40">
        <f t="shared" si="328"/>
        <v>9521.1323490600007</v>
      </c>
      <c r="N526" s="40">
        <f t="shared" si="328"/>
        <v>10073.07997934</v>
      </c>
      <c r="O526" s="40">
        <f t="shared" ref="O526:Q526" si="329">O501*O515</f>
        <v>7675.9203929600008</v>
      </c>
      <c r="P526" s="40">
        <f t="shared" si="329"/>
        <v>4328.5579386100007</v>
      </c>
      <c r="Q526" s="40">
        <f t="shared" si="329"/>
        <v>2792.2113272800002</v>
      </c>
      <c r="R526" s="40">
        <f>SUM(F526:Q526)</f>
        <v>80147.926400249999</v>
      </c>
      <c r="S526"/>
    </row>
    <row r="527" spans="1:19" x14ac:dyDescent="0.2">
      <c r="A527" t="s">
        <v>551</v>
      </c>
      <c r="B527" t="s">
        <v>552</v>
      </c>
      <c r="D527" s="21">
        <v>149</v>
      </c>
      <c r="F527" s="40">
        <f>F502*F515</f>
        <v>866.29820739999991</v>
      </c>
      <c r="G527" s="40">
        <f t="shared" ref="G527:Q527" si="330">G502*G515</f>
        <v>801.16910754999992</v>
      </c>
      <c r="H527" s="40">
        <f t="shared" si="330"/>
        <v>1329.1940670500001</v>
      </c>
      <c r="I527" s="40">
        <f t="shared" si="330"/>
        <v>3116.4963836000002</v>
      </c>
      <c r="J527" s="40">
        <f t="shared" si="330"/>
        <v>4276.8837101999998</v>
      </c>
      <c r="K527" s="40">
        <f t="shared" si="330"/>
        <v>5322.4830618499991</v>
      </c>
      <c r="L527" s="40">
        <f t="shared" si="330"/>
        <v>5223.7104473500003</v>
      </c>
      <c r="M527" s="40">
        <f t="shared" si="330"/>
        <v>4356.4166757000003</v>
      </c>
      <c r="N527" s="40">
        <f t="shared" si="330"/>
        <v>4608.9616223000003</v>
      </c>
      <c r="O527" s="40">
        <f t="shared" si="330"/>
        <v>3512.1355712000004</v>
      </c>
      <c r="P527" s="40">
        <f t="shared" si="330"/>
        <v>1980.5419454500002</v>
      </c>
      <c r="Q527" s="40">
        <f t="shared" si="330"/>
        <v>1277.5829116</v>
      </c>
      <c r="R527" s="40">
        <f>SUM(F527:Q527)</f>
        <v>36671.873711250009</v>
      </c>
      <c r="S527"/>
    </row>
    <row r="528" spans="1:19" s="30" customFormat="1" x14ac:dyDescent="0.2">
      <c r="A528"/>
      <c r="B528" t="s">
        <v>18</v>
      </c>
      <c r="C528"/>
      <c r="D528"/>
      <c r="E528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100"/>
    </row>
    <row r="529" spans="1:18" s="30" customFormat="1" x14ac:dyDescent="0.2">
      <c r="A529" t="s">
        <v>147</v>
      </c>
      <c r="B529"/>
      <c r="C529" t="s">
        <v>19</v>
      </c>
      <c r="D529">
        <v>86</v>
      </c>
      <c r="E529"/>
      <c r="F529" s="23">
        <f t="shared" ref="F529:N529" si="331">F504*F516</f>
        <v>8117.6579600000005</v>
      </c>
      <c r="G529" s="23">
        <f t="shared" si="331"/>
        <v>8201.3706999999995</v>
      </c>
      <c r="H529" s="23">
        <f t="shared" si="331"/>
        <v>7773.6155199999994</v>
      </c>
      <c r="I529" s="23">
        <f t="shared" si="331"/>
        <v>8453.6923200000001</v>
      </c>
      <c r="J529" s="23">
        <f t="shared" si="331"/>
        <v>8281.8089600000003</v>
      </c>
      <c r="K529" s="23">
        <f t="shared" si="331"/>
        <v>8357.7063799999996</v>
      </c>
      <c r="L529" s="23">
        <f t="shared" si="331"/>
        <v>8163.6592799999999</v>
      </c>
      <c r="M529" s="23">
        <f t="shared" si="331"/>
        <v>7532.3556399999998</v>
      </c>
      <c r="N529" s="23">
        <f t="shared" si="331"/>
        <v>8888.2624200000009</v>
      </c>
      <c r="O529" s="23">
        <f t="shared" ref="O529:Q529" si="332">O504*O516</f>
        <v>8379.3137999999999</v>
      </c>
      <c r="P529" s="23">
        <f t="shared" si="332"/>
        <v>8146.4109200000003</v>
      </c>
      <c r="Q529" s="23">
        <f t="shared" si="332"/>
        <v>8004.2443199999998</v>
      </c>
      <c r="R529" s="100">
        <f>SUM(F529:Q529)</f>
        <v>98300.09822</v>
      </c>
    </row>
    <row r="530" spans="1:18" s="30" customFormat="1" x14ac:dyDescent="0.2">
      <c r="A530" s="30" t="s">
        <v>130</v>
      </c>
      <c r="C530" s="30" t="s">
        <v>20</v>
      </c>
      <c r="D530" s="30">
        <v>101</v>
      </c>
      <c r="F530" s="34">
        <f t="shared" ref="F530:N530" si="333">F505*F516</f>
        <v>6986.5089000000007</v>
      </c>
      <c r="G530" s="34">
        <f t="shared" si="333"/>
        <v>7058.5567500000006</v>
      </c>
      <c r="H530" s="34">
        <f t="shared" si="333"/>
        <v>6690.4067999999997</v>
      </c>
      <c r="I530" s="34">
        <f t="shared" si="333"/>
        <v>7275.7188000000006</v>
      </c>
      <c r="J530" s="34">
        <f t="shared" si="333"/>
        <v>7127.7864000000009</v>
      </c>
      <c r="K530" s="34">
        <f t="shared" si="333"/>
        <v>7193.1079499999996</v>
      </c>
      <c r="L530" s="34">
        <f t="shared" si="333"/>
        <v>7026.1002000000008</v>
      </c>
      <c r="M530" s="34">
        <f t="shared" si="333"/>
        <v>6482.7651000000005</v>
      </c>
      <c r="N530" s="34">
        <f t="shared" si="333"/>
        <v>7649.7340500000009</v>
      </c>
      <c r="O530" s="34">
        <f t="shared" ref="O530:Q530" si="334">O505*O516</f>
        <v>7211.7044999999998</v>
      </c>
      <c r="P530" s="34">
        <f t="shared" si="334"/>
        <v>7011.2553000000007</v>
      </c>
      <c r="Q530" s="34">
        <f t="shared" si="334"/>
        <v>6888.8987999999999</v>
      </c>
      <c r="R530" s="70">
        <f>SUM(F530:Q530)</f>
        <v>84602.543549999988</v>
      </c>
    </row>
    <row r="531" spans="1:18" s="30" customFormat="1" x14ac:dyDescent="0.2">
      <c r="C531" s="30" t="s">
        <v>23</v>
      </c>
      <c r="F531" s="35">
        <f t="shared" ref="F531:N531" si="335">SUM(F529:F530)</f>
        <v>15104.166860000001</v>
      </c>
      <c r="G531" s="35">
        <f t="shared" si="335"/>
        <v>15259.927449999999</v>
      </c>
      <c r="H531" s="35">
        <f t="shared" si="335"/>
        <v>14464.02232</v>
      </c>
      <c r="I531" s="35">
        <f t="shared" si="335"/>
        <v>15729.411120000001</v>
      </c>
      <c r="J531" s="35">
        <f t="shared" si="335"/>
        <v>15409.595360000001</v>
      </c>
      <c r="K531" s="35">
        <f t="shared" si="335"/>
        <v>15550.814329999999</v>
      </c>
      <c r="L531" s="35">
        <f t="shared" si="335"/>
        <v>15189.759480000001</v>
      </c>
      <c r="M531" s="35">
        <f t="shared" si="335"/>
        <v>14015.12074</v>
      </c>
      <c r="N531" s="35">
        <f t="shared" si="335"/>
        <v>16537.996470000002</v>
      </c>
      <c r="O531" s="35">
        <f t="shared" ref="O531:Q531" si="336">SUM(O529:O530)</f>
        <v>15591.0183</v>
      </c>
      <c r="P531" s="35">
        <f t="shared" si="336"/>
        <v>15157.666220000001</v>
      </c>
      <c r="Q531" s="35">
        <f t="shared" si="336"/>
        <v>14893.143120000001</v>
      </c>
      <c r="R531" s="35">
        <f>SUM(R529:R530)</f>
        <v>182902.64176999999</v>
      </c>
    </row>
    <row r="532" spans="1:18" s="30" customFormat="1" x14ac:dyDescent="0.2">
      <c r="A532" s="30" t="s">
        <v>147</v>
      </c>
      <c r="B532" s="30" t="s">
        <v>21</v>
      </c>
      <c r="D532" s="30">
        <v>86</v>
      </c>
      <c r="F532" s="74">
        <f>'(R) Data'!C63</f>
        <v>615.7399999999999</v>
      </c>
      <c r="G532" s="74">
        <f>'(R) Data'!D63</f>
        <v>17079.060000000001</v>
      </c>
      <c r="H532" s="74">
        <f>'(R) Data'!E63</f>
        <v>10533.02</v>
      </c>
      <c r="I532" s="74">
        <f>'(R) Data'!F63</f>
        <v>152.78</v>
      </c>
      <c r="J532" s="74">
        <f>'(R) Data'!G63</f>
        <v>0</v>
      </c>
      <c r="K532" s="74">
        <f>'(R) Data'!H63</f>
        <v>0</v>
      </c>
      <c r="L532" s="74">
        <f>'(R) Data'!I63</f>
        <v>0</v>
      </c>
      <c r="M532" s="74">
        <f>'(R) Data'!J63</f>
        <v>0</v>
      </c>
      <c r="N532" s="74">
        <f>'(R) Data'!K63</f>
        <v>0</v>
      </c>
      <c r="O532" s="74">
        <f>'(R) Data'!L63</f>
        <v>0</v>
      </c>
      <c r="P532" s="74">
        <f>'(R) Data'!M63</f>
        <v>0</v>
      </c>
      <c r="Q532" s="74">
        <f>'(R) Data'!N63</f>
        <v>0</v>
      </c>
      <c r="R532" s="70">
        <f>SUM(F532:Q532)</f>
        <v>28380.600000000002</v>
      </c>
    </row>
    <row r="533" spans="1:18" s="30" customFormat="1" x14ac:dyDescent="0.2">
      <c r="B533" s="30" t="s">
        <v>25</v>
      </c>
      <c r="F533" s="35">
        <f t="shared" ref="F533:N533" si="337">F525+F530</f>
        <v>62922.236045759993</v>
      </c>
      <c r="G533" s="35">
        <f t="shared" si="337"/>
        <v>58788.984234119998</v>
      </c>
      <c r="H533" s="35">
        <f t="shared" si="337"/>
        <v>92514.706126919991</v>
      </c>
      <c r="I533" s="35">
        <f t="shared" si="337"/>
        <v>208503.75999264</v>
      </c>
      <c r="J533" s="35">
        <f t="shared" si="337"/>
        <v>283280.49940847995</v>
      </c>
      <c r="K533" s="35">
        <f t="shared" si="337"/>
        <v>350858.78536043991</v>
      </c>
      <c r="L533" s="35">
        <f t="shared" si="337"/>
        <v>344314.16079563997</v>
      </c>
      <c r="M533" s="35">
        <f t="shared" si="337"/>
        <v>287770.81628568005</v>
      </c>
      <c r="N533" s="35">
        <f t="shared" si="337"/>
        <v>305244.27773952001</v>
      </c>
      <c r="O533" s="35">
        <f t="shared" ref="O533:Q533" si="338">O525+O530</f>
        <v>233985.64369488001</v>
      </c>
      <c r="P533" s="35">
        <f t="shared" si="338"/>
        <v>134892.22390308001</v>
      </c>
      <c r="Q533" s="35">
        <f t="shared" si="338"/>
        <v>89380.734219839986</v>
      </c>
      <c r="R533" s="35">
        <f>R525+R530</f>
        <v>2452456.8278070004</v>
      </c>
    </row>
    <row r="534" spans="1:18" s="30" customFormat="1" x14ac:dyDescent="0.2">
      <c r="B534" s="30" t="s">
        <v>24</v>
      </c>
      <c r="F534" s="35">
        <f>F520+F524+F525+F526+F527+F531+F532</f>
        <v>139222.45507226363</v>
      </c>
      <c r="G534" s="35">
        <f t="shared" ref="G534:R534" si="339">G520+G524+G525+G526+G527+G531+G532</f>
        <v>149169.00576192531</v>
      </c>
      <c r="H534" s="35">
        <f t="shared" si="339"/>
        <v>195878.76656105797</v>
      </c>
      <c r="I534" s="35">
        <f t="shared" si="339"/>
        <v>371685.53590644576</v>
      </c>
      <c r="J534" s="35">
        <f t="shared" si="339"/>
        <v>486920.26290115877</v>
      </c>
      <c r="K534" s="35">
        <f t="shared" si="339"/>
        <v>593949.55544657621</v>
      </c>
      <c r="L534" s="35">
        <f t="shared" si="339"/>
        <v>583694.3989729879</v>
      </c>
      <c r="M534" s="35">
        <f t="shared" si="339"/>
        <v>491573.93989611097</v>
      </c>
      <c r="N534" s="35">
        <f t="shared" si="339"/>
        <v>524628.48590468243</v>
      </c>
      <c r="O534" s="35">
        <f t="shared" si="339"/>
        <v>411759.21491262078</v>
      </c>
      <c r="P534" s="35">
        <f t="shared" si="339"/>
        <v>254583.30903586003</v>
      </c>
      <c r="Q534" s="35">
        <f t="shared" si="339"/>
        <v>179761.35180348001</v>
      </c>
      <c r="R534" s="35">
        <f t="shared" si="339"/>
        <v>4382826.2821751693</v>
      </c>
    </row>
    <row r="535" spans="1:18" s="30" customFormat="1" x14ac:dyDescent="0.2"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70"/>
    </row>
    <row r="536" spans="1:18" s="30" customFormat="1" x14ac:dyDescent="0.2">
      <c r="A536" s="30" t="s">
        <v>305</v>
      </c>
      <c r="B536" s="30" t="s">
        <v>304</v>
      </c>
      <c r="F536" s="34">
        <f t="shared" ref="F536:N536" si="340">F507*F515+F516*F508</f>
        <v>60047.012093679994</v>
      </c>
      <c r="G536" s="34">
        <f t="shared" si="340"/>
        <v>56101.479416659997</v>
      </c>
      <c r="H536" s="34">
        <f t="shared" si="340"/>
        <v>88295.010812060005</v>
      </c>
      <c r="I536" s="34">
        <f t="shared" si="340"/>
        <v>199010.56804752001</v>
      </c>
      <c r="J536" s="34">
        <f t="shared" si="340"/>
        <v>270388.68496264005</v>
      </c>
      <c r="K536" s="34">
        <f t="shared" si="340"/>
        <v>334895.08925542003</v>
      </c>
      <c r="L536" s="34">
        <f t="shared" si="340"/>
        <v>328648.30911401997</v>
      </c>
      <c r="M536" s="34">
        <f t="shared" si="340"/>
        <v>274676.29267724004</v>
      </c>
      <c r="N536" s="34">
        <f t="shared" si="340"/>
        <v>291352.97997636005</v>
      </c>
      <c r="O536" s="34">
        <f t="shared" ref="O536:Q536" si="341">O507*O515+O516*O508</f>
        <v>223334.32286784003</v>
      </c>
      <c r="P536" s="34">
        <f t="shared" si="341"/>
        <v>128745.58330294001</v>
      </c>
      <c r="Q536" s="34">
        <f t="shared" si="341"/>
        <v>85303.06253712</v>
      </c>
      <c r="R536" s="70">
        <f>SUM(F536:Q536)</f>
        <v>2340798.3950635004</v>
      </c>
    </row>
    <row r="537" spans="1:18" s="30" customFormat="1" x14ac:dyDescent="0.2"/>
    <row r="538" spans="1:18" s="30" customFormat="1" x14ac:dyDescent="0.2">
      <c r="A538"/>
      <c r="B538" s="15" t="s">
        <v>99</v>
      </c>
      <c r="C538" s="15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</row>
    <row r="539" spans="1:18" s="30" customFormat="1" x14ac:dyDescent="0.2">
      <c r="A539"/>
      <c r="B539" s="15" t="s">
        <v>7</v>
      </c>
      <c r="C539" s="15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</row>
    <row r="540" spans="1:18" s="30" customFormat="1" x14ac:dyDescent="0.2">
      <c r="A540"/>
      <c r="B540" t="s">
        <v>282</v>
      </c>
      <c r="C540"/>
      <c r="D540" s="21">
        <v>86</v>
      </c>
      <c r="E540" t="s">
        <v>5</v>
      </c>
      <c r="F540" s="17">
        <f t="shared" ref="F540:Q540" si="342">F496</f>
        <v>139.36000000000001</v>
      </c>
      <c r="G540" s="17">
        <f t="shared" si="342"/>
        <v>139.36000000000001</v>
      </c>
      <c r="H540" s="17">
        <f t="shared" si="342"/>
        <v>139.36000000000001</v>
      </c>
      <c r="I540" s="17">
        <f t="shared" si="342"/>
        <v>139.36000000000001</v>
      </c>
      <c r="J540" s="17">
        <f t="shared" si="342"/>
        <v>139.36000000000001</v>
      </c>
      <c r="K540" s="17">
        <f t="shared" si="342"/>
        <v>139.36000000000001</v>
      </c>
      <c r="L540" s="17">
        <f t="shared" si="342"/>
        <v>139.36000000000001</v>
      </c>
      <c r="M540" s="17">
        <f t="shared" si="342"/>
        <v>139.36000000000001</v>
      </c>
      <c r="N540" s="17">
        <f t="shared" si="342"/>
        <v>139.36000000000001</v>
      </c>
      <c r="O540" s="17">
        <f t="shared" si="342"/>
        <v>139.36000000000001</v>
      </c>
      <c r="P540" s="17">
        <f t="shared" si="342"/>
        <v>139.36000000000001</v>
      </c>
      <c r="Q540" s="17">
        <f t="shared" si="342"/>
        <v>139.36000000000001</v>
      </c>
      <c r="R540" s="26"/>
    </row>
    <row r="541" spans="1:18" s="30" customFormat="1" x14ac:dyDescent="0.2">
      <c r="A541"/>
      <c r="B541" t="s">
        <v>3</v>
      </c>
      <c r="C541"/>
      <c r="D541"/>
      <c r="E541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20"/>
    </row>
    <row r="542" spans="1:18" s="30" customFormat="1" x14ac:dyDescent="0.2">
      <c r="A542"/>
      <c r="B542"/>
      <c r="C542" t="s">
        <v>59</v>
      </c>
      <c r="D542" s="21">
        <v>86</v>
      </c>
      <c r="E542" t="s">
        <v>6</v>
      </c>
      <c r="F542" s="18">
        <f t="shared" ref="F542:Q542" si="343">F498</f>
        <v>0.19273999999999999</v>
      </c>
      <c r="G542" s="18">
        <f t="shared" si="343"/>
        <v>0.19273999999999999</v>
      </c>
      <c r="H542" s="18">
        <f t="shared" si="343"/>
        <v>0.19273999999999999</v>
      </c>
      <c r="I542" s="18">
        <f t="shared" si="343"/>
        <v>0.19273999999999999</v>
      </c>
      <c r="J542" s="18">
        <f t="shared" si="343"/>
        <v>0.19273999999999999</v>
      </c>
      <c r="K542" s="18">
        <f t="shared" si="343"/>
        <v>0.19273999999999999</v>
      </c>
      <c r="L542" s="18">
        <f t="shared" si="343"/>
        <v>0.19273999999999999</v>
      </c>
      <c r="M542" s="18">
        <f t="shared" si="343"/>
        <v>0.19273999999999999</v>
      </c>
      <c r="N542" s="18">
        <f t="shared" si="343"/>
        <v>0.19273999999999999</v>
      </c>
      <c r="O542" s="18">
        <f t="shared" si="343"/>
        <v>0.19273999999999999</v>
      </c>
      <c r="P542" s="18">
        <f t="shared" si="343"/>
        <v>0.19273999999999999</v>
      </c>
      <c r="Q542" s="18">
        <f t="shared" si="343"/>
        <v>0.19273999999999999</v>
      </c>
      <c r="R542" s="20"/>
    </row>
    <row r="543" spans="1:18" s="30" customFormat="1" x14ac:dyDescent="0.2">
      <c r="A543"/>
      <c r="B543"/>
      <c r="C543" t="s">
        <v>60</v>
      </c>
      <c r="D543" s="21">
        <v>86</v>
      </c>
      <c r="E543" t="s">
        <v>6</v>
      </c>
      <c r="F543" s="18">
        <f t="shared" ref="F543:Q543" si="344">F499</f>
        <v>0.13664000000000001</v>
      </c>
      <c r="G543" s="18">
        <f t="shared" si="344"/>
        <v>0.13664000000000001</v>
      </c>
      <c r="H543" s="18">
        <f t="shared" si="344"/>
        <v>0.13664000000000001</v>
      </c>
      <c r="I543" s="18">
        <f t="shared" si="344"/>
        <v>0.13664000000000001</v>
      </c>
      <c r="J543" s="18">
        <f t="shared" si="344"/>
        <v>0.13664000000000001</v>
      </c>
      <c r="K543" s="18">
        <f t="shared" si="344"/>
        <v>0.13664000000000001</v>
      </c>
      <c r="L543" s="18">
        <f t="shared" si="344"/>
        <v>0.13664000000000001</v>
      </c>
      <c r="M543" s="18">
        <f t="shared" si="344"/>
        <v>0.13664000000000001</v>
      </c>
      <c r="N543" s="18">
        <f t="shared" si="344"/>
        <v>0.13664000000000001</v>
      </c>
      <c r="O543" s="18">
        <f t="shared" si="344"/>
        <v>0.13664000000000001</v>
      </c>
      <c r="P543" s="18">
        <f t="shared" si="344"/>
        <v>0.13664000000000001</v>
      </c>
      <c r="Q543" s="18">
        <f t="shared" si="344"/>
        <v>0.13664000000000001</v>
      </c>
      <c r="R543" s="20"/>
    </row>
    <row r="544" spans="1:18" s="30" customFormat="1" x14ac:dyDescent="0.2">
      <c r="A544"/>
      <c r="B544" t="s">
        <v>303</v>
      </c>
      <c r="C544"/>
      <c r="D544">
        <v>101</v>
      </c>
      <c r="E544" t="s">
        <v>6</v>
      </c>
      <c r="F544" s="18">
        <f t="shared" ref="F544:Q544" si="345">F500</f>
        <v>0.26795999999999998</v>
      </c>
      <c r="G544" s="18">
        <f t="shared" si="345"/>
        <v>0.26795999999999998</v>
      </c>
      <c r="H544" s="18">
        <f t="shared" si="345"/>
        <v>0.26795999999999998</v>
      </c>
      <c r="I544" s="18">
        <f t="shared" si="345"/>
        <v>0.26795999999999998</v>
      </c>
      <c r="J544" s="18">
        <f t="shared" si="345"/>
        <v>0.26795999999999998</v>
      </c>
      <c r="K544" s="18">
        <f t="shared" si="345"/>
        <v>0.26795999999999998</v>
      </c>
      <c r="L544" s="18">
        <f t="shared" si="345"/>
        <v>0.26795999999999998</v>
      </c>
      <c r="M544" s="18">
        <f t="shared" si="345"/>
        <v>0.26795999999999998</v>
      </c>
      <c r="N544" s="18">
        <f t="shared" si="345"/>
        <v>0.26795999999999998</v>
      </c>
      <c r="O544" s="18">
        <f t="shared" si="345"/>
        <v>0.26795999999999998</v>
      </c>
      <c r="P544" s="18">
        <f t="shared" si="345"/>
        <v>0.26795999999999998</v>
      </c>
      <c r="Q544" s="18">
        <f t="shared" si="345"/>
        <v>0.26795999999999998</v>
      </c>
      <c r="R544" s="20"/>
    </row>
    <row r="545" spans="1:19" s="30" customFormat="1" x14ac:dyDescent="0.2">
      <c r="A545"/>
      <c r="B545" t="s">
        <v>61</v>
      </c>
      <c r="C545"/>
      <c r="D545" s="21">
        <v>86</v>
      </c>
      <c r="E545" t="s">
        <v>6</v>
      </c>
      <c r="F545" s="20">
        <f t="shared" ref="F545:Q546" si="346">F501</f>
        <v>9.0699999999999999E-3</v>
      </c>
      <c r="G545" s="20">
        <f t="shared" si="346"/>
        <v>9.0699999999999999E-3</v>
      </c>
      <c r="H545" s="20">
        <f t="shared" si="346"/>
        <v>9.0699999999999999E-3</v>
      </c>
      <c r="I545" s="20">
        <f t="shared" si="346"/>
        <v>9.0699999999999999E-3</v>
      </c>
      <c r="J545" s="20">
        <f t="shared" si="346"/>
        <v>9.0699999999999999E-3</v>
      </c>
      <c r="K545" s="20">
        <f t="shared" si="346"/>
        <v>9.0699999999999999E-3</v>
      </c>
      <c r="L545" s="20">
        <f t="shared" si="346"/>
        <v>9.0699999999999999E-3</v>
      </c>
      <c r="M545" s="20">
        <f t="shared" si="346"/>
        <v>9.0699999999999999E-3</v>
      </c>
      <c r="N545" s="20">
        <f t="shared" si="346"/>
        <v>9.0699999999999999E-3</v>
      </c>
      <c r="O545" s="20">
        <f t="shared" si="346"/>
        <v>9.0699999999999999E-3</v>
      </c>
      <c r="P545" s="20">
        <f t="shared" si="346"/>
        <v>9.0699999999999999E-3</v>
      </c>
      <c r="Q545" s="20">
        <f t="shared" si="346"/>
        <v>9.0699999999999999E-3</v>
      </c>
      <c r="R545" s="20"/>
    </row>
    <row r="546" spans="1:19" s="30" customFormat="1" x14ac:dyDescent="0.2">
      <c r="A546"/>
      <c r="B546" t="s">
        <v>550</v>
      </c>
      <c r="C546"/>
      <c r="D546" s="21">
        <v>149</v>
      </c>
      <c r="E546" t="s">
        <v>6</v>
      </c>
      <c r="F546" s="20">
        <f t="shared" si="346"/>
        <v>4.15E-3</v>
      </c>
      <c r="G546" s="20">
        <f t="shared" si="346"/>
        <v>4.15E-3</v>
      </c>
      <c r="H546" s="20">
        <f t="shared" si="346"/>
        <v>4.15E-3</v>
      </c>
      <c r="I546" s="20">
        <f t="shared" si="346"/>
        <v>4.15E-3</v>
      </c>
      <c r="J546" s="20">
        <f t="shared" si="346"/>
        <v>4.15E-3</v>
      </c>
      <c r="K546" s="20">
        <f t="shared" si="346"/>
        <v>4.15E-3</v>
      </c>
      <c r="L546" s="20">
        <f t="shared" si="346"/>
        <v>4.15E-3</v>
      </c>
      <c r="M546" s="20">
        <f t="shared" si="346"/>
        <v>4.15E-3</v>
      </c>
      <c r="N546" s="20">
        <f t="shared" si="346"/>
        <v>4.15E-3</v>
      </c>
      <c r="O546" s="20">
        <f t="shared" si="346"/>
        <v>4.15E-3</v>
      </c>
      <c r="P546" s="20">
        <f t="shared" si="346"/>
        <v>4.15E-3</v>
      </c>
      <c r="Q546" s="20">
        <f t="shared" si="346"/>
        <v>4.15E-3</v>
      </c>
      <c r="R546" s="20"/>
    </row>
    <row r="547" spans="1:19" s="30" customFormat="1" x14ac:dyDescent="0.2">
      <c r="A547"/>
      <c r="B547" t="s">
        <v>18</v>
      </c>
      <c r="C547"/>
      <c r="D547"/>
      <c r="E547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</row>
    <row r="548" spans="1:19" s="30" customFormat="1" x14ac:dyDescent="0.2">
      <c r="A548"/>
      <c r="B548"/>
      <c r="C548" t="s">
        <v>19</v>
      </c>
      <c r="D548">
        <v>101</v>
      </c>
      <c r="E548" t="s">
        <v>6</v>
      </c>
      <c r="F548" s="112">
        <f t="shared" ref="F548:Q548" si="347">F504</f>
        <v>1.22</v>
      </c>
      <c r="G548" s="112">
        <f t="shared" si="347"/>
        <v>1.22</v>
      </c>
      <c r="H548" s="112">
        <f t="shared" si="347"/>
        <v>1.22</v>
      </c>
      <c r="I548" s="112">
        <f t="shared" si="347"/>
        <v>1.22</v>
      </c>
      <c r="J548" s="112">
        <f t="shared" si="347"/>
        <v>1.22</v>
      </c>
      <c r="K548" s="112">
        <f t="shared" si="347"/>
        <v>1.22</v>
      </c>
      <c r="L548" s="112">
        <f t="shared" si="347"/>
        <v>1.22</v>
      </c>
      <c r="M548" s="112">
        <f t="shared" si="347"/>
        <v>1.22</v>
      </c>
      <c r="N548" s="112">
        <f t="shared" si="347"/>
        <v>1.22</v>
      </c>
      <c r="O548" s="112">
        <f t="shared" si="347"/>
        <v>1.22</v>
      </c>
      <c r="P548" s="112">
        <f t="shared" si="347"/>
        <v>1.22</v>
      </c>
      <c r="Q548" s="112">
        <f t="shared" si="347"/>
        <v>1.22</v>
      </c>
      <c r="R548" s="20"/>
    </row>
    <row r="549" spans="1:19" x14ac:dyDescent="0.2">
      <c r="A549" s="30"/>
      <c r="B549" s="30"/>
      <c r="C549" s="30" t="s">
        <v>20</v>
      </c>
      <c r="D549" s="30">
        <v>101</v>
      </c>
      <c r="E549" s="30" t="s">
        <v>6</v>
      </c>
      <c r="F549" s="113">
        <f t="shared" ref="F549:Q549" si="348">F505</f>
        <v>1.05</v>
      </c>
      <c r="G549" s="113">
        <f t="shared" si="348"/>
        <v>1.05</v>
      </c>
      <c r="H549" s="113">
        <f t="shared" si="348"/>
        <v>1.05</v>
      </c>
      <c r="I549" s="113">
        <f t="shared" si="348"/>
        <v>1.05</v>
      </c>
      <c r="J549" s="113">
        <f t="shared" si="348"/>
        <v>1.05</v>
      </c>
      <c r="K549" s="113">
        <f t="shared" si="348"/>
        <v>1.05</v>
      </c>
      <c r="L549" s="113">
        <f t="shared" si="348"/>
        <v>1.05</v>
      </c>
      <c r="M549" s="113">
        <f t="shared" si="348"/>
        <v>1.05</v>
      </c>
      <c r="N549" s="113">
        <f t="shared" si="348"/>
        <v>1.05</v>
      </c>
      <c r="O549" s="113">
        <f t="shared" si="348"/>
        <v>1.05</v>
      </c>
      <c r="P549" s="113">
        <f t="shared" si="348"/>
        <v>1.05</v>
      </c>
      <c r="Q549" s="113">
        <f t="shared" si="348"/>
        <v>1.05</v>
      </c>
      <c r="R549" s="65"/>
      <c r="S549"/>
    </row>
    <row r="550" spans="1:19" x14ac:dyDescent="0.2">
      <c r="A550" s="30"/>
      <c r="B550" s="30" t="s">
        <v>21</v>
      </c>
      <c r="C550" s="30"/>
      <c r="D550" s="47">
        <v>86</v>
      </c>
      <c r="E550" s="30" t="s">
        <v>22</v>
      </c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65"/>
      <c r="S550"/>
    </row>
    <row r="551" spans="1:19" s="30" customFormat="1" x14ac:dyDescent="0.2">
      <c r="B551" s="30" t="s">
        <v>304</v>
      </c>
      <c r="D551" s="47"/>
      <c r="F551" s="20">
        <f t="shared" ref="F551:Q551" si="349">F507</f>
        <v>0.25578000000000001</v>
      </c>
      <c r="G551" s="20">
        <f t="shared" si="349"/>
        <v>0.25578000000000001</v>
      </c>
      <c r="H551" s="20">
        <f t="shared" si="349"/>
        <v>0.25578000000000001</v>
      </c>
      <c r="I551" s="20">
        <f t="shared" si="349"/>
        <v>0.25578000000000001</v>
      </c>
      <c r="J551" s="20">
        <f t="shared" si="349"/>
        <v>0.25578000000000001</v>
      </c>
      <c r="K551" s="20">
        <f t="shared" si="349"/>
        <v>0.25578000000000001</v>
      </c>
      <c r="L551" s="20">
        <f t="shared" si="349"/>
        <v>0.25578000000000001</v>
      </c>
      <c r="M551" s="20">
        <f t="shared" si="349"/>
        <v>0.25578000000000001</v>
      </c>
      <c r="N551" s="20">
        <f t="shared" si="349"/>
        <v>0.25578000000000001</v>
      </c>
      <c r="O551" s="20">
        <f t="shared" si="349"/>
        <v>0.25578000000000001</v>
      </c>
      <c r="P551" s="20">
        <f t="shared" si="349"/>
        <v>0.25578000000000001</v>
      </c>
      <c r="Q551" s="20">
        <f t="shared" si="349"/>
        <v>0.25578000000000001</v>
      </c>
      <c r="R551" s="65"/>
    </row>
    <row r="552" spans="1:19" s="30" customFormat="1" x14ac:dyDescent="0.2">
      <c r="B552" s="30" t="s">
        <v>310</v>
      </c>
      <c r="D552" s="47"/>
      <c r="F552" s="112">
        <f t="shared" ref="F552:Q552" si="350">F508</f>
        <v>1</v>
      </c>
      <c r="G552" s="112">
        <f t="shared" si="350"/>
        <v>1</v>
      </c>
      <c r="H552" s="112">
        <f t="shared" si="350"/>
        <v>1</v>
      </c>
      <c r="I552" s="112">
        <f t="shared" si="350"/>
        <v>1</v>
      </c>
      <c r="J552" s="112">
        <f t="shared" si="350"/>
        <v>1</v>
      </c>
      <c r="K552" s="112">
        <f t="shared" si="350"/>
        <v>1</v>
      </c>
      <c r="L552" s="112">
        <f t="shared" si="350"/>
        <v>1</v>
      </c>
      <c r="M552" s="112">
        <f t="shared" si="350"/>
        <v>1</v>
      </c>
      <c r="N552" s="112">
        <f t="shared" si="350"/>
        <v>1</v>
      </c>
      <c r="O552" s="112">
        <f t="shared" si="350"/>
        <v>1</v>
      </c>
      <c r="P552" s="112">
        <f t="shared" si="350"/>
        <v>1</v>
      </c>
      <c r="Q552" s="112">
        <f t="shared" si="350"/>
        <v>1</v>
      </c>
      <c r="R552" s="65"/>
    </row>
    <row r="553" spans="1:19" s="30" customFormat="1" x14ac:dyDescent="0.2"/>
    <row r="554" spans="1:19" s="30" customFormat="1" x14ac:dyDescent="0.2">
      <c r="B554" s="29" t="s">
        <v>8</v>
      </c>
    </row>
    <row r="555" spans="1:19" s="30" customFormat="1" x14ac:dyDescent="0.2">
      <c r="B555" s="30" t="s">
        <v>22</v>
      </c>
      <c r="E555" s="30" t="s">
        <v>22</v>
      </c>
      <c r="F555" s="76">
        <f>'(R) Data'!C28</f>
        <v>4.1890043954510565</v>
      </c>
      <c r="G555" s="76">
        <f>'(R) Data'!D28</f>
        <v>4.0010465359659522</v>
      </c>
      <c r="H555" s="76">
        <f>'(R) Data'!E28</f>
        <v>3.9609990930021626</v>
      </c>
      <c r="I555" s="76">
        <f>'(R) Data'!F28</f>
        <v>4.0724202888439267</v>
      </c>
      <c r="J555" s="76">
        <f>'(R) Data'!G28</f>
        <v>3.9504639642782391</v>
      </c>
      <c r="K555" s="76">
        <f>'(R) Data'!H28</f>
        <v>4.0265456061345182</v>
      </c>
      <c r="L555" s="76">
        <f>'(R) Data'!I28</f>
        <v>4.0333153128801191</v>
      </c>
      <c r="M555" s="76">
        <f>'(R) Data'!J28</f>
        <v>3.8418705230436547</v>
      </c>
      <c r="N555" s="76">
        <f>'(R) Data'!K28</f>
        <v>4.0787944316799569</v>
      </c>
      <c r="O555" s="76">
        <f>'(R) Data'!L28</f>
        <v>4.0183808622786863</v>
      </c>
      <c r="P555" s="76">
        <f>'(R) Data'!M28</f>
        <v>4.0172933409873703</v>
      </c>
      <c r="Q555" s="76">
        <f>'(R) Data'!N28</f>
        <v>3.8964552238805967</v>
      </c>
      <c r="R555" s="107">
        <f>SUM(F555:Q555)</f>
        <v>48.086589578426235</v>
      </c>
    </row>
    <row r="556" spans="1:19" s="30" customFormat="1" x14ac:dyDescent="0.2">
      <c r="B556" s="30" t="s">
        <v>30</v>
      </c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107"/>
    </row>
    <row r="557" spans="1:19" x14ac:dyDescent="0.2">
      <c r="A557" s="30"/>
      <c r="B557" s="30"/>
      <c r="C557" s="30" t="s">
        <v>59</v>
      </c>
      <c r="D557" s="30"/>
      <c r="E557" s="30" t="s">
        <v>10</v>
      </c>
      <c r="F557" s="161">
        <f>'(R) Therms By Block'!B71</f>
        <v>2802.0790000000002</v>
      </c>
      <c r="G557" s="170">
        <f>'(R) Therms By Block'!C71</f>
        <v>2546.2429999999999</v>
      </c>
      <c r="H557" s="170">
        <f>'(R) Therms By Block'!D71</f>
        <v>2989.864</v>
      </c>
      <c r="I557" s="170">
        <f>'(R) Therms By Block'!E71</f>
        <v>3829.4369999999999</v>
      </c>
      <c r="J557" s="170">
        <f>'(R) Therms By Block'!F71</f>
        <v>4170.4679999999998</v>
      </c>
      <c r="K557" s="170">
        <f>'(R) Therms By Block'!G71</f>
        <v>4091.895</v>
      </c>
      <c r="L557" s="170">
        <f>'(R) Therms By Block'!H71</f>
        <v>4058.5680000000002</v>
      </c>
      <c r="M557" s="170">
        <f>'(R) Therms By Block'!I71</f>
        <v>4688.7169999999996</v>
      </c>
      <c r="N557" s="170">
        <f>'(R) Therms By Block'!J71</f>
        <v>5155.1409999999996</v>
      </c>
      <c r="O557" s="170">
        <f>'(R) Therms By Block'!K71</f>
        <v>5215.2560000000003</v>
      </c>
      <c r="P557" s="170">
        <f>'(R) Therms By Block'!L71</f>
        <v>3869.3560000000002</v>
      </c>
      <c r="Q557" s="170">
        <f>'(R) Therms By Block'!M71</f>
        <v>3194.134</v>
      </c>
      <c r="R557" s="107">
        <f>SUM(F557:Q557)</f>
        <v>46611.157999999996</v>
      </c>
      <c r="S557"/>
    </row>
    <row r="558" spans="1:19" x14ac:dyDescent="0.2">
      <c r="A558" s="30"/>
      <c r="B558" s="30"/>
      <c r="C558" s="30" t="s">
        <v>60</v>
      </c>
      <c r="D558" s="30"/>
      <c r="E558" s="30" t="s">
        <v>10</v>
      </c>
      <c r="F558" s="107">
        <f t="shared" ref="F558:N558" si="351">F559-F557</f>
        <v>4248.6400000000012</v>
      </c>
      <c r="G558" s="107">
        <f t="shared" si="351"/>
        <v>4444.2209999999995</v>
      </c>
      <c r="H558" s="107">
        <f t="shared" si="351"/>
        <v>56483.425999999999</v>
      </c>
      <c r="I558" s="107">
        <f t="shared" si="351"/>
        <v>61449.167000000001</v>
      </c>
      <c r="J558" s="107">
        <f t="shared" si="351"/>
        <v>14082.380999999998</v>
      </c>
      <c r="K558" s="107">
        <f t="shared" si="351"/>
        <v>14404.418999999998</v>
      </c>
      <c r="L558" s="107">
        <f t="shared" si="351"/>
        <v>13643.699000000001</v>
      </c>
      <c r="M558" s="107">
        <f t="shared" si="351"/>
        <v>14034.593999999997</v>
      </c>
      <c r="N558" s="107">
        <f t="shared" si="351"/>
        <v>11875.316000000003</v>
      </c>
      <c r="O558" s="107">
        <f t="shared" ref="O558:Q558" si="352">O559-O557</f>
        <v>16755.670999999998</v>
      </c>
      <c r="P558" s="107">
        <f t="shared" si="352"/>
        <v>7262.5600000000013</v>
      </c>
      <c r="Q558" s="107">
        <f t="shared" si="352"/>
        <v>5377.2150000000001</v>
      </c>
      <c r="R558" s="107">
        <f>SUM(F558:Q558)</f>
        <v>224061.30899999995</v>
      </c>
      <c r="S558"/>
    </row>
    <row r="559" spans="1:19" x14ac:dyDescent="0.2">
      <c r="A559" s="30"/>
      <c r="B559" s="30"/>
      <c r="C559" s="30" t="s">
        <v>17</v>
      </c>
      <c r="D559" s="30"/>
      <c r="E559" s="30" t="s">
        <v>10</v>
      </c>
      <c r="F559" s="111">
        <f>'Weather Adj'!D189</f>
        <v>7050.719000000001</v>
      </c>
      <c r="G559" s="111">
        <f>'Weather Adj'!E189</f>
        <v>6990.4639999999999</v>
      </c>
      <c r="H559" s="111">
        <f>'Weather Adj'!F189</f>
        <v>59473.29</v>
      </c>
      <c r="I559" s="111">
        <f>'Weather Adj'!G189</f>
        <v>65278.603999999999</v>
      </c>
      <c r="J559" s="111">
        <f>'Weather Adj'!H189</f>
        <v>18252.848999999998</v>
      </c>
      <c r="K559" s="111">
        <f>'Weather Adj'!I189</f>
        <v>18496.313999999998</v>
      </c>
      <c r="L559" s="111">
        <f>'Weather Adj'!J189</f>
        <v>17702.267</v>
      </c>
      <c r="M559" s="111">
        <f>'Weather Adj'!K189</f>
        <v>18723.310999999998</v>
      </c>
      <c r="N559" s="111">
        <f>'Weather Adj'!L189</f>
        <v>17030.457000000002</v>
      </c>
      <c r="O559" s="111">
        <f>'Weather Adj'!M189</f>
        <v>21970.927</v>
      </c>
      <c r="P559" s="111">
        <f>'Weather Adj'!N189</f>
        <v>11131.916000000001</v>
      </c>
      <c r="Q559" s="111">
        <f>'Weather Adj'!O189</f>
        <v>8571.3490000000002</v>
      </c>
      <c r="R559" s="650">
        <f>SUM(R557:R558)</f>
        <v>270672.46699999995</v>
      </c>
      <c r="S559"/>
    </row>
    <row r="560" spans="1:19" x14ac:dyDescent="0.2">
      <c r="A560" s="30"/>
      <c r="B560" s="30" t="s">
        <v>29</v>
      </c>
      <c r="C560" s="30"/>
      <c r="D560" s="30"/>
      <c r="E560" s="30" t="s">
        <v>100</v>
      </c>
      <c r="F560" s="76">
        <f>'(R) Data'!C48</f>
        <v>138.94300000000001</v>
      </c>
      <c r="G560" s="76">
        <f>'(R) Data'!D48</f>
        <v>132.232</v>
      </c>
      <c r="H560" s="76">
        <f>'(R) Data'!E48</f>
        <v>128.99199999999999</v>
      </c>
      <c r="I560" s="76">
        <f>'(R) Data'!F48</f>
        <v>139.04499999999999</v>
      </c>
      <c r="J560" s="76">
        <f>'(R) Data'!G48</f>
        <v>127.645</v>
      </c>
      <c r="K560" s="76">
        <f>'(R) Data'!H48</f>
        <v>133.49100000000001</v>
      </c>
      <c r="L560" s="76">
        <f>'(R) Data'!I48</f>
        <v>136.14599999999999</v>
      </c>
      <c r="M560" s="76">
        <f>'(R) Data'!J48</f>
        <v>118.42700000000001</v>
      </c>
      <c r="N560" s="76">
        <f>'(R) Data'!K48</f>
        <v>135.71199999999999</v>
      </c>
      <c r="O560" s="76">
        <f>'(R) Data'!L48</f>
        <v>136.22900000000001</v>
      </c>
      <c r="P560" s="76">
        <f>'(R) Data'!M48</f>
        <v>132.31299999999999</v>
      </c>
      <c r="Q560" s="76">
        <f>'(R) Data'!N48</f>
        <v>128.92699999999999</v>
      </c>
      <c r="R560" s="107">
        <f>SUM(F560:Q560)</f>
        <v>1588.1019999999996</v>
      </c>
      <c r="S560"/>
    </row>
    <row r="561" spans="1:19" x14ac:dyDescent="0.2">
      <c r="A561" s="30"/>
      <c r="B561" s="30" t="s">
        <v>21</v>
      </c>
      <c r="C561" s="30"/>
      <c r="D561" s="30"/>
      <c r="E561" s="30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107"/>
      <c r="S561"/>
    </row>
    <row r="562" spans="1:19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96"/>
      <c r="S562"/>
    </row>
    <row r="563" spans="1:19" x14ac:dyDescent="0.2">
      <c r="A563" s="30"/>
      <c r="B563" s="29" t="s">
        <v>9</v>
      </c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96"/>
      <c r="S563"/>
    </row>
    <row r="564" spans="1:19" x14ac:dyDescent="0.2">
      <c r="A564" s="30" t="s">
        <v>147</v>
      </c>
      <c r="B564" s="30" t="s">
        <v>282</v>
      </c>
      <c r="C564" s="30"/>
      <c r="D564" s="30">
        <v>86</v>
      </c>
      <c r="E564" s="30"/>
      <c r="F564" s="34">
        <f t="shared" ref="F564:N564" si="353">F540*F555</f>
        <v>583.77965255005927</v>
      </c>
      <c r="G564" s="34">
        <f t="shared" si="353"/>
        <v>557.58584525221511</v>
      </c>
      <c r="H564" s="34">
        <f t="shared" si="353"/>
        <v>552.00483360078147</v>
      </c>
      <c r="I564" s="34">
        <f t="shared" si="353"/>
        <v>567.53249145328971</v>
      </c>
      <c r="J564" s="34">
        <f t="shared" si="353"/>
        <v>550.5366580618155</v>
      </c>
      <c r="K564" s="34">
        <f t="shared" si="353"/>
        <v>561.13939567090654</v>
      </c>
      <c r="L564" s="34">
        <f t="shared" si="353"/>
        <v>562.08282200297344</v>
      </c>
      <c r="M564" s="34">
        <f t="shared" si="353"/>
        <v>535.4030760913638</v>
      </c>
      <c r="N564" s="34">
        <f t="shared" si="353"/>
        <v>568.42079199891884</v>
      </c>
      <c r="O564" s="34">
        <f t="shared" ref="O564:Q564" si="354">O540*O555</f>
        <v>560.00155696715774</v>
      </c>
      <c r="P564" s="34">
        <f t="shared" si="354"/>
        <v>559.85</v>
      </c>
      <c r="Q564" s="34">
        <f t="shared" si="354"/>
        <v>543.01</v>
      </c>
      <c r="R564" s="70">
        <f>SUM(F564:Q564)</f>
        <v>6701.3471236494825</v>
      </c>
      <c r="S564"/>
    </row>
    <row r="565" spans="1:19" x14ac:dyDescent="0.2">
      <c r="A565" s="30"/>
      <c r="B565" s="30" t="s">
        <v>3</v>
      </c>
      <c r="C565" s="30"/>
      <c r="D565" s="30"/>
      <c r="E565" s="30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70"/>
      <c r="S565"/>
    </row>
    <row r="566" spans="1:19" s="30" customFormat="1" x14ac:dyDescent="0.2">
      <c r="C566" s="30" t="s">
        <v>59</v>
      </c>
      <c r="D566" s="30">
        <v>86</v>
      </c>
      <c r="F566" s="34">
        <f t="shared" ref="F566:N566" si="355">F542*F557</f>
        <v>540.07270646000006</v>
      </c>
      <c r="G566" s="34">
        <f t="shared" si="355"/>
        <v>490.76287581999998</v>
      </c>
      <c r="H566" s="34">
        <f t="shared" si="355"/>
        <v>576.26638735999995</v>
      </c>
      <c r="I566" s="34">
        <f t="shared" si="355"/>
        <v>738.08568737999997</v>
      </c>
      <c r="J566" s="34">
        <f t="shared" si="355"/>
        <v>803.81600231999994</v>
      </c>
      <c r="K566" s="34">
        <f t="shared" si="355"/>
        <v>788.67184229999998</v>
      </c>
      <c r="L566" s="34">
        <f t="shared" si="355"/>
        <v>782.24839631999998</v>
      </c>
      <c r="M566" s="34">
        <f t="shared" si="355"/>
        <v>903.70331457999987</v>
      </c>
      <c r="N566" s="34">
        <f t="shared" si="355"/>
        <v>993.60187633999988</v>
      </c>
      <c r="O566" s="34">
        <f t="shared" ref="O566:Q566" si="356">O542*O557</f>
        <v>1005.18844144</v>
      </c>
      <c r="P566" s="34">
        <f t="shared" si="356"/>
        <v>745.77967544000001</v>
      </c>
      <c r="Q566" s="34">
        <f t="shared" si="356"/>
        <v>615.63738716</v>
      </c>
      <c r="R566" s="70">
        <f t="shared" ref="R566:R577" si="357">SUM(F566:Q566)</f>
        <v>8983.8345929200004</v>
      </c>
    </row>
    <row r="567" spans="1:19" s="30" customFormat="1" x14ac:dyDescent="0.2">
      <c r="C567" s="30" t="s">
        <v>60</v>
      </c>
      <c r="D567" s="30">
        <v>86</v>
      </c>
      <c r="F567" s="34">
        <f t="shared" ref="F567:N567" si="358">F543*F558</f>
        <v>580.53416960000027</v>
      </c>
      <c r="G567" s="34">
        <f t="shared" si="358"/>
        <v>607.25835743999994</v>
      </c>
      <c r="H567" s="34">
        <f t="shared" si="358"/>
        <v>7717.895328640001</v>
      </c>
      <c r="I567" s="34">
        <f t="shared" si="358"/>
        <v>8396.4141788800007</v>
      </c>
      <c r="J567" s="34">
        <f t="shared" si="358"/>
        <v>1924.2165398399998</v>
      </c>
      <c r="K567" s="34">
        <f t="shared" si="358"/>
        <v>1968.2198121599999</v>
      </c>
      <c r="L567" s="34">
        <f t="shared" si="358"/>
        <v>1864.2750313600002</v>
      </c>
      <c r="M567" s="34">
        <f t="shared" si="358"/>
        <v>1917.6869241599998</v>
      </c>
      <c r="N567" s="34">
        <f t="shared" si="358"/>
        <v>1622.6431782400005</v>
      </c>
      <c r="O567" s="34">
        <f t="shared" ref="O567:Q567" si="359">O543*O558</f>
        <v>2289.49488544</v>
      </c>
      <c r="P567" s="34">
        <f t="shared" si="359"/>
        <v>992.35619840000027</v>
      </c>
      <c r="Q567" s="34">
        <f t="shared" si="359"/>
        <v>734.74265760000003</v>
      </c>
      <c r="R567" s="70">
        <f t="shared" si="357"/>
        <v>30615.737261760001</v>
      </c>
    </row>
    <row r="568" spans="1:19" s="30" customFormat="1" x14ac:dyDescent="0.2">
      <c r="A568" t="s">
        <v>147</v>
      </c>
      <c r="B568"/>
      <c r="C568" t="s">
        <v>26</v>
      </c>
      <c r="D568"/>
      <c r="E568"/>
      <c r="F568" s="24">
        <f t="shared" ref="F568:K568" si="360">SUM(F566:F567)</f>
        <v>1120.6068760600003</v>
      </c>
      <c r="G568" s="24">
        <f t="shared" si="360"/>
        <v>1098.0212332599999</v>
      </c>
      <c r="H568" s="24">
        <f t="shared" si="360"/>
        <v>8294.1617160000005</v>
      </c>
      <c r="I568" s="24">
        <f t="shared" si="360"/>
        <v>9134.499866260001</v>
      </c>
      <c r="J568" s="24">
        <f t="shared" si="360"/>
        <v>2728.0325421599996</v>
      </c>
      <c r="K568" s="24">
        <f t="shared" si="360"/>
        <v>2756.8916544599997</v>
      </c>
      <c r="L568" s="24">
        <f>SUM(L566:L567)</f>
        <v>2646.5234276800002</v>
      </c>
      <c r="M568" s="24">
        <f>SUM(M566:M567)</f>
        <v>2821.3902387399994</v>
      </c>
      <c r="N568" s="24">
        <f>SUM(N566:N567)</f>
        <v>2616.2450545800002</v>
      </c>
      <c r="O568" s="24">
        <f t="shared" ref="O568:Q568" si="361">SUM(O566:O567)</f>
        <v>3294.6833268800001</v>
      </c>
      <c r="P568" s="24">
        <f t="shared" si="361"/>
        <v>1738.1358738400004</v>
      </c>
      <c r="Q568" s="24">
        <f t="shared" si="361"/>
        <v>1350.3800447600001</v>
      </c>
      <c r="R568" s="684">
        <f t="shared" si="357"/>
        <v>39599.571854679998</v>
      </c>
    </row>
    <row r="569" spans="1:19" s="30" customFormat="1" x14ac:dyDescent="0.2">
      <c r="A569" s="30" t="s">
        <v>130</v>
      </c>
      <c r="B569" t="s">
        <v>306</v>
      </c>
      <c r="C569"/>
      <c r="D569">
        <v>101</v>
      </c>
      <c r="E569"/>
      <c r="F569" s="40">
        <f t="shared" ref="F569:N569" si="362">F544*F559</f>
        <v>1889.3106632400002</v>
      </c>
      <c r="G569" s="40">
        <f t="shared" si="362"/>
        <v>1873.1647334399997</v>
      </c>
      <c r="H569" s="40">
        <f t="shared" si="362"/>
        <v>15936.462788399998</v>
      </c>
      <c r="I569" s="40">
        <f t="shared" si="362"/>
        <v>17492.054727839997</v>
      </c>
      <c r="J569" s="36">
        <f t="shared" si="362"/>
        <v>4891.0334180399996</v>
      </c>
      <c r="K569" s="40">
        <f t="shared" si="362"/>
        <v>4956.2722994399992</v>
      </c>
      <c r="L569" s="40">
        <f t="shared" si="362"/>
        <v>4743.4994653199992</v>
      </c>
      <c r="M569" s="40">
        <f t="shared" si="362"/>
        <v>5017.098415559999</v>
      </c>
      <c r="N569" s="40">
        <f t="shared" si="362"/>
        <v>4563.48125772</v>
      </c>
      <c r="O569" s="40">
        <f t="shared" ref="O569:Q569" si="363">O544*O559</f>
        <v>5887.3295989199996</v>
      </c>
      <c r="P569" s="40">
        <f t="shared" si="363"/>
        <v>2982.9082113600002</v>
      </c>
      <c r="Q569" s="40">
        <f t="shared" si="363"/>
        <v>2296.7786780399997</v>
      </c>
      <c r="R569" s="97">
        <f t="shared" si="357"/>
        <v>72529.394257320004</v>
      </c>
    </row>
    <row r="570" spans="1:19" s="30" customFormat="1" x14ac:dyDescent="0.2">
      <c r="A570" t="s">
        <v>147</v>
      </c>
      <c r="B570" t="s">
        <v>61</v>
      </c>
      <c r="C570"/>
      <c r="D570" s="21"/>
      <c r="E570"/>
      <c r="F570" s="40">
        <f t="shared" ref="F570:N570" si="364">F545*F559</f>
        <v>63.950021330000006</v>
      </c>
      <c r="G570" s="40">
        <f t="shared" si="364"/>
        <v>63.403508479999999</v>
      </c>
      <c r="H570" s="40">
        <f t="shared" si="364"/>
        <v>539.42274029999999</v>
      </c>
      <c r="I570" s="40">
        <f t="shared" si="364"/>
        <v>592.07693828000004</v>
      </c>
      <c r="J570" s="40">
        <f t="shared" si="364"/>
        <v>165.55334042999999</v>
      </c>
      <c r="K570" s="40">
        <f t="shared" si="364"/>
        <v>167.76156798</v>
      </c>
      <c r="L570" s="40">
        <f t="shared" si="364"/>
        <v>160.55956169000001</v>
      </c>
      <c r="M570" s="40">
        <f t="shared" si="364"/>
        <v>169.82043076999997</v>
      </c>
      <c r="N570" s="40">
        <f t="shared" si="364"/>
        <v>154.46624499000001</v>
      </c>
      <c r="O570" s="40">
        <f t="shared" ref="O570:Q570" si="365">O545*O559</f>
        <v>199.27630789</v>
      </c>
      <c r="P570" s="40">
        <f t="shared" si="365"/>
        <v>100.96647812</v>
      </c>
      <c r="Q570" s="40">
        <f t="shared" si="365"/>
        <v>77.742135430000005</v>
      </c>
      <c r="R570" s="40">
        <f t="shared" si="357"/>
        <v>2454.9992756899996</v>
      </c>
    </row>
    <row r="571" spans="1:19" s="30" customFormat="1" x14ac:dyDescent="0.2">
      <c r="A571" t="s">
        <v>551</v>
      </c>
      <c r="B571" t="s">
        <v>552</v>
      </c>
      <c r="C571"/>
      <c r="D571" s="21">
        <v>149</v>
      </c>
      <c r="E571"/>
      <c r="F571" s="40">
        <f>F546*F559</f>
        <v>29.260483850000004</v>
      </c>
      <c r="G571" s="40">
        <f t="shared" ref="G571:Q571" si="366">G546*G559</f>
        <v>29.010425600000001</v>
      </c>
      <c r="H571" s="40">
        <f t="shared" si="366"/>
        <v>246.8141535</v>
      </c>
      <c r="I571" s="40">
        <f t="shared" si="366"/>
        <v>270.90620660000002</v>
      </c>
      <c r="J571" s="40">
        <f t="shared" si="366"/>
        <v>75.749323349999997</v>
      </c>
      <c r="K571" s="40">
        <f t="shared" si="366"/>
        <v>76.759703099999996</v>
      </c>
      <c r="L571" s="40">
        <f t="shared" si="366"/>
        <v>73.464408050000003</v>
      </c>
      <c r="M571" s="40">
        <f t="shared" si="366"/>
        <v>77.701740649999991</v>
      </c>
      <c r="N571" s="40">
        <f t="shared" si="366"/>
        <v>70.676396550000007</v>
      </c>
      <c r="O571" s="40">
        <f t="shared" si="366"/>
        <v>91.179347050000004</v>
      </c>
      <c r="P571" s="40">
        <f t="shared" si="366"/>
        <v>46.197451400000006</v>
      </c>
      <c r="Q571" s="40">
        <f t="shared" si="366"/>
        <v>35.57109835</v>
      </c>
      <c r="R571" s="40">
        <f t="shared" si="357"/>
        <v>1123.2907380500001</v>
      </c>
    </row>
    <row r="572" spans="1:19" s="30" customFormat="1" x14ac:dyDescent="0.2">
      <c r="A572"/>
      <c r="B572" t="s">
        <v>18</v>
      </c>
      <c r="C572"/>
      <c r="D572"/>
      <c r="E572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100">
        <f t="shared" si="357"/>
        <v>0</v>
      </c>
    </row>
    <row r="573" spans="1:19" s="30" customFormat="1" x14ac:dyDescent="0.2">
      <c r="A573" t="s">
        <v>147</v>
      </c>
      <c r="B573"/>
      <c r="C573" t="s">
        <v>19</v>
      </c>
      <c r="D573">
        <v>86</v>
      </c>
      <c r="E573"/>
      <c r="F573" s="23">
        <f t="shared" ref="F573:N573" si="367">F548*F560</f>
        <v>169.51046000000002</v>
      </c>
      <c r="G573" s="23">
        <f t="shared" si="367"/>
        <v>161.32303999999999</v>
      </c>
      <c r="H573" s="23">
        <f t="shared" si="367"/>
        <v>157.37024</v>
      </c>
      <c r="I573" s="23">
        <f t="shared" si="367"/>
        <v>169.63489999999999</v>
      </c>
      <c r="J573" s="23">
        <f t="shared" si="367"/>
        <v>155.7269</v>
      </c>
      <c r="K573" s="23">
        <f t="shared" si="367"/>
        <v>162.85902000000002</v>
      </c>
      <c r="L573" s="23">
        <f t="shared" si="367"/>
        <v>166.09811999999997</v>
      </c>
      <c r="M573" s="23">
        <f t="shared" si="367"/>
        <v>144.48094</v>
      </c>
      <c r="N573" s="23">
        <f t="shared" si="367"/>
        <v>165.56863999999999</v>
      </c>
      <c r="O573" s="23">
        <f t="shared" ref="O573:Q573" si="368">O548*O560</f>
        <v>166.19938000000002</v>
      </c>
      <c r="P573" s="23">
        <f t="shared" si="368"/>
        <v>161.42185999999998</v>
      </c>
      <c r="Q573" s="23">
        <f t="shared" si="368"/>
        <v>157.29093999999998</v>
      </c>
      <c r="R573" s="100">
        <f t="shared" si="357"/>
        <v>1937.4844399999997</v>
      </c>
    </row>
    <row r="574" spans="1:19" s="30" customFormat="1" x14ac:dyDescent="0.2">
      <c r="A574" s="30" t="s">
        <v>130</v>
      </c>
      <c r="B574"/>
      <c r="C574" t="s">
        <v>20</v>
      </c>
      <c r="D574">
        <v>101</v>
      </c>
      <c r="E574"/>
      <c r="F574" s="23">
        <f t="shared" ref="F574:N574" si="369">F549*F560</f>
        <v>145.89015000000001</v>
      </c>
      <c r="G574" s="23">
        <f t="shared" si="369"/>
        <v>138.84360000000001</v>
      </c>
      <c r="H574" s="23">
        <f t="shared" si="369"/>
        <v>135.44159999999999</v>
      </c>
      <c r="I574" s="23">
        <f t="shared" si="369"/>
        <v>145.99724999999998</v>
      </c>
      <c r="J574" s="34">
        <f t="shared" si="369"/>
        <v>134.02725000000001</v>
      </c>
      <c r="K574" s="23">
        <f t="shared" si="369"/>
        <v>140.16555000000002</v>
      </c>
      <c r="L574" s="23">
        <f t="shared" si="369"/>
        <v>142.95329999999998</v>
      </c>
      <c r="M574" s="23">
        <f t="shared" si="369"/>
        <v>124.34835000000001</v>
      </c>
      <c r="N574" s="23">
        <f t="shared" si="369"/>
        <v>142.49760000000001</v>
      </c>
      <c r="O574" s="23">
        <f t="shared" ref="O574:Q574" si="370">O549*O560</f>
        <v>143.04045000000002</v>
      </c>
      <c r="P574" s="23">
        <f t="shared" si="370"/>
        <v>138.92865</v>
      </c>
      <c r="Q574" s="23">
        <f t="shared" si="370"/>
        <v>135.37334999999999</v>
      </c>
      <c r="R574" s="100">
        <f t="shared" si="357"/>
        <v>1667.5071</v>
      </c>
    </row>
    <row r="575" spans="1:19" s="30" customFormat="1" x14ac:dyDescent="0.2">
      <c r="A575"/>
      <c r="B575"/>
      <c r="C575" t="s">
        <v>23</v>
      </c>
      <c r="D575"/>
      <c r="E575"/>
      <c r="F575" s="24">
        <f t="shared" ref="F575:K575" si="371">SUM(F573:F574)</f>
        <v>315.40061000000003</v>
      </c>
      <c r="G575" s="24">
        <f t="shared" si="371"/>
        <v>300.16664000000003</v>
      </c>
      <c r="H575" s="24">
        <f t="shared" si="371"/>
        <v>292.81183999999996</v>
      </c>
      <c r="I575" s="24">
        <f t="shared" si="371"/>
        <v>315.63214999999997</v>
      </c>
      <c r="J575" s="24">
        <f t="shared" si="371"/>
        <v>289.75414999999998</v>
      </c>
      <c r="K575" s="24">
        <f t="shared" si="371"/>
        <v>303.02457000000004</v>
      </c>
      <c r="L575" s="24">
        <f>SUM(L573:L574)</f>
        <v>309.05141999999995</v>
      </c>
      <c r="M575" s="24">
        <f>SUM(M573:M574)</f>
        <v>268.82929000000001</v>
      </c>
      <c r="N575" s="24">
        <f>SUM(N573:N574)</f>
        <v>308.06623999999999</v>
      </c>
      <c r="O575" s="24">
        <f t="shared" ref="O575:Q575" si="372">SUM(O573:O574)</f>
        <v>309.23983000000004</v>
      </c>
      <c r="P575" s="24">
        <f t="shared" si="372"/>
        <v>300.35050999999999</v>
      </c>
      <c r="Q575" s="24">
        <f t="shared" si="372"/>
        <v>292.66428999999994</v>
      </c>
      <c r="R575" s="684">
        <f t="shared" si="357"/>
        <v>3604.99154</v>
      </c>
    </row>
    <row r="576" spans="1:19" s="30" customFormat="1" x14ac:dyDescent="0.2">
      <c r="A576" s="30" t="s">
        <v>147</v>
      </c>
      <c r="B576" s="30" t="s">
        <v>21</v>
      </c>
      <c r="D576" s="30">
        <v>86</v>
      </c>
      <c r="F576" s="74">
        <f>'(R) Data'!C64</f>
        <v>265.83999999999997</v>
      </c>
      <c r="G576" s="74">
        <f>'(R) Data'!D64</f>
        <v>67.319999999999993</v>
      </c>
      <c r="H576" s="74">
        <f>'(R) Data'!E64</f>
        <v>0</v>
      </c>
      <c r="I576" s="74">
        <f>'(R) Data'!F64</f>
        <v>0</v>
      </c>
      <c r="J576" s="74">
        <f>'(R) Data'!G64</f>
        <v>0</v>
      </c>
      <c r="K576" s="74">
        <f>'(R) Data'!H64</f>
        <v>0</v>
      </c>
      <c r="L576" s="74">
        <f>'(R) Data'!I64</f>
        <v>0</v>
      </c>
      <c r="M576" s="74">
        <f>'(R) Data'!J64</f>
        <v>0</v>
      </c>
      <c r="N576" s="74">
        <f>'(R) Data'!K64</f>
        <v>0</v>
      </c>
      <c r="O576" s="74">
        <f>'(R) Data'!L64</f>
        <v>0</v>
      </c>
      <c r="P576" s="74">
        <f>'(R) Data'!M64</f>
        <v>0</v>
      </c>
      <c r="Q576" s="74">
        <f>'(R) Data'!N64</f>
        <v>0</v>
      </c>
      <c r="R576" s="70">
        <f t="shared" si="357"/>
        <v>333.15999999999997</v>
      </c>
    </row>
    <row r="577" spans="1:19" s="30" customFormat="1" x14ac:dyDescent="0.2">
      <c r="A577"/>
      <c r="B577" t="s">
        <v>25</v>
      </c>
      <c r="C577"/>
      <c r="D577"/>
      <c r="E577"/>
      <c r="F577" s="24">
        <f t="shared" ref="F577:K577" si="373">F569+F574</f>
        <v>2035.2008132400001</v>
      </c>
      <c r="G577" s="24">
        <f t="shared" si="373"/>
        <v>2012.0083334399997</v>
      </c>
      <c r="H577" s="24">
        <f t="shared" si="373"/>
        <v>16071.904388399998</v>
      </c>
      <c r="I577" s="24">
        <f t="shared" si="373"/>
        <v>17638.051977839998</v>
      </c>
      <c r="J577" s="24">
        <f t="shared" si="373"/>
        <v>5025.0606680399997</v>
      </c>
      <c r="K577" s="24">
        <f t="shared" si="373"/>
        <v>5096.4378494399989</v>
      </c>
      <c r="L577" s="24">
        <f>L569+L574</f>
        <v>4886.4527653199993</v>
      </c>
      <c r="M577" s="24">
        <f>M569+M574</f>
        <v>5141.4467655599992</v>
      </c>
      <c r="N577" s="24">
        <f>N569+N574</f>
        <v>4705.9788577199997</v>
      </c>
      <c r="O577" s="24">
        <f t="shared" ref="O577:Q577" si="374">O569+O574</f>
        <v>6030.37004892</v>
      </c>
      <c r="P577" s="24">
        <f t="shared" si="374"/>
        <v>3121.8368613600001</v>
      </c>
      <c r="Q577" s="24">
        <f t="shared" si="374"/>
        <v>2432.1520280399995</v>
      </c>
      <c r="R577" s="684">
        <f t="shared" si="357"/>
        <v>74196.901357320006</v>
      </c>
    </row>
    <row r="578" spans="1:19" s="30" customFormat="1" x14ac:dyDescent="0.2">
      <c r="A578"/>
      <c r="B578" t="s">
        <v>24</v>
      </c>
      <c r="C578"/>
      <c r="D578"/>
      <c r="E578"/>
      <c r="F578" s="24">
        <f>F564+F568+F569+F570+F571+F575+F576</f>
        <v>4268.1483070300592</v>
      </c>
      <c r="G578" s="24">
        <f t="shared" ref="G578:R578" si="375">G564+G568+G569+G570+G571+G575+G576</f>
        <v>3988.6723860322149</v>
      </c>
      <c r="H578" s="24">
        <f t="shared" si="375"/>
        <v>25861.678071800779</v>
      </c>
      <c r="I578" s="24">
        <f t="shared" si="375"/>
        <v>28372.702380433289</v>
      </c>
      <c r="J578" s="24">
        <f t="shared" si="375"/>
        <v>8700.6594320418171</v>
      </c>
      <c r="K578" s="24">
        <f t="shared" si="375"/>
        <v>8821.8491906509062</v>
      </c>
      <c r="L578" s="24">
        <f t="shared" si="375"/>
        <v>8495.1811047429728</v>
      </c>
      <c r="M578" s="24">
        <f t="shared" si="375"/>
        <v>8890.2431918113616</v>
      </c>
      <c r="N578" s="24">
        <f t="shared" si="375"/>
        <v>8281.3559858389199</v>
      </c>
      <c r="O578" s="24">
        <f t="shared" si="375"/>
        <v>10341.709967707158</v>
      </c>
      <c r="P578" s="24">
        <f t="shared" si="375"/>
        <v>5728.408524720001</v>
      </c>
      <c r="Q578" s="24">
        <f t="shared" si="375"/>
        <v>4596.1462465800005</v>
      </c>
      <c r="R578" s="24">
        <f t="shared" si="375"/>
        <v>126346.7547893895</v>
      </c>
    </row>
    <row r="579" spans="1:19" s="30" customFormat="1" x14ac:dyDescent="0.2">
      <c r="A579"/>
      <c r="B579"/>
      <c r="C579"/>
      <c r="D579"/>
      <c r="E579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100"/>
    </row>
    <row r="580" spans="1:19" s="30" customFormat="1" x14ac:dyDescent="0.2">
      <c r="A580" t="s">
        <v>305</v>
      </c>
      <c r="B580" t="s">
        <v>304</v>
      </c>
      <c r="C580"/>
      <c r="D580"/>
      <c r="E580"/>
      <c r="F580" s="23">
        <f t="shared" ref="F580:N580" si="376">F551*F559+F560*F552</f>
        <v>1942.3759058200003</v>
      </c>
      <c r="G580" s="23">
        <f t="shared" si="376"/>
        <v>1920.2528819199999</v>
      </c>
      <c r="H580" s="23">
        <f t="shared" si="376"/>
        <v>15341.0701162</v>
      </c>
      <c r="I580" s="23">
        <f t="shared" si="376"/>
        <v>16836.006331119999</v>
      </c>
      <c r="J580" s="23">
        <f t="shared" si="376"/>
        <v>4796.3587172200005</v>
      </c>
      <c r="K580" s="23">
        <f t="shared" si="376"/>
        <v>4864.4781949199996</v>
      </c>
      <c r="L580" s="23">
        <f t="shared" si="376"/>
        <v>4664.0318532599995</v>
      </c>
      <c r="M580" s="23">
        <f t="shared" si="376"/>
        <v>4907.475487579999</v>
      </c>
      <c r="N580" s="23">
        <f t="shared" si="376"/>
        <v>4491.7622914600015</v>
      </c>
      <c r="O580" s="23">
        <f t="shared" ref="O580:Q580" si="377">O551*O559+O560*O552</f>
        <v>5755.9527080600001</v>
      </c>
      <c r="P580" s="23">
        <f t="shared" si="377"/>
        <v>2979.6344744800003</v>
      </c>
      <c r="Q580" s="23">
        <f t="shared" si="377"/>
        <v>2321.3066472200003</v>
      </c>
      <c r="R580" s="100">
        <f>SUM(F580:Q580)</f>
        <v>70820.705609259996</v>
      </c>
    </row>
    <row r="582" spans="1:19" x14ac:dyDescent="0.2">
      <c r="B582" s="15" t="s">
        <v>318</v>
      </c>
      <c r="C582" s="15"/>
      <c r="S582"/>
    </row>
    <row r="583" spans="1:19" x14ac:dyDescent="0.2">
      <c r="B583" s="15" t="s">
        <v>7</v>
      </c>
      <c r="C583" s="15"/>
      <c r="S583"/>
    </row>
    <row r="584" spans="1:19" x14ac:dyDescent="0.2">
      <c r="B584" t="s">
        <v>282</v>
      </c>
      <c r="D584" s="21" t="s">
        <v>298</v>
      </c>
      <c r="E584" t="s">
        <v>5</v>
      </c>
      <c r="F584" s="159">
        <f>'Rate Design Int &amp; Trans'!$H$93</f>
        <v>443.44</v>
      </c>
      <c r="G584" s="159">
        <f>'Rate Design Int &amp; Trans'!$H$93</f>
        <v>443.44</v>
      </c>
      <c r="H584" s="159">
        <f>'Rate Design Int &amp; Trans'!$H$93</f>
        <v>443.44</v>
      </c>
      <c r="I584" s="159">
        <f>'Rate Design Int &amp; Trans'!$H$93</f>
        <v>443.44</v>
      </c>
      <c r="J584" s="159">
        <f>'Rate Design Int &amp; Trans'!$H$93</f>
        <v>443.44</v>
      </c>
      <c r="K584" s="159">
        <f>'Rate Design Int &amp; Trans'!$H$93</f>
        <v>443.44</v>
      </c>
      <c r="L584" s="159">
        <f>'Rate Design Int &amp; Trans'!$H$93</f>
        <v>443.44</v>
      </c>
      <c r="M584" s="159">
        <f>'Rate Design Int &amp; Trans'!$H$93</f>
        <v>443.44</v>
      </c>
      <c r="N584" s="159">
        <f>'Rate Design Int &amp; Trans'!$H$93</f>
        <v>443.44</v>
      </c>
      <c r="O584" s="159">
        <f>'Rate Design Int &amp; Trans'!$H$93</f>
        <v>443.44</v>
      </c>
      <c r="P584" s="159">
        <f>'Rate Design Int &amp; Trans'!$H$93</f>
        <v>443.44</v>
      </c>
      <c r="Q584" s="159">
        <f>'Rate Design Int &amp; Trans'!$H$93</f>
        <v>443.44</v>
      </c>
      <c r="R584" s="26"/>
      <c r="S584"/>
    </row>
    <row r="585" spans="1:19" x14ac:dyDescent="0.2">
      <c r="B585" t="s">
        <v>3</v>
      </c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20"/>
      <c r="S585"/>
    </row>
    <row r="586" spans="1:19" x14ac:dyDescent="0.2">
      <c r="C586" t="s">
        <v>59</v>
      </c>
      <c r="D586" s="21" t="s">
        <v>298</v>
      </c>
      <c r="E586" t="s">
        <v>6</v>
      </c>
      <c r="F586" s="160">
        <f>'Rate Design Int &amp; Trans'!$H$98</f>
        <v>0.19273999999999999</v>
      </c>
      <c r="G586" s="160">
        <f>'Rate Design Int &amp; Trans'!$H$98</f>
        <v>0.19273999999999999</v>
      </c>
      <c r="H586" s="160">
        <f>'Rate Design Int &amp; Trans'!$H$98</f>
        <v>0.19273999999999999</v>
      </c>
      <c r="I586" s="160">
        <f>'Rate Design Int &amp; Trans'!$H$98</f>
        <v>0.19273999999999999</v>
      </c>
      <c r="J586" s="160">
        <f>'Rate Design Int &amp; Trans'!$H$98</f>
        <v>0.19273999999999999</v>
      </c>
      <c r="K586" s="160">
        <f>'Rate Design Int &amp; Trans'!$H$98</f>
        <v>0.19273999999999999</v>
      </c>
      <c r="L586" s="160">
        <f>'Rate Design Int &amp; Trans'!$H$98</f>
        <v>0.19273999999999999</v>
      </c>
      <c r="M586" s="160">
        <f>'Rate Design Int &amp; Trans'!$H$98</f>
        <v>0.19273999999999999</v>
      </c>
      <c r="N586" s="160">
        <f>'Rate Design Int &amp; Trans'!$H$98</f>
        <v>0.19273999999999999</v>
      </c>
      <c r="O586" s="160">
        <f>'Rate Design Int &amp; Trans'!$H$98</f>
        <v>0.19273999999999999</v>
      </c>
      <c r="P586" s="160">
        <f>'Rate Design Int &amp; Trans'!$H$98</f>
        <v>0.19273999999999999</v>
      </c>
      <c r="Q586" s="160">
        <f>'Rate Design Int &amp; Trans'!$H$98</f>
        <v>0.19273999999999999</v>
      </c>
      <c r="R586" s="20"/>
      <c r="S586"/>
    </row>
    <row r="587" spans="1:19" x14ac:dyDescent="0.2">
      <c r="C587" t="s">
        <v>60</v>
      </c>
      <c r="D587" s="21" t="s">
        <v>298</v>
      </c>
      <c r="E587" t="s">
        <v>6</v>
      </c>
      <c r="F587" s="160">
        <f>'Rate Design Int &amp; Trans'!$H$99</f>
        <v>0.13664000000000001</v>
      </c>
      <c r="G587" s="160">
        <f>'Rate Design Int &amp; Trans'!$H$99</f>
        <v>0.13664000000000001</v>
      </c>
      <c r="H587" s="160">
        <f>'Rate Design Int &amp; Trans'!$H$99</f>
        <v>0.13664000000000001</v>
      </c>
      <c r="I587" s="160">
        <f>'Rate Design Int &amp; Trans'!$H$99</f>
        <v>0.13664000000000001</v>
      </c>
      <c r="J587" s="160">
        <f>'Rate Design Int &amp; Trans'!$H$99</f>
        <v>0.13664000000000001</v>
      </c>
      <c r="K587" s="160">
        <f>'Rate Design Int &amp; Trans'!$H$99</f>
        <v>0.13664000000000001</v>
      </c>
      <c r="L587" s="160">
        <f>'Rate Design Int &amp; Trans'!$H$99</f>
        <v>0.13664000000000001</v>
      </c>
      <c r="M587" s="160">
        <f>'Rate Design Int &amp; Trans'!$H$99</f>
        <v>0.13664000000000001</v>
      </c>
      <c r="N587" s="160">
        <f>'Rate Design Int &amp; Trans'!$H$99</f>
        <v>0.13664000000000001</v>
      </c>
      <c r="O587" s="160">
        <f>'Rate Design Int &amp; Trans'!$H$99</f>
        <v>0.13664000000000001</v>
      </c>
      <c r="P587" s="160">
        <f>'Rate Design Int &amp; Trans'!$H$99</f>
        <v>0.13664000000000001</v>
      </c>
      <c r="Q587" s="160">
        <f>'Rate Design Int &amp; Trans'!$H$99</f>
        <v>0.13664000000000001</v>
      </c>
      <c r="R587" s="20"/>
      <c r="S587"/>
    </row>
    <row r="588" spans="1:19" s="30" customFormat="1" x14ac:dyDescent="0.2">
      <c r="A588"/>
      <c r="B588" t="s">
        <v>301</v>
      </c>
      <c r="C588"/>
      <c r="D588" s="21" t="s">
        <v>298</v>
      </c>
      <c r="E588" t="s">
        <v>6</v>
      </c>
      <c r="F588" s="160">
        <f>'Rate Design Int &amp; Trans'!$H$102</f>
        <v>6.9999999999999999E-4</v>
      </c>
      <c r="G588" s="160">
        <f>'Rate Design Int &amp; Trans'!$H$102</f>
        <v>6.9999999999999999E-4</v>
      </c>
      <c r="H588" s="160">
        <f>'Rate Design Int &amp; Trans'!$H$102</f>
        <v>6.9999999999999999E-4</v>
      </c>
      <c r="I588" s="160">
        <f>'Rate Design Int &amp; Trans'!$H$102</f>
        <v>6.9999999999999999E-4</v>
      </c>
      <c r="J588" s="160">
        <f>'Rate Design Int &amp; Trans'!$H$102</f>
        <v>6.9999999999999999E-4</v>
      </c>
      <c r="K588" s="160">
        <f>'Rate Design Int &amp; Trans'!$H$102</f>
        <v>6.9999999999999999E-4</v>
      </c>
      <c r="L588" s="160">
        <f>'Rate Design Int &amp; Trans'!$H$102</f>
        <v>6.9999999999999999E-4</v>
      </c>
      <c r="M588" s="160">
        <f>'Rate Design Int &amp; Trans'!$H$102</f>
        <v>6.9999999999999999E-4</v>
      </c>
      <c r="N588" s="160">
        <f>'Rate Design Int &amp; Trans'!$H$102</f>
        <v>6.9999999999999999E-4</v>
      </c>
      <c r="O588" s="160">
        <f>'Rate Design Int &amp; Trans'!$H$102</f>
        <v>6.9999999999999999E-4</v>
      </c>
      <c r="P588" s="160">
        <f>'Rate Design Int &amp; Trans'!$H$102</f>
        <v>6.9999999999999999E-4</v>
      </c>
      <c r="Q588" s="160">
        <f>'Rate Design Int &amp; Trans'!$H$102</f>
        <v>6.9999999999999999E-4</v>
      </c>
      <c r="R588" s="20"/>
    </row>
    <row r="589" spans="1:19" s="30" customFormat="1" x14ac:dyDescent="0.2">
      <c r="A589"/>
      <c r="B589" t="s">
        <v>550</v>
      </c>
      <c r="C589"/>
      <c r="D589" s="21">
        <v>149</v>
      </c>
      <c r="E589" t="s">
        <v>6</v>
      </c>
      <c r="F589" s="773">
        <f>F502</f>
        <v>4.15E-3</v>
      </c>
      <c r="G589" s="773">
        <f t="shared" ref="G589:Q589" si="378">G502</f>
        <v>4.15E-3</v>
      </c>
      <c r="H589" s="773">
        <f t="shared" si="378"/>
        <v>4.15E-3</v>
      </c>
      <c r="I589" s="773">
        <f t="shared" si="378"/>
        <v>4.15E-3</v>
      </c>
      <c r="J589" s="773">
        <f t="shared" si="378"/>
        <v>4.15E-3</v>
      </c>
      <c r="K589" s="773">
        <f t="shared" si="378"/>
        <v>4.15E-3</v>
      </c>
      <c r="L589" s="773">
        <f t="shared" si="378"/>
        <v>4.15E-3</v>
      </c>
      <c r="M589" s="773">
        <f t="shared" si="378"/>
        <v>4.15E-3</v>
      </c>
      <c r="N589" s="773">
        <f t="shared" si="378"/>
        <v>4.15E-3</v>
      </c>
      <c r="O589" s="773">
        <f t="shared" si="378"/>
        <v>4.15E-3</v>
      </c>
      <c r="P589" s="773">
        <f t="shared" si="378"/>
        <v>4.15E-3</v>
      </c>
      <c r="Q589" s="773">
        <f t="shared" si="378"/>
        <v>4.15E-3</v>
      </c>
      <c r="R589" s="20"/>
    </row>
    <row r="590" spans="1:19" x14ac:dyDescent="0.2">
      <c r="B590" t="s">
        <v>19</v>
      </c>
      <c r="D590">
        <v>101</v>
      </c>
      <c r="E590" t="s">
        <v>6</v>
      </c>
      <c r="F590" s="159">
        <f>'Rate Design Int &amp; Trans'!$H$94</f>
        <v>1.22</v>
      </c>
      <c r="G590" s="159">
        <f>'Rate Design Int &amp; Trans'!$H$94</f>
        <v>1.22</v>
      </c>
      <c r="H590" s="159">
        <f>'Rate Design Int &amp; Trans'!$H$94</f>
        <v>1.22</v>
      </c>
      <c r="I590" s="159">
        <f>'Rate Design Int &amp; Trans'!$H$94</f>
        <v>1.22</v>
      </c>
      <c r="J590" s="159">
        <f>'Rate Design Int &amp; Trans'!$H$94</f>
        <v>1.22</v>
      </c>
      <c r="K590" s="159">
        <f>'Rate Design Int &amp; Trans'!$H$94</f>
        <v>1.22</v>
      </c>
      <c r="L590" s="159">
        <f>'Rate Design Int &amp; Trans'!$H$94</f>
        <v>1.22</v>
      </c>
      <c r="M590" s="159">
        <f>'Rate Design Int &amp; Trans'!$H$94</f>
        <v>1.22</v>
      </c>
      <c r="N590" s="159">
        <f>'Rate Design Int &amp; Trans'!$H$94</f>
        <v>1.22</v>
      </c>
      <c r="O590" s="159">
        <f>'Rate Design Int &amp; Trans'!$H$94</f>
        <v>1.22</v>
      </c>
      <c r="P590" s="159">
        <f>'Rate Design Int &amp; Trans'!$H$94</f>
        <v>1.22</v>
      </c>
      <c r="Q590" s="159">
        <f>'Rate Design Int &amp; Trans'!$H$94</f>
        <v>1.22</v>
      </c>
      <c r="R590" s="20"/>
      <c r="S590"/>
    </row>
    <row r="591" spans="1:19" x14ac:dyDescent="0.2">
      <c r="A591" s="30"/>
      <c r="B591" s="30" t="s">
        <v>21</v>
      </c>
      <c r="C591" s="30"/>
      <c r="D591" s="21" t="s">
        <v>298</v>
      </c>
      <c r="E591" s="30" t="s">
        <v>22</v>
      </c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65"/>
      <c r="S591"/>
    </row>
    <row r="592" spans="1:19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/>
    </row>
    <row r="593" spans="1:19" x14ac:dyDescent="0.2">
      <c r="A593" s="30"/>
      <c r="B593" s="29" t="s">
        <v>8</v>
      </c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/>
    </row>
    <row r="594" spans="1:19" x14ac:dyDescent="0.2">
      <c r="A594" s="30"/>
      <c r="B594" s="30" t="s">
        <v>22</v>
      </c>
      <c r="C594" s="30"/>
      <c r="D594" s="30"/>
      <c r="E594" s="30" t="s">
        <v>22</v>
      </c>
      <c r="F594" s="76">
        <f>'(R) Data'!C29</f>
        <v>4</v>
      </c>
      <c r="G594" s="76">
        <f>'(R) Data'!D29</f>
        <v>4</v>
      </c>
      <c r="H594" s="76">
        <f>'(R) Data'!E29</f>
        <v>4</v>
      </c>
      <c r="I594" s="76">
        <f>'(R) Data'!F29</f>
        <v>4</v>
      </c>
      <c r="J594" s="76">
        <f>'(R) Data'!G29</f>
        <v>2</v>
      </c>
      <c r="K594" s="76">
        <f>'(R) Data'!H29</f>
        <v>1.9999719301096293</v>
      </c>
      <c r="L594" s="76">
        <f>'(R) Data'!I29</f>
        <v>2</v>
      </c>
      <c r="M594" s="76">
        <f>'(R) Data'!J29</f>
        <v>2</v>
      </c>
      <c r="N594" s="76">
        <f>'(R) Data'!K29</f>
        <v>2</v>
      </c>
      <c r="O594" s="76">
        <f>'(R) Data'!L29</f>
        <v>2</v>
      </c>
      <c r="P594" s="76">
        <f>'(R) Data'!M29</f>
        <v>2</v>
      </c>
      <c r="Q594" s="76">
        <f>'(R) Data'!N29</f>
        <v>2</v>
      </c>
      <c r="R594" s="107">
        <f>SUM(F594:Q594)</f>
        <v>31.999971930109631</v>
      </c>
      <c r="S594"/>
    </row>
    <row r="595" spans="1:19" x14ac:dyDescent="0.2">
      <c r="A595" s="30"/>
      <c r="B595" s="30" t="s">
        <v>30</v>
      </c>
      <c r="C595" s="30"/>
      <c r="D595" s="30"/>
      <c r="E595" s="30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107"/>
      <c r="S595"/>
    </row>
    <row r="596" spans="1:19" x14ac:dyDescent="0.2">
      <c r="A596" s="30"/>
      <c r="B596" s="30"/>
      <c r="C596" s="30" t="s">
        <v>59</v>
      </c>
      <c r="D596" s="30"/>
      <c r="E596" s="30" t="s">
        <v>10</v>
      </c>
      <c r="F596" s="161">
        <f>'(R) Therms By Block'!B77</f>
        <v>2000</v>
      </c>
      <c r="G596" s="170">
        <f>'(R) Therms By Block'!C77</f>
        <v>2000</v>
      </c>
      <c r="H596" s="170">
        <f>'(R) Therms By Block'!D77</f>
        <v>2000</v>
      </c>
      <c r="I596" s="170">
        <f>'(R) Therms By Block'!E77</f>
        <v>2000</v>
      </c>
      <c r="J596" s="170">
        <f>'(R) Therms By Block'!F77</f>
        <v>2000</v>
      </c>
      <c r="K596" s="170">
        <f>'(R) Therms By Block'!G77</f>
        <v>2000</v>
      </c>
      <c r="L596" s="170">
        <f>'(R) Therms By Block'!H77</f>
        <v>2000</v>
      </c>
      <c r="M596" s="170">
        <f>'(R) Therms By Block'!I77</f>
        <v>2000</v>
      </c>
      <c r="N596" s="170">
        <f>'(R) Therms By Block'!J77</f>
        <v>2000</v>
      </c>
      <c r="O596" s="170">
        <f>'(R) Therms By Block'!K77</f>
        <v>2000</v>
      </c>
      <c r="P596" s="170">
        <f>'(R) Therms By Block'!L77</f>
        <v>2000</v>
      </c>
      <c r="Q596" s="170">
        <f>'(R) Therms By Block'!M77</f>
        <v>1930.91</v>
      </c>
      <c r="R596" s="107">
        <f>SUM(F596:Q596)</f>
        <v>23930.91</v>
      </c>
      <c r="S596"/>
    </row>
    <row r="597" spans="1:19" x14ac:dyDescent="0.2">
      <c r="A597" s="30"/>
      <c r="B597" s="30"/>
      <c r="C597" s="30" t="s">
        <v>60</v>
      </c>
      <c r="D597" s="30"/>
      <c r="E597" s="30" t="s">
        <v>10</v>
      </c>
      <c r="F597" s="107">
        <f t="shared" ref="F597:N597" si="379">F598-F596</f>
        <v>22835.61</v>
      </c>
      <c r="G597" s="107">
        <f t="shared" si="379"/>
        <v>16950.099999999999</v>
      </c>
      <c r="H597" s="107">
        <f t="shared" si="379"/>
        <v>12249</v>
      </c>
      <c r="I597" s="107">
        <f t="shared" si="379"/>
        <v>29358.14</v>
      </c>
      <c r="J597" s="107">
        <f t="shared" si="379"/>
        <v>26587.62</v>
      </c>
      <c r="K597" s="107">
        <f t="shared" si="379"/>
        <v>27791.48</v>
      </c>
      <c r="L597" s="107">
        <f t="shared" si="379"/>
        <v>47343.94</v>
      </c>
      <c r="M597" s="107">
        <f t="shared" si="379"/>
        <v>50603.87</v>
      </c>
      <c r="N597" s="107">
        <f t="shared" si="379"/>
        <v>38825.67</v>
      </c>
      <c r="O597" s="107">
        <f t="shared" ref="O597:Q597" si="380">O598-O596</f>
        <v>22785.5</v>
      </c>
      <c r="P597" s="107">
        <f t="shared" si="380"/>
        <v>16363.18</v>
      </c>
      <c r="Q597" s="107">
        <f t="shared" si="380"/>
        <v>19011.68</v>
      </c>
      <c r="R597" s="107">
        <f>SUM(F597:Q597)</f>
        <v>330705.78999999998</v>
      </c>
      <c r="S597"/>
    </row>
    <row r="598" spans="1:19" x14ac:dyDescent="0.2">
      <c r="A598" s="30"/>
      <c r="B598" s="30"/>
      <c r="C598" s="30" t="s">
        <v>17</v>
      </c>
      <c r="D598" s="30"/>
      <c r="E598" s="30" t="s">
        <v>10</v>
      </c>
      <c r="F598" s="111">
        <f>'Weather Adj'!D193</f>
        <v>24835.61</v>
      </c>
      <c r="G598" s="111">
        <f>'Weather Adj'!E193</f>
        <v>18950.099999999999</v>
      </c>
      <c r="H598" s="111">
        <f>'Weather Adj'!F193</f>
        <v>14249</v>
      </c>
      <c r="I598" s="111">
        <f>'Weather Adj'!G193</f>
        <v>31358.14</v>
      </c>
      <c r="J598" s="111">
        <f>'Weather Adj'!H193</f>
        <v>28587.62</v>
      </c>
      <c r="K598" s="111">
        <f>'Weather Adj'!I193</f>
        <v>29791.48</v>
      </c>
      <c r="L598" s="111">
        <f>'Weather Adj'!J193</f>
        <v>49343.94</v>
      </c>
      <c r="M598" s="111">
        <f>'Weather Adj'!K193</f>
        <v>52603.87</v>
      </c>
      <c r="N598" s="111">
        <f>'Weather Adj'!L193</f>
        <v>40825.67</v>
      </c>
      <c r="O598" s="111">
        <f>'Weather Adj'!M193</f>
        <v>24785.5</v>
      </c>
      <c r="P598" s="111">
        <f>'Weather Adj'!N193</f>
        <v>18363.18</v>
      </c>
      <c r="Q598" s="111">
        <f>'Weather Adj'!O193</f>
        <v>20942.59</v>
      </c>
      <c r="R598" s="109">
        <f>SUM(R596:R597)</f>
        <v>354636.69999999995</v>
      </c>
      <c r="S598"/>
    </row>
    <row r="599" spans="1:19" x14ac:dyDescent="0.2">
      <c r="A599" s="30"/>
      <c r="B599" s="30" t="s">
        <v>29</v>
      </c>
      <c r="C599" s="30"/>
      <c r="D599" s="30"/>
      <c r="E599" s="30" t="s">
        <v>100</v>
      </c>
      <c r="F599" s="76">
        <f>'(R) Data'!C49</f>
        <v>750</v>
      </c>
      <c r="G599" s="76">
        <f>'(R) Data'!D49</f>
        <v>750</v>
      </c>
      <c r="H599" s="76">
        <f>'(R) Data'!E49</f>
        <v>750</v>
      </c>
      <c r="I599" s="76">
        <f>'(R) Data'!F49</f>
        <v>750</v>
      </c>
      <c r="J599" s="76">
        <f>'(R) Data'!G49</f>
        <v>750</v>
      </c>
      <c r="K599" s="76">
        <f>'(R) Data'!H49</f>
        <v>750</v>
      </c>
      <c r="L599" s="76">
        <f>'(R) Data'!I49</f>
        <v>750</v>
      </c>
      <c r="M599" s="76">
        <f>'(R) Data'!J49</f>
        <v>750</v>
      </c>
      <c r="N599" s="76">
        <f>'(R) Data'!K49</f>
        <v>750</v>
      </c>
      <c r="O599" s="76">
        <f>'(R) Data'!L49</f>
        <v>750</v>
      </c>
      <c r="P599" s="76">
        <f>'(R) Data'!M49</f>
        <v>1500</v>
      </c>
      <c r="Q599" s="76">
        <f>'(R) Data'!N49</f>
        <v>750</v>
      </c>
      <c r="R599" s="107">
        <f>SUM(F599:Q599)</f>
        <v>9750</v>
      </c>
      <c r="S599"/>
    </row>
    <row r="600" spans="1:19" x14ac:dyDescent="0.2">
      <c r="A600" s="30"/>
      <c r="B600" s="30" t="s">
        <v>21</v>
      </c>
      <c r="C600" s="30"/>
      <c r="D600" s="30"/>
      <c r="E600" s="30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40"/>
      <c r="S600"/>
    </row>
    <row r="601" spans="1:19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96"/>
      <c r="S601"/>
    </row>
    <row r="602" spans="1:19" s="30" customFormat="1" x14ac:dyDescent="0.2">
      <c r="B602" s="29" t="s">
        <v>9</v>
      </c>
      <c r="R602" s="96"/>
    </row>
    <row r="603" spans="1:19" s="30" customFormat="1" x14ac:dyDescent="0.2">
      <c r="A603" s="30" t="s">
        <v>147</v>
      </c>
      <c r="B603" s="30" t="s">
        <v>282</v>
      </c>
      <c r="D603" s="21" t="s">
        <v>298</v>
      </c>
      <c r="F603" s="34">
        <f t="shared" ref="F603:N603" si="381">F584*F594</f>
        <v>1773.76</v>
      </c>
      <c r="G603" s="34">
        <f t="shared" si="381"/>
        <v>1773.76</v>
      </c>
      <c r="H603" s="34">
        <f t="shared" si="381"/>
        <v>1773.76</v>
      </c>
      <c r="I603" s="34">
        <f t="shared" si="381"/>
        <v>1773.76</v>
      </c>
      <c r="J603" s="34">
        <f t="shared" si="381"/>
        <v>886.88</v>
      </c>
      <c r="K603" s="34">
        <f t="shared" si="381"/>
        <v>886.86755268781394</v>
      </c>
      <c r="L603" s="34">
        <f t="shared" si="381"/>
        <v>886.88</v>
      </c>
      <c r="M603" s="34">
        <f t="shared" si="381"/>
        <v>886.88</v>
      </c>
      <c r="N603" s="34">
        <f t="shared" si="381"/>
        <v>886.88</v>
      </c>
      <c r="O603" s="34">
        <f t="shared" ref="O603:Q603" si="382">O584*O594</f>
        <v>886.88</v>
      </c>
      <c r="P603" s="34">
        <f t="shared" si="382"/>
        <v>886.88</v>
      </c>
      <c r="Q603" s="34">
        <f t="shared" si="382"/>
        <v>886.88</v>
      </c>
      <c r="R603" s="107">
        <f>SUM(F603:Q603)</f>
        <v>14190.067552687809</v>
      </c>
    </row>
    <row r="604" spans="1:19" s="30" customFormat="1" x14ac:dyDescent="0.2">
      <c r="B604" s="30" t="s">
        <v>3</v>
      </c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</row>
    <row r="605" spans="1:19" s="30" customFormat="1" x14ac:dyDescent="0.2">
      <c r="C605" s="30" t="s">
        <v>59</v>
      </c>
      <c r="D605" s="21" t="s">
        <v>298</v>
      </c>
      <c r="F605" s="34">
        <f t="shared" ref="F605:N605" si="383">F586*F596</f>
        <v>385.47999999999996</v>
      </c>
      <c r="G605" s="34">
        <f t="shared" si="383"/>
        <v>385.47999999999996</v>
      </c>
      <c r="H605" s="34">
        <f t="shared" si="383"/>
        <v>385.47999999999996</v>
      </c>
      <c r="I605" s="34">
        <f t="shared" si="383"/>
        <v>385.47999999999996</v>
      </c>
      <c r="J605" s="34">
        <f t="shared" si="383"/>
        <v>385.47999999999996</v>
      </c>
      <c r="K605" s="34">
        <f t="shared" si="383"/>
        <v>385.47999999999996</v>
      </c>
      <c r="L605" s="34">
        <f t="shared" si="383"/>
        <v>385.47999999999996</v>
      </c>
      <c r="M605" s="34">
        <f t="shared" si="383"/>
        <v>385.47999999999996</v>
      </c>
      <c r="N605" s="34">
        <f t="shared" si="383"/>
        <v>385.47999999999996</v>
      </c>
      <c r="O605" s="34">
        <f t="shared" ref="O605:Q605" si="384">O586*O596</f>
        <v>385.47999999999996</v>
      </c>
      <c r="P605" s="34">
        <f t="shared" si="384"/>
        <v>385.47999999999996</v>
      </c>
      <c r="Q605" s="34">
        <f t="shared" si="384"/>
        <v>372.16359340000002</v>
      </c>
      <c r="R605" s="107">
        <f>SUM(F605:Q605)</f>
        <v>4612.4435933999994</v>
      </c>
    </row>
    <row r="606" spans="1:19" s="30" customFormat="1" x14ac:dyDescent="0.2">
      <c r="C606" s="30" t="s">
        <v>60</v>
      </c>
      <c r="D606" s="21" t="s">
        <v>298</v>
      </c>
      <c r="F606" s="34">
        <f t="shared" ref="F606:N606" si="385">F587*F597</f>
        <v>3120.2577504000005</v>
      </c>
      <c r="G606" s="34">
        <f t="shared" si="385"/>
        <v>2316.0616639999998</v>
      </c>
      <c r="H606" s="34">
        <f t="shared" si="385"/>
        <v>1673.7033600000002</v>
      </c>
      <c r="I606" s="34">
        <f t="shared" si="385"/>
        <v>4011.4962496000003</v>
      </c>
      <c r="J606" s="34">
        <f t="shared" si="385"/>
        <v>3632.9323968000003</v>
      </c>
      <c r="K606" s="34">
        <f t="shared" si="385"/>
        <v>3797.4278272000001</v>
      </c>
      <c r="L606" s="34">
        <f t="shared" si="385"/>
        <v>6469.0759616000005</v>
      </c>
      <c r="M606" s="34">
        <f t="shared" si="385"/>
        <v>6914.5127968000006</v>
      </c>
      <c r="N606" s="34">
        <f t="shared" si="385"/>
        <v>5305.1395487999998</v>
      </c>
      <c r="O606" s="34">
        <f t="shared" ref="O606:Q606" si="386">O587*O597</f>
        <v>3113.4107200000003</v>
      </c>
      <c r="P606" s="34">
        <f t="shared" si="386"/>
        <v>2235.8649152000003</v>
      </c>
      <c r="Q606" s="34">
        <f t="shared" si="386"/>
        <v>2597.7559552000002</v>
      </c>
      <c r="R606" s="107">
        <f>SUM(F606:Q606)</f>
        <v>45187.639145600006</v>
      </c>
    </row>
    <row r="607" spans="1:19" s="30" customFormat="1" x14ac:dyDescent="0.2">
      <c r="A607" t="s">
        <v>147</v>
      </c>
      <c r="B607"/>
      <c r="C607" t="s">
        <v>26</v>
      </c>
      <c r="D607"/>
      <c r="E607"/>
      <c r="F607" s="24">
        <f t="shared" ref="F607:N607" si="387">SUM(F605:F606)</f>
        <v>3505.7377504000006</v>
      </c>
      <c r="G607" s="24">
        <f t="shared" si="387"/>
        <v>2701.5416639999999</v>
      </c>
      <c r="H607" s="24">
        <f t="shared" si="387"/>
        <v>2059.18336</v>
      </c>
      <c r="I607" s="24">
        <f t="shared" si="387"/>
        <v>4396.9762496000003</v>
      </c>
      <c r="J607" s="24">
        <f t="shared" si="387"/>
        <v>4018.4123968000004</v>
      </c>
      <c r="K607" s="24">
        <f t="shared" si="387"/>
        <v>4182.9078271999997</v>
      </c>
      <c r="L607" s="24">
        <f t="shared" si="387"/>
        <v>6854.5559616</v>
      </c>
      <c r="M607" s="24">
        <f t="shared" si="387"/>
        <v>7299.9927968000002</v>
      </c>
      <c r="N607" s="24">
        <f t="shared" si="387"/>
        <v>5690.6195487999994</v>
      </c>
      <c r="O607" s="24">
        <f t="shared" ref="O607:Q607" si="388">SUM(O605:O606)</f>
        <v>3498.8907200000003</v>
      </c>
      <c r="P607" s="24">
        <f t="shared" si="388"/>
        <v>2621.3449152000003</v>
      </c>
      <c r="Q607" s="24">
        <f t="shared" si="388"/>
        <v>2969.9195486000003</v>
      </c>
      <c r="R607" s="24">
        <f>SUM(R605:R606)</f>
        <v>49800.082739000005</v>
      </c>
    </row>
    <row r="608" spans="1:19" s="30" customFormat="1" x14ac:dyDescent="0.2">
      <c r="A608" t="s">
        <v>130</v>
      </c>
      <c r="B608" t="s">
        <v>319</v>
      </c>
      <c r="C608"/>
      <c r="D608" s="21"/>
      <c r="E608"/>
      <c r="F608" s="40">
        <f t="shared" ref="F608:N608" si="389">F588*F598</f>
        <v>17.384927000000001</v>
      </c>
      <c r="G608" s="40">
        <f t="shared" si="389"/>
        <v>13.26507</v>
      </c>
      <c r="H608" s="40">
        <f t="shared" si="389"/>
        <v>9.9742999999999995</v>
      </c>
      <c r="I608" s="40">
        <f t="shared" si="389"/>
        <v>21.950697999999999</v>
      </c>
      <c r="J608" s="40">
        <f t="shared" si="389"/>
        <v>20.011333999999998</v>
      </c>
      <c r="K608" s="40">
        <f t="shared" si="389"/>
        <v>20.854036000000001</v>
      </c>
      <c r="L608" s="40">
        <f t="shared" si="389"/>
        <v>34.540758000000004</v>
      </c>
      <c r="M608" s="40">
        <f t="shared" si="389"/>
        <v>36.822709000000003</v>
      </c>
      <c r="N608" s="40">
        <f t="shared" si="389"/>
        <v>28.577969</v>
      </c>
      <c r="O608" s="40">
        <f t="shared" ref="O608:Q608" si="390">O588*O598</f>
        <v>17.34985</v>
      </c>
      <c r="P608" s="40">
        <f t="shared" si="390"/>
        <v>12.854226000000001</v>
      </c>
      <c r="Q608" s="40">
        <f t="shared" si="390"/>
        <v>14.659813</v>
      </c>
      <c r="R608" s="729">
        <f>SUM(F608:Q608)</f>
        <v>248.24569000000002</v>
      </c>
    </row>
    <row r="609" spans="1:19" s="30" customFormat="1" x14ac:dyDescent="0.2">
      <c r="A609" t="s">
        <v>551</v>
      </c>
      <c r="B609" t="s">
        <v>552</v>
      </c>
      <c r="C609"/>
      <c r="D609" s="21">
        <v>149</v>
      </c>
      <c r="E609"/>
      <c r="F609" s="40">
        <f>F589*F598</f>
        <v>103.06778150000001</v>
      </c>
      <c r="G609" s="40">
        <f t="shared" ref="G609:Q609" si="391">G589*G598</f>
        <v>78.642914999999988</v>
      </c>
      <c r="H609" s="40">
        <f t="shared" si="391"/>
        <v>59.13335</v>
      </c>
      <c r="I609" s="40">
        <f t="shared" si="391"/>
        <v>130.136281</v>
      </c>
      <c r="J609" s="40">
        <f t="shared" si="391"/>
        <v>118.638623</v>
      </c>
      <c r="K609" s="40">
        <f t="shared" si="391"/>
        <v>123.634642</v>
      </c>
      <c r="L609" s="40">
        <f t="shared" si="391"/>
        <v>204.77735100000001</v>
      </c>
      <c r="M609" s="40">
        <f t="shared" si="391"/>
        <v>218.3060605</v>
      </c>
      <c r="N609" s="40">
        <f t="shared" si="391"/>
        <v>169.42653049999998</v>
      </c>
      <c r="O609" s="40">
        <f t="shared" si="391"/>
        <v>102.859825</v>
      </c>
      <c r="P609" s="40">
        <f t="shared" si="391"/>
        <v>76.207197000000008</v>
      </c>
      <c r="Q609" s="40">
        <f t="shared" si="391"/>
        <v>86.911748500000002</v>
      </c>
      <c r="R609" s="729">
        <f>SUM(F609:Q609)</f>
        <v>1471.7423049999998</v>
      </c>
    </row>
    <row r="610" spans="1:19" s="30" customFormat="1" x14ac:dyDescent="0.2">
      <c r="A610" t="s">
        <v>147</v>
      </c>
      <c r="B610" t="s">
        <v>19</v>
      </c>
      <c r="C610"/>
      <c r="D610" s="21" t="s">
        <v>298</v>
      </c>
      <c r="E610"/>
      <c r="F610" s="23">
        <f t="shared" ref="F610:N610" si="392">F590*F599</f>
        <v>915</v>
      </c>
      <c r="G610" s="23">
        <f t="shared" si="392"/>
        <v>915</v>
      </c>
      <c r="H610" s="23">
        <f t="shared" si="392"/>
        <v>915</v>
      </c>
      <c r="I610" s="23">
        <f t="shared" si="392"/>
        <v>915</v>
      </c>
      <c r="J610" s="23">
        <f t="shared" si="392"/>
        <v>915</v>
      </c>
      <c r="K610" s="23">
        <f t="shared" si="392"/>
        <v>915</v>
      </c>
      <c r="L610" s="23">
        <f t="shared" si="392"/>
        <v>915</v>
      </c>
      <c r="M610" s="23">
        <f t="shared" si="392"/>
        <v>915</v>
      </c>
      <c r="N610" s="23">
        <f t="shared" si="392"/>
        <v>915</v>
      </c>
      <c r="O610" s="23">
        <f t="shared" ref="O610:Q610" si="393">O590*O599</f>
        <v>915</v>
      </c>
      <c r="P610" s="23">
        <f t="shared" si="393"/>
        <v>1830</v>
      </c>
      <c r="Q610" s="23">
        <f t="shared" si="393"/>
        <v>915</v>
      </c>
      <c r="R610" s="107">
        <f>SUM(F610:Q610)</f>
        <v>11895</v>
      </c>
    </row>
    <row r="611" spans="1:19" s="30" customFormat="1" x14ac:dyDescent="0.2">
      <c r="A611" s="30" t="s">
        <v>147</v>
      </c>
      <c r="B611" s="30" t="s">
        <v>21</v>
      </c>
      <c r="D611" s="21" t="s">
        <v>298</v>
      </c>
      <c r="F611" s="74">
        <f>'(R) Data'!C65</f>
        <v>2626.2999999999997</v>
      </c>
      <c r="G611" s="74">
        <f>'(R) Data'!D65</f>
        <v>0</v>
      </c>
      <c r="H611" s="74">
        <f>'(R) Data'!E65</f>
        <v>2626.2999999999997</v>
      </c>
      <c r="I611" s="74">
        <f>'(R) Data'!F65</f>
        <v>3270.99</v>
      </c>
      <c r="J611" s="74">
        <f>'(R) Data'!G65</f>
        <v>0</v>
      </c>
      <c r="K611" s="74">
        <f>'(R) Data'!H65</f>
        <v>0</v>
      </c>
      <c r="L611" s="74">
        <f>'(R) Data'!I65</f>
        <v>0</v>
      </c>
      <c r="M611" s="74">
        <f>'(R) Data'!J65</f>
        <v>0</v>
      </c>
      <c r="N611" s="74">
        <f>'(R) Data'!K65</f>
        <v>0</v>
      </c>
      <c r="O611" s="74">
        <f>'(R) Data'!L65</f>
        <v>0</v>
      </c>
      <c r="P611" s="74">
        <f>'(R) Data'!M65</f>
        <v>0</v>
      </c>
      <c r="Q611" s="74">
        <f>'(R) Data'!N65</f>
        <v>0</v>
      </c>
      <c r="R611" s="107">
        <f>SUM(F611:Q611)</f>
        <v>8523.59</v>
      </c>
    </row>
    <row r="612" spans="1:19" s="30" customFormat="1" x14ac:dyDescent="0.2">
      <c r="A612"/>
      <c r="B612" t="s">
        <v>24</v>
      </c>
      <c r="C612"/>
      <c r="D612"/>
      <c r="E612"/>
      <c r="F612" s="24">
        <f>F603+F607+F608+F609+F610+F611</f>
        <v>8941.2504589</v>
      </c>
      <c r="G612" s="24">
        <f t="shared" ref="G612:R612" si="394">G603+G607+G608+G609+G610+G611</f>
        <v>5482.2096490000004</v>
      </c>
      <c r="H612" s="24">
        <f t="shared" si="394"/>
        <v>7443.3510100000003</v>
      </c>
      <c r="I612" s="24">
        <f t="shared" si="394"/>
        <v>10508.8132286</v>
      </c>
      <c r="J612" s="24">
        <f t="shared" si="394"/>
        <v>5958.9423538000001</v>
      </c>
      <c r="K612" s="24">
        <f t="shared" si="394"/>
        <v>6129.2640578878136</v>
      </c>
      <c r="L612" s="24">
        <f t="shared" si="394"/>
        <v>8895.7540706</v>
      </c>
      <c r="M612" s="24">
        <f t="shared" si="394"/>
        <v>9357.0015662999995</v>
      </c>
      <c r="N612" s="24">
        <f t="shared" si="394"/>
        <v>7690.5040482999993</v>
      </c>
      <c r="O612" s="24">
        <f t="shared" si="394"/>
        <v>5420.9803950000005</v>
      </c>
      <c r="P612" s="24">
        <f t="shared" si="394"/>
        <v>5427.2863382000005</v>
      </c>
      <c r="Q612" s="24">
        <f t="shared" si="394"/>
        <v>4873.3711101000008</v>
      </c>
      <c r="R612" s="24">
        <f t="shared" si="394"/>
        <v>86128.728286687809</v>
      </c>
    </row>
    <row r="613" spans="1:19" s="30" customFormat="1" x14ac:dyDescent="0.2">
      <c r="A613"/>
      <c r="B613"/>
      <c r="C613"/>
      <c r="D613"/>
      <c r="E61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</row>
    <row r="614" spans="1:19" s="30" customFormat="1" x14ac:dyDescent="0.2">
      <c r="A614" t="s">
        <v>305</v>
      </c>
      <c r="B614" t="s">
        <v>304</v>
      </c>
      <c r="C614"/>
      <c r="D614"/>
      <c r="E614"/>
      <c r="F614" s="23">
        <f t="shared" ref="F614:N614" si="395">F608</f>
        <v>17.384927000000001</v>
      </c>
      <c r="G614" s="23">
        <f t="shared" si="395"/>
        <v>13.26507</v>
      </c>
      <c r="H614" s="23">
        <f t="shared" si="395"/>
        <v>9.9742999999999995</v>
      </c>
      <c r="I614" s="23">
        <f t="shared" si="395"/>
        <v>21.950697999999999</v>
      </c>
      <c r="J614" s="23">
        <f t="shared" si="395"/>
        <v>20.011333999999998</v>
      </c>
      <c r="K614" s="23">
        <f t="shared" si="395"/>
        <v>20.854036000000001</v>
      </c>
      <c r="L614" s="23">
        <f t="shared" si="395"/>
        <v>34.540758000000004</v>
      </c>
      <c r="M614" s="23">
        <f t="shared" si="395"/>
        <v>36.822709000000003</v>
      </c>
      <c r="N614" s="23">
        <f t="shared" si="395"/>
        <v>28.577969</v>
      </c>
      <c r="O614" s="23">
        <f t="shared" ref="O614:Q614" si="396">O608</f>
        <v>17.34985</v>
      </c>
      <c r="P614" s="23">
        <f t="shared" si="396"/>
        <v>12.854226000000001</v>
      </c>
      <c r="Q614" s="23">
        <f t="shared" si="396"/>
        <v>14.659813</v>
      </c>
      <c r="R614" s="107">
        <f>SUM(F614:Q614)</f>
        <v>248.24569000000002</v>
      </c>
    </row>
    <row r="615" spans="1:19" s="30" customFormat="1" x14ac:dyDescent="0.2"/>
    <row r="616" spans="1:19" s="30" customFormat="1" x14ac:dyDescent="0.2">
      <c r="B616" s="29" t="s">
        <v>90</v>
      </c>
      <c r="C616" s="29"/>
    </row>
    <row r="617" spans="1:19" s="30" customFormat="1" x14ac:dyDescent="0.2">
      <c r="B617" s="29" t="s">
        <v>7</v>
      </c>
      <c r="C617" s="29"/>
    </row>
    <row r="618" spans="1:19" s="30" customFormat="1" x14ac:dyDescent="0.2">
      <c r="B618" s="30" t="s">
        <v>282</v>
      </c>
      <c r="D618" s="30">
        <v>87</v>
      </c>
      <c r="E618" s="30" t="s">
        <v>5</v>
      </c>
      <c r="F618" s="130">
        <f>'Rate Design Int &amp; Trans'!$H$130</f>
        <v>557.39</v>
      </c>
      <c r="G618" s="130">
        <f>'Rate Design Int &amp; Trans'!$H$130</f>
        <v>557.39</v>
      </c>
      <c r="H618" s="130">
        <f>'Rate Design Int &amp; Trans'!$H$130</f>
        <v>557.39</v>
      </c>
      <c r="I618" s="130">
        <f>'Rate Design Int &amp; Trans'!$H$130</f>
        <v>557.39</v>
      </c>
      <c r="J618" s="130">
        <f>'Rate Design Int &amp; Trans'!$H$130</f>
        <v>557.39</v>
      </c>
      <c r="K618" s="130">
        <f>'Rate Design Int &amp; Trans'!$H$130</f>
        <v>557.39</v>
      </c>
      <c r="L618" s="130">
        <f>'Rate Design Int &amp; Trans'!$H$130</f>
        <v>557.39</v>
      </c>
      <c r="M618" s="130">
        <f>'Rate Design Int &amp; Trans'!$H$130</f>
        <v>557.39</v>
      </c>
      <c r="N618" s="130">
        <f>'Rate Design Int &amp; Trans'!$H$130</f>
        <v>557.39</v>
      </c>
      <c r="O618" s="130">
        <f>'Rate Design Int &amp; Trans'!$H$130</f>
        <v>557.39</v>
      </c>
      <c r="P618" s="130">
        <f>'Rate Design Int &amp; Trans'!$H$130</f>
        <v>557.39</v>
      </c>
      <c r="Q618" s="130">
        <f>'Rate Design Int &amp; Trans'!$H$130</f>
        <v>557.39</v>
      </c>
      <c r="R618" s="32"/>
    </row>
    <row r="619" spans="1:19" x14ac:dyDescent="0.2">
      <c r="A619" s="30"/>
      <c r="B619" s="30" t="s">
        <v>3</v>
      </c>
      <c r="C619" s="30"/>
      <c r="D619" s="30"/>
      <c r="E619" s="30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65"/>
      <c r="S619"/>
    </row>
    <row r="620" spans="1:19" x14ac:dyDescent="0.2">
      <c r="A620" s="30"/>
      <c r="B620" s="30"/>
      <c r="C620" s="30" t="s">
        <v>56</v>
      </c>
      <c r="D620" s="30">
        <v>87</v>
      </c>
      <c r="E620" s="30" t="s">
        <v>6</v>
      </c>
      <c r="F620" s="131">
        <f>'Rate Design Int &amp; Trans'!$H$136</f>
        <v>0.1391</v>
      </c>
      <c r="G620" s="131">
        <f>'Rate Design Int &amp; Trans'!$H$136</f>
        <v>0.1391</v>
      </c>
      <c r="H620" s="131">
        <f>'Rate Design Int &amp; Trans'!$H$136</f>
        <v>0.1391</v>
      </c>
      <c r="I620" s="131">
        <f>'Rate Design Int &amp; Trans'!$H$136</f>
        <v>0.1391</v>
      </c>
      <c r="J620" s="131">
        <f>'Rate Design Int &amp; Trans'!$H$136</f>
        <v>0.1391</v>
      </c>
      <c r="K620" s="131">
        <f>'Rate Design Int &amp; Trans'!$H$136</f>
        <v>0.1391</v>
      </c>
      <c r="L620" s="131">
        <f>'Rate Design Int &amp; Trans'!$H$136</f>
        <v>0.1391</v>
      </c>
      <c r="M620" s="131">
        <f>'Rate Design Int &amp; Trans'!$H$136</f>
        <v>0.1391</v>
      </c>
      <c r="N620" s="131">
        <f>'Rate Design Int &amp; Trans'!$H$136</f>
        <v>0.1391</v>
      </c>
      <c r="O620" s="131">
        <f>'Rate Design Int &amp; Trans'!$H$136</f>
        <v>0.1391</v>
      </c>
      <c r="P620" s="131">
        <f>'Rate Design Int &amp; Trans'!$H$136</f>
        <v>0.1391</v>
      </c>
      <c r="Q620" s="131">
        <f>'Rate Design Int &amp; Trans'!$H$136</f>
        <v>0.1391</v>
      </c>
      <c r="R620" s="65"/>
      <c r="S620"/>
    </row>
    <row r="621" spans="1:19" x14ac:dyDescent="0.2">
      <c r="A621" s="30"/>
      <c r="B621" s="30"/>
      <c r="C621" s="30" t="s">
        <v>57</v>
      </c>
      <c r="D621" s="30">
        <v>87</v>
      </c>
      <c r="E621" s="30" t="s">
        <v>6</v>
      </c>
      <c r="F621" s="131">
        <f>'Rate Design Int &amp; Trans'!$H$137</f>
        <v>8.4059999999999996E-2</v>
      </c>
      <c r="G621" s="131">
        <f>'Rate Design Int &amp; Trans'!$H$137</f>
        <v>8.4059999999999996E-2</v>
      </c>
      <c r="H621" s="131">
        <f>'Rate Design Int &amp; Trans'!$H$137</f>
        <v>8.4059999999999996E-2</v>
      </c>
      <c r="I621" s="131">
        <f>'Rate Design Int &amp; Trans'!$H$137</f>
        <v>8.4059999999999996E-2</v>
      </c>
      <c r="J621" s="131">
        <f>'Rate Design Int &amp; Trans'!$H$137</f>
        <v>8.4059999999999996E-2</v>
      </c>
      <c r="K621" s="131">
        <f>'Rate Design Int &amp; Trans'!$H$137</f>
        <v>8.4059999999999996E-2</v>
      </c>
      <c r="L621" s="131">
        <f>'Rate Design Int &amp; Trans'!$H$137</f>
        <v>8.4059999999999996E-2</v>
      </c>
      <c r="M621" s="131">
        <f>'Rate Design Int &amp; Trans'!$H$137</f>
        <v>8.4059999999999996E-2</v>
      </c>
      <c r="N621" s="131">
        <f>'Rate Design Int &amp; Trans'!$H$137</f>
        <v>8.4059999999999996E-2</v>
      </c>
      <c r="O621" s="131">
        <f>'Rate Design Int &amp; Trans'!$H$137</f>
        <v>8.4059999999999996E-2</v>
      </c>
      <c r="P621" s="131">
        <f>'Rate Design Int &amp; Trans'!$H$137</f>
        <v>8.4059999999999996E-2</v>
      </c>
      <c r="Q621" s="131">
        <f>'Rate Design Int &amp; Trans'!$H$137</f>
        <v>8.4059999999999996E-2</v>
      </c>
      <c r="R621" s="65"/>
      <c r="S621"/>
    </row>
    <row r="622" spans="1:19" s="30" customFormat="1" x14ac:dyDescent="0.2">
      <c r="C622" s="30" t="s">
        <v>62</v>
      </c>
      <c r="D622" s="30">
        <v>87</v>
      </c>
      <c r="E622" s="30" t="s">
        <v>6</v>
      </c>
      <c r="F622" s="131">
        <f>'Rate Design Int &amp; Trans'!$H$138</f>
        <v>5.3490000000000003E-2</v>
      </c>
      <c r="G622" s="131">
        <f>'Rate Design Int &amp; Trans'!$H$138</f>
        <v>5.3490000000000003E-2</v>
      </c>
      <c r="H622" s="131">
        <f>'Rate Design Int &amp; Trans'!$H$138</f>
        <v>5.3490000000000003E-2</v>
      </c>
      <c r="I622" s="131">
        <f>'Rate Design Int &amp; Trans'!$H$138</f>
        <v>5.3490000000000003E-2</v>
      </c>
      <c r="J622" s="131">
        <f>'Rate Design Int &amp; Trans'!$H$138</f>
        <v>5.3490000000000003E-2</v>
      </c>
      <c r="K622" s="131">
        <f>'Rate Design Int &amp; Trans'!$H$138</f>
        <v>5.3490000000000003E-2</v>
      </c>
      <c r="L622" s="131">
        <f>'Rate Design Int &amp; Trans'!$H$138</f>
        <v>5.3490000000000003E-2</v>
      </c>
      <c r="M622" s="131">
        <f>'Rate Design Int &amp; Trans'!$H$138</f>
        <v>5.3490000000000003E-2</v>
      </c>
      <c r="N622" s="131">
        <f>'Rate Design Int &amp; Trans'!$H$138</f>
        <v>5.3490000000000003E-2</v>
      </c>
      <c r="O622" s="131">
        <f>'Rate Design Int &amp; Trans'!$H$138</f>
        <v>5.3490000000000003E-2</v>
      </c>
      <c r="P622" s="131">
        <f>'Rate Design Int &amp; Trans'!$H$138</f>
        <v>5.3490000000000003E-2</v>
      </c>
      <c r="Q622" s="131">
        <f>'Rate Design Int &amp; Trans'!$H$138</f>
        <v>5.3490000000000003E-2</v>
      </c>
      <c r="R622" s="65"/>
    </row>
    <row r="623" spans="1:19" x14ac:dyDescent="0.2">
      <c r="A623" s="30"/>
      <c r="B623" s="30"/>
      <c r="C623" s="30" t="s">
        <v>63</v>
      </c>
      <c r="D623" s="30">
        <v>87</v>
      </c>
      <c r="E623" s="30" t="s">
        <v>6</v>
      </c>
      <c r="F623" s="131">
        <f>'Rate Design Int &amp; Trans'!$H$139</f>
        <v>3.4299999999999997E-2</v>
      </c>
      <c r="G623" s="131">
        <f>'Rate Design Int &amp; Trans'!$H$139</f>
        <v>3.4299999999999997E-2</v>
      </c>
      <c r="H623" s="131">
        <f>'Rate Design Int &amp; Trans'!$H$139</f>
        <v>3.4299999999999997E-2</v>
      </c>
      <c r="I623" s="131">
        <f>'Rate Design Int &amp; Trans'!$H$139</f>
        <v>3.4299999999999997E-2</v>
      </c>
      <c r="J623" s="131">
        <f>'Rate Design Int &amp; Trans'!$H$139</f>
        <v>3.4299999999999997E-2</v>
      </c>
      <c r="K623" s="131">
        <f>'Rate Design Int &amp; Trans'!$H$139</f>
        <v>3.4299999999999997E-2</v>
      </c>
      <c r="L623" s="131">
        <f>'Rate Design Int &amp; Trans'!$H$139</f>
        <v>3.4299999999999997E-2</v>
      </c>
      <c r="M623" s="131">
        <f>'Rate Design Int &amp; Trans'!$H$139</f>
        <v>3.4299999999999997E-2</v>
      </c>
      <c r="N623" s="131">
        <f>'Rate Design Int &amp; Trans'!$H$139</f>
        <v>3.4299999999999997E-2</v>
      </c>
      <c r="O623" s="131">
        <f>'Rate Design Int &amp; Trans'!$H$139</f>
        <v>3.4299999999999997E-2</v>
      </c>
      <c r="P623" s="131">
        <f>'Rate Design Int &amp; Trans'!$H$139</f>
        <v>3.4299999999999997E-2</v>
      </c>
      <c r="Q623" s="131">
        <f>'Rate Design Int &amp; Trans'!$H$139</f>
        <v>3.4299999999999997E-2</v>
      </c>
      <c r="R623" s="65"/>
      <c r="S623"/>
    </row>
    <row r="624" spans="1:19" x14ac:dyDescent="0.2">
      <c r="A624" s="30"/>
      <c r="B624" s="30"/>
      <c r="C624" s="30" t="s">
        <v>64</v>
      </c>
      <c r="D624" s="30">
        <v>87</v>
      </c>
      <c r="E624" s="30" t="s">
        <v>6</v>
      </c>
      <c r="F624" s="131">
        <f>'Rate Design Int &amp; Trans'!$H$140</f>
        <v>2.4680000000000001E-2</v>
      </c>
      <c r="G624" s="131">
        <f>'Rate Design Int &amp; Trans'!$H$140</f>
        <v>2.4680000000000001E-2</v>
      </c>
      <c r="H624" s="131">
        <f>'Rate Design Int &amp; Trans'!$H$140</f>
        <v>2.4680000000000001E-2</v>
      </c>
      <c r="I624" s="131">
        <f>'Rate Design Int &amp; Trans'!$H$140</f>
        <v>2.4680000000000001E-2</v>
      </c>
      <c r="J624" s="131">
        <f>'Rate Design Int &amp; Trans'!$H$140</f>
        <v>2.4680000000000001E-2</v>
      </c>
      <c r="K624" s="131">
        <f>'Rate Design Int &amp; Trans'!$H$140</f>
        <v>2.4680000000000001E-2</v>
      </c>
      <c r="L624" s="131">
        <f>'Rate Design Int &amp; Trans'!$H$140</f>
        <v>2.4680000000000001E-2</v>
      </c>
      <c r="M624" s="131">
        <f>'Rate Design Int &amp; Trans'!$H$140</f>
        <v>2.4680000000000001E-2</v>
      </c>
      <c r="N624" s="131">
        <f>'Rate Design Int &amp; Trans'!$H$140</f>
        <v>2.4680000000000001E-2</v>
      </c>
      <c r="O624" s="131">
        <f>'Rate Design Int &amp; Trans'!$H$140</f>
        <v>2.4680000000000001E-2</v>
      </c>
      <c r="P624" s="131">
        <f>'Rate Design Int &amp; Trans'!$H$140</f>
        <v>2.4680000000000001E-2</v>
      </c>
      <c r="Q624" s="131">
        <f>'Rate Design Int &amp; Trans'!$H$140</f>
        <v>2.4680000000000001E-2</v>
      </c>
      <c r="R624" s="65"/>
      <c r="S624"/>
    </row>
    <row r="625" spans="1:19" x14ac:dyDescent="0.2">
      <c r="A625" s="30"/>
      <c r="B625" s="30"/>
      <c r="C625" s="30" t="s">
        <v>65</v>
      </c>
      <c r="D625" s="30">
        <v>87</v>
      </c>
      <c r="E625" s="30" t="s">
        <v>6</v>
      </c>
      <c r="F625" s="131">
        <f>'Rate Design Int &amp; Trans'!$H$141</f>
        <v>1.9029999999999998E-2</v>
      </c>
      <c r="G625" s="131">
        <f>'Rate Design Int &amp; Trans'!$H$141</f>
        <v>1.9029999999999998E-2</v>
      </c>
      <c r="H625" s="131">
        <f>'Rate Design Int &amp; Trans'!$H$141</f>
        <v>1.9029999999999998E-2</v>
      </c>
      <c r="I625" s="131">
        <f>'Rate Design Int &amp; Trans'!$H$141</f>
        <v>1.9029999999999998E-2</v>
      </c>
      <c r="J625" s="131">
        <f>'Rate Design Int &amp; Trans'!$H$141</f>
        <v>1.9029999999999998E-2</v>
      </c>
      <c r="K625" s="131">
        <f>'Rate Design Int &amp; Trans'!$H$141</f>
        <v>1.9029999999999998E-2</v>
      </c>
      <c r="L625" s="131">
        <f>'Rate Design Int &amp; Trans'!$H$141</f>
        <v>1.9029999999999998E-2</v>
      </c>
      <c r="M625" s="131">
        <f>'Rate Design Int &amp; Trans'!$H$141</f>
        <v>1.9029999999999998E-2</v>
      </c>
      <c r="N625" s="131">
        <f>'Rate Design Int &amp; Trans'!$H$141</f>
        <v>1.9029999999999998E-2</v>
      </c>
      <c r="O625" s="131">
        <f>'Rate Design Int &amp; Trans'!$H$141</f>
        <v>1.9029999999999998E-2</v>
      </c>
      <c r="P625" s="131">
        <f>'Rate Design Int &amp; Trans'!$H$141</f>
        <v>1.9029999999999998E-2</v>
      </c>
      <c r="Q625" s="131">
        <f>'Rate Design Int &amp; Trans'!$H$141</f>
        <v>1.9029999999999998E-2</v>
      </c>
      <c r="R625" s="65"/>
      <c r="S625"/>
    </row>
    <row r="626" spans="1:19" x14ac:dyDescent="0.2">
      <c r="A626" s="30"/>
      <c r="B626" s="30" t="s">
        <v>303</v>
      </c>
      <c r="C626" s="30"/>
      <c r="D626" s="30">
        <v>101</v>
      </c>
      <c r="E626" s="30" t="s">
        <v>6</v>
      </c>
      <c r="F626" s="181">
        <v>0.27044000000000001</v>
      </c>
      <c r="G626" s="181">
        <v>0.27044000000000001</v>
      </c>
      <c r="H626" s="181">
        <v>0.27044000000000001</v>
      </c>
      <c r="I626" s="181">
        <v>0.27044000000000001</v>
      </c>
      <c r="J626" s="181">
        <v>0.27044000000000001</v>
      </c>
      <c r="K626" s="181">
        <v>0.27044000000000001</v>
      </c>
      <c r="L626" s="181">
        <v>0.27044000000000001</v>
      </c>
      <c r="M626" s="181">
        <v>0.27044000000000001</v>
      </c>
      <c r="N626" s="181">
        <v>0.27044000000000001</v>
      </c>
      <c r="O626" s="181">
        <v>0.27044000000000001</v>
      </c>
      <c r="P626" s="181">
        <v>0.27044000000000001</v>
      </c>
      <c r="Q626" s="181">
        <v>0.27044000000000001</v>
      </c>
      <c r="R626" s="65"/>
      <c r="S626"/>
    </row>
    <row r="627" spans="1:19" x14ac:dyDescent="0.2">
      <c r="A627" s="30"/>
      <c r="B627" s="30" t="s">
        <v>61</v>
      </c>
      <c r="C627" s="30"/>
      <c r="D627" s="47">
        <v>85</v>
      </c>
      <c r="E627" s="30" t="s">
        <v>6</v>
      </c>
      <c r="F627" s="131">
        <f>'Rate Design Int &amp; Trans'!$H$132</f>
        <v>5.94E-3</v>
      </c>
      <c r="G627" s="131">
        <f>'Rate Design Int &amp; Trans'!$H$132</f>
        <v>5.94E-3</v>
      </c>
      <c r="H627" s="131">
        <f>'Rate Design Int &amp; Trans'!$H$132</f>
        <v>5.94E-3</v>
      </c>
      <c r="I627" s="131">
        <f>'Rate Design Int &amp; Trans'!$H$132</f>
        <v>5.94E-3</v>
      </c>
      <c r="J627" s="131">
        <f>'Rate Design Int &amp; Trans'!$H$132</f>
        <v>5.94E-3</v>
      </c>
      <c r="K627" s="131">
        <f>'Rate Design Int &amp; Trans'!$H$132</f>
        <v>5.94E-3</v>
      </c>
      <c r="L627" s="131">
        <f>'Rate Design Int &amp; Trans'!$H$132</f>
        <v>5.94E-3</v>
      </c>
      <c r="M627" s="131">
        <f>'Rate Design Int &amp; Trans'!$H$132</f>
        <v>5.94E-3</v>
      </c>
      <c r="N627" s="131">
        <f>'Rate Design Int &amp; Trans'!$H$132</f>
        <v>5.94E-3</v>
      </c>
      <c r="O627" s="131">
        <f>'Rate Design Int &amp; Trans'!$H$132</f>
        <v>5.94E-3</v>
      </c>
      <c r="P627" s="131">
        <f>'Rate Design Int &amp; Trans'!$H$132</f>
        <v>5.94E-3</v>
      </c>
      <c r="Q627" s="131">
        <f>'Rate Design Int &amp; Trans'!$H$132</f>
        <v>5.94E-3</v>
      </c>
      <c r="R627" s="65"/>
      <c r="S627"/>
    </row>
    <row r="628" spans="1:19" x14ac:dyDescent="0.2">
      <c r="A628" s="30"/>
      <c r="B628" s="30" t="s">
        <v>550</v>
      </c>
      <c r="C628" s="30"/>
      <c r="D628" s="47">
        <v>149</v>
      </c>
      <c r="E628" s="30" t="s">
        <v>6</v>
      </c>
      <c r="F628" s="181">
        <v>2.0200000000000001E-3</v>
      </c>
      <c r="G628" s="181">
        <v>2.0200000000000001E-3</v>
      </c>
      <c r="H628" s="181">
        <v>2.0200000000000001E-3</v>
      </c>
      <c r="I628" s="181">
        <v>2.0200000000000001E-3</v>
      </c>
      <c r="J628" s="181">
        <v>2.0200000000000001E-3</v>
      </c>
      <c r="K628" s="181">
        <v>2.0200000000000001E-3</v>
      </c>
      <c r="L628" s="181">
        <v>2.0200000000000001E-3</v>
      </c>
      <c r="M628" s="181">
        <v>2.0200000000000001E-3</v>
      </c>
      <c r="N628" s="181">
        <v>2.0200000000000001E-3</v>
      </c>
      <c r="O628" s="181">
        <v>2.0200000000000001E-3</v>
      </c>
      <c r="P628" s="181">
        <v>2.0200000000000001E-3</v>
      </c>
      <c r="Q628" s="181">
        <v>2.0200000000000001E-3</v>
      </c>
      <c r="R628" s="65"/>
      <c r="S628"/>
    </row>
    <row r="629" spans="1:19" x14ac:dyDescent="0.2">
      <c r="A629" s="30"/>
      <c r="B629" s="30" t="s">
        <v>18</v>
      </c>
      <c r="C629" s="30"/>
      <c r="D629" s="30"/>
      <c r="E629" s="30"/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/>
    </row>
    <row r="630" spans="1:19" x14ac:dyDescent="0.2">
      <c r="A630" s="30"/>
      <c r="B630" s="30"/>
      <c r="C630" s="30" t="s">
        <v>19</v>
      </c>
      <c r="D630" s="30">
        <v>101</v>
      </c>
      <c r="E630" s="30" t="s">
        <v>6</v>
      </c>
      <c r="F630" s="130">
        <f>'Rate Design Int &amp; Trans'!$H$131</f>
        <v>1.38</v>
      </c>
      <c r="G630" s="130">
        <f>'Rate Design Int &amp; Trans'!$H$131</f>
        <v>1.38</v>
      </c>
      <c r="H630" s="130">
        <f>'Rate Design Int &amp; Trans'!$H$131</f>
        <v>1.38</v>
      </c>
      <c r="I630" s="130">
        <f>'Rate Design Int &amp; Trans'!$H$131</f>
        <v>1.38</v>
      </c>
      <c r="J630" s="130">
        <f>'Rate Design Int &amp; Trans'!$H$131</f>
        <v>1.38</v>
      </c>
      <c r="K630" s="130">
        <f>'Rate Design Int &amp; Trans'!$H$131</f>
        <v>1.38</v>
      </c>
      <c r="L630" s="130">
        <f>'Rate Design Int &amp; Trans'!$H$131</f>
        <v>1.38</v>
      </c>
      <c r="M630" s="130">
        <f>'Rate Design Int &amp; Trans'!$H$131</f>
        <v>1.38</v>
      </c>
      <c r="N630" s="130">
        <f>'Rate Design Int &amp; Trans'!$H$131</f>
        <v>1.38</v>
      </c>
      <c r="O630" s="130">
        <f>'Rate Design Int &amp; Trans'!$H$131</f>
        <v>1.38</v>
      </c>
      <c r="P630" s="130">
        <f>'Rate Design Int &amp; Trans'!$H$131</f>
        <v>1.38</v>
      </c>
      <c r="Q630" s="130">
        <f>'Rate Design Int &amp; Trans'!$H$131</f>
        <v>1.38</v>
      </c>
      <c r="R630" s="65"/>
      <c r="S630"/>
    </row>
    <row r="631" spans="1:19" x14ac:dyDescent="0.2">
      <c r="A631" s="30"/>
      <c r="B631" s="30"/>
      <c r="C631" s="30" t="s">
        <v>20</v>
      </c>
      <c r="D631" s="30">
        <v>101</v>
      </c>
      <c r="E631" s="30" t="s">
        <v>6</v>
      </c>
      <c r="F631" s="645">
        <v>1.05</v>
      </c>
      <c r="G631" s="645">
        <v>1.05</v>
      </c>
      <c r="H631" s="645">
        <v>1.05</v>
      </c>
      <c r="I631" s="645">
        <v>1.05</v>
      </c>
      <c r="J631" s="645">
        <v>1.05</v>
      </c>
      <c r="K631" s="645">
        <v>1.05</v>
      </c>
      <c r="L631" s="645">
        <v>1.05</v>
      </c>
      <c r="M631" s="645">
        <v>1.05</v>
      </c>
      <c r="N631" s="645">
        <v>1.05</v>
      </c>
      <c r="O631" s="645">
        <v>1.05</v>
      </c>
      <c r="P631" s="645">
        <v>1.05</v>
      </c>
      <c r="Q631" s="645">
        <v>1.05</v>
      </c>
      <c r="R631" s="65"/>
      <c r="S631"/>
    </row>
    <row r="632" spans="1:19" x14ac:dyDescent="0.2">
      <c r="A632" s="30"/>
      <c r="B632" s="30" t="s">
        <v>21</v>
      </c>
      <c r="C632" s="30"/>
      <c r="D632" s="30">
        <v>85</v>
      </c>
      <c r="E632" s="30" t="s">
        <v>22</v>
      </c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65"/>
      <c r="S632"/>
    </row>
    <row r="633" spans="1:19" x14ac:dyDescent="0.2">
      <c r="A633" s="30"/>
      <c r="B633" s="30" t="s">
        <v>304</v>
      </c>
      <c r="C633" s="30"/>
      <c r="D633" s="30"/>
      <c r="E633" s="30"/>
      <c r="F633" s="181">
        <v>0.25814999999999999</v>
      </c>
      <c r="G633" s="181">
        <v>0.25814999999999999</v>
      </c>
      <c r="H633" s="181">
        <v>0.25814999999999999</v>
      </c>
      <c r="I633" s="181">
        <v>0.25814999999999999</v>
      </c>
      <c r="J633" s="181">
        <v>0.25814999999999999</v>
      </c>
      <c r="K633" s="181">
        <v>0.25814999999999999</v>
      </c>
      <c r="L633" s="181">
        <v>0.25814999999999999</v>
      </c>
      <c r="M633" s="181">
        <v>0.25814999999999999</v>
      </c>
      <c r="N633" s="181">
        <v>0.25814999999999999</v>
      </c>
      <c r="O633" s="181">
        <v>0.25814999999999999</v>
      </c>
      <c r="P633" s="181">
        <v>0.25814999999999999</v>
      </c>
      <c r="Q633" s="181">
        <v>0.25814999999999999</v>
      </c>
      <c r="R633" s="65"/>
      <c r="S633"/>
    </row>
    <row r="634" spans="1:19" x14ac:dyDescent="0.2">
      <c r="A634" s="30"/>
      <c r="B634" s="30" t="s">
        <v>310</v>
      </c>
      <c r="C634" s="30"/>
      <c r="D634" s="30"/>
      <c r="E634" s="30"/>
      <c r="F634" s="645">
        <v>1</v>
      </c>
      <c r="G634" s="645">
        <v>1</v>
      </c>
      <c r="H634" s="645">
        <v>1</v>
      </c>
      <c r="I634" s="645">
        <v>1</v>
      </c>
      <c r="J634" s="645">
        <v>1</v>
      </c>
      <c r="K634" s="645">
        <v>1</v>
      </c>
      <c r="L634" s="645">
        <v>1</v>
      </c>
      <c r="M634" s="645">
        <v>1</v>
      </c>
      <c r="N634" s="645">
        <v>1</v>
      </c>
      <c r="O634" s="645">
        <v>1</v>
      </c>
      <c r="P634" s="645">
        <v>1</v>
      </c>
      <c r="Q634" s="645">
        <v>1</v>
      </c>
      <c r="R634" s="65"/>
      <c r="S634"/>
    </row>
    <row r="635" spans="1:19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/>
    </row>
    <row r="636" spans="1:19" x14ac:dyDescent="0.2">
      <c r="B636" s="15" t="s">
        <v>8</v>
      </c>
      <c r="S636"/>
    </row>
    <row r="637" spans="1:19" x14ac:dyDescent="0.2">
      <c r="B637" t="s">
        <v>22</v>
      </c>
      <c r="E637" t="s">
        <v>22</v>
      </c>
      <c r="F637" s="63">
        <f>'(R) Data'!C30</f>
        <v>5.0130693501152717</v>
      </c>
      <c r="G637" s="63">
        <f>'(R) Data'!D30</f>
        <v>5.1748862857498912</v>
      </c>
      <c r="H637" s="63">
        <f>'(R) Data'!E30</f>
        <v>4.901177643466883</v>
      </c>
      <c r="I637" s="63">
        <f>'(R) Data'!F30</f>
        <v>4.975668265935572</v>
      </c>
      <c r="J637" s="63">
        <f>'(R) Data'!G30</f>
        <v>5.1083556607888339</v>
      </c>
      <c r="K637" s="63">
        <f>'(R) Data'!H30</f>
        <v>5.1238280397033344</v>
      </c>
      <c r="L637" s="63">
        <f>'(R) Data'!I30</f>
        <v>5.0417959266253032</v>
      </c>
      <c r="M637" s="63">
        <f>'(R) Data'!J30</f>
        <v>4.8582074453736173</v>
      </c>
      <c r="N637" s="63">
        <f>'(R) Data'!K30</f>
        <v>5</v>
      </c>
      <c r="O637" s="63">
        <f>'(R) Data'!L30</f>
        <v>4.9655044510385755</v>
      </c>
      <c r="P637" s="63">
        <f>'(R) Data'!M30</f>
        <v>5.101185884210337</v>
      </c>
      <c r="Q637" s="63">
        <f>'(R) Data'!N30</f>
        <v>4.8688171657187969</v>
      </c>
      <c r="R637" s="107">
        <f>SUM(F637:Q637)</f>
        <v>60.132496118726415</v>
      </c>
      <c r="S637"/>
    </row>
    <row r="638" spans="1:19" x14ac:dyDescent="0.2">
      <c r="A638" s="30"/>
      <c r="B638" s="30" t="s">
        <v>30</v>
      </c>
      <c r="C638" s="30"/>
      <c r="D638" s="30"/>
      <c r="E638" s="30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107"/>
      <c r="S638"/>
    </row>
    <row r="639" spans="1:19" x14ac:dyDescent="0.2">
      <c r="A639" s="30"/>
      <c r="B639" s="30"/>
      <c r="C639" s="30" t="s">
        <v>56</v>
      </c>
      <c r="D639" s="30"/>
      <c r="E639" s="30" t="s">
        <v>10</v>
      </c>
      <c r="F639" s="161">
        <f>'(R) Therms By Block'!B83</f>
        <v>125326.542</v>
      </c>
      <c r="G639" s="170">
        <f>'(R) Therms By Block'!C83</f>
        <v>129371.92</v>
      </c>
      <c r="H639" s="170">
        <f>'(R) Therms By Block'!D83</f>
        <v>122529.114</v>
      </c>
      <c r="I639" s="170">
        <f>'(R) Therms By Block'!E83</f>
        <v>124392</v>
      </c>
      <c r="J639" s="170">
        <f>'(R) Therms By Block'!F83</f>
        <v>127709.428</v>
      </c>
      <c r="K639" s="170">
        <f>'(R) Therms By Block'!G83</f>
        <v>128095.38800000001</v>
      </c>
      <c r="L639" s="170">
        <f>'(R) Therms By Block'!H83</f>
        <v>126044.556</v>
      </c>
      <c r="M639" s="170">
        <f>'(R) Therms By Block'!I83</f>
        <v>121455.628</v>
      </c>
      <c r="N639" s="170">
        <f>'(R) Therms By Block'!J83</f>
        <v>125000</v>
      </c>
      <c r="O639" s="170">
        <f>'(R) Therms By Block'!K83</f>
        <v>124138</v>
      </c>
      <c r="P639" s="170">
        <f>'(R) Therms By Block'!L83</f>
        <v>127528.666</v>
      </c>
      <c r="Q639" s="170">
        <f>'(R) Therms By Block'!M83</f>
        <v>121720.43</v>
      </c>
      <c r="R639" s="107">
        <f t="shared" ref="R639:R644" si="397">SUM(F639:Q639)</f>
        <v>1503311.6719999998</v>
      </c>
      <c r="S639"/>
    </row>
    <row r="640" spans="1:19" s="30" customFormat="1" x14ac:dyDescent="0.2">
      <c r="C640" s="30" t="s">
        <v>57</v>
      </c>
      <c r="E640" s="30" t="s">
        <v>10</v>
      </c>
      <c r="F640" s="170">
        <f>'(R) Therms By Block'!B84</f>
        <v>114592.44500000001</v>
      </c>
      <c r="G640" s="170">
        <f>'(R) Therms By Block'!C84</f>
        <v>109307.538</v>
      </c>
      <c r="H640" s="170">
        <f>'(R) Therms By Block'!D84</f>
        <v>114463.791</v>
      </c>
      <c r="I640" s="170">
        <f>'(R) Therms By Block'!E84</f>
        <v>124390</v>
      </c>
      <c r="J640" s="170">
        <f>'(R) Therms By Block'!F84</f>
        <v>127709.428</v>
      </c>
      <c r="K640" s="170">
        <f>'(R) Therms By Block'!G84</f>
        <v>128094.939</v>
      </c>
      <c r="L640" s="170">
        <f>'(R) Therms By Block'!H84</f>
        <v>126044.005</v>
      </c>
      <c r="M640" s="170">
        <f>'(R) Therms By Block'!I84</f>
        <v>121455.628</v>
      </c>
      <c r="N640" s="170">
        <f>'(R) Therms By Block'!J84</f>
        <v>125000</v>
      </c>
      <c r="O640" s="170">
        <f>'(R) Therms By Block'!K84</f>
        <v>124138</v>
      </c>
      <c r="P640" s="170">
        <f>'(R) Therms By Block'!L84</f>
        <v>127528.666</v>
      </c>
      <c r="Q640" s="170">
        <f>'(R) Therms By Block'!M84</f>
        <v>112863.99</v>
      </c>
      <c r="R640" s="107">
        <f t="shared" si="397"/>
        <v>1455588.43</v>
      </c>
    </row>
    <row r="641" spans="1:20" s="30" customFormat="1" x14ac:dyDescent="0.2">
      <c r="C641" s="30" t="s">
        <v>62</v>
      </c>
      <c r="E641" s="30" t="s">
        <v>10</v>
      </c>
      <c r="F641" s="170">
        <f>'(R) Therms By Block'!B85</f>
        <v>180356.14300000001</v>
      </c>
      <c r="G641" s="170">
        <f>'(R) Therms By Block'!C85</f>
        <v>176480.61199999999</v>
      </c>
      <c r="H641" s="170">
        <f>'(R) Therms By Block'!D85</f>
        <v>173372.95800000001</v>
      </c>
      <c r="I641" s="170">
        <f>'(R) Therms By Block'!E85</f>
        <v>232697.61600000001</v>
      </c>
      <c r="J641" s="170">
        <f>'(R) Therms By Block'!F85</f>
        <v>255418.85800000001</v>
      </c>
      <c r="K641" s="170">
        <f>'(R) Therms By Block'!G85</f>
        <v>256190.77499999999</v>
      </c>
      <c r="L641" s="170">
        <f>'(R) Therms By Block'!H85</f>
        <v>252089.111</v>
      </c>
      <c r="M641" s="170">
        <f>'(R) Therms By Block'!I85</f>
        <v>242911.25599999999</v>
      </c>
      <c r="N641" s="170">
        <f>'(R) Therms By Block'!J85</f>
        <v>250000</v>
      </c>
      <c r="O641" s="170">
        <f>'(R) Therms By Block'!K85</f>
        <v>248276</v>
      </c>
      <c r="P641" s="170">
        <f>'(R) Therms By Block'!L85</f>
        <v>197462.139</v>
      </c>
      <c r="Q641" s="170">
        <f>'(R) Therms By Block'!M85</f>
        <v>175211.476</v>
      </c>
      <c r="R641" s="107">
        <f t="shared" si="397"/>
        <v>2640466.9439999997</v>
      </c>
    </row>
    <row r="642" spans="1:20" s="30" customFormat="1" x14ac:dyDescent="0.2">
      <c r="C642" s="30" t="s">
        <v>63</v>
      </c>
      <c r="E642" s="30" t="s">
        <v>10</v>
      </c>
      <c r="F642" s="170">
        <f>'(R) Therms By Block'!B86</f>
        <v>114768.774</v>
      </c>
      <c r="G642" s="170">
        <f>'(R) Therms By Block'!C86</f>
        <v>103785.11</v>
      </c>
      <c r="H642" s="170">
        <f>'(R) Therms By Block'!D86</f>
        <v>126069.992</v>
      </c>
      <c r="I642" s="170">
        <f>'(R) Therms By Block'!E86</f>
        <v>242950.46100000001</v>
      </c>
      <c r="J642" s="170">
        <f>'(R) Therms By Block'!F86</f>
        <v>336625.147</v>
      </c>
      <c r="K642" s="170">
        <f>'(R) Therms By Block'!G86</f>
        <v>422860.33600000001</v>
      </c>
      <c r="L642" s="170">
        <f>'(R) Therms By Block'!H86</f>
        <v>394483.83799999999</v>
      </c>
      <c r="M642" s="170">
        <f>'(R) Therms By Block'!I86</f>
        <v>439683.32199999999</v>
      </c>
      <c r="N642" s="170">
        <f>'(R) Therms By Block'!J86</f>
        <v>443482.08899999998</v>
      </c>
      <c r="O642" s="170">
        <f>'(R) Therms By Block'!K86</f>
        <v>318372.07799999998</v>
      </c>
      <c r="P642" s="170">
        <f>'(R) Therms By Block'!L86</f>
        <v>167686.50099999999</v>
      </c>
      <c r="Q642" s="170">
        <f>'(R) Therms By Block'!M86</f>
        <v>115520.219</v>
      </c>
      <c r="R642" s="107">
        <f t="shared" si="397"/>
        <v>3226287.8670000001</v>
      </c>
    </row>
    <row r="643" spans="1:20" s="30" customFormat="1" x14ac:dyDescent="0.2">
      <c r="C643" s="30" t="s">
        <v>64</v>
      </c>
      <c r="E643" s="30" t="s">
        <v>10</v>
      </c>
      <c r="F643" s="170">
        <f>'(R) Therms By Block'!B87</f>
        <v>300000</v>
      </c>
      <c r="G643" s="170">
        <f>'(R) Therms By Block'!C87</f>
        <v>300000</v>
      </c>
      <c r="H643" s="170">
        <f>'(R) Therms By Block'!D87</f>
        <v>300000</v>
      </c>
      <c r="I643" s="170">
        <f>'(R) Therms By Block'!E87</f>
        <v>300000</v>
      </c>
      <c r="J643" s="170">
        <f>'(R) Therms By Block'!F87</f>
        <v>331027.71000000002</v>
      </c>
      <c r="K643" s="170">
        <f>'(R) Therms By Block'!G87</f>
        <v>360007.41399999999</v>
      </c>
      <c r="L643" s="170">
        <f>'(R) Therms By Block'!H87</f>
        <v>336549.57699999999</v>
      </c>
      <c r="M643" s="170">
        <f>'(R) Therms By Block'!I87</f>
        <v>311044.71799999999</v>
      </c>
      <c r="N643" s="170">
        <f>'(R) Therms By Block'!J87</f>
        <v>310532.62800000003</v>
      </c>
      <c r="O643" s="170">
        <f>'(R) Therms By Block'!K87</f>
        <v>310431.10800000001</v>
      </c>
      <c r="P643" s="170">
        <f>'(R) Therms By Block'!L87</f>
        <v>300000</v>
      </c>
      <c r="Q643" s="170">
        <f>'(R) Therms By Block'!M87</f>
        <v>300000</v>
      </c>
      <c r="R643" s="107">
        <f t="shared" si="397"/>
        <v>3759593.1549999998</v>
      </c>
    </row>
    <row r="644" spans="1:20" s="30" customFormat="1" x14ac:dyDescent="0.2">
      <c r="C644" s="30" t="s">
        <v>65</v>
      </c>
      <c r="E644" s="30" t="s">
        <v>10</v>
      </c>
      <c r="F644" s="107">
        <f t="shared" ref="F644:N644" si="398">F645-SUM(F639:F643)</f>
        <v>370119.2300000001</v>
      </c>
      <c r="G644" s="107">
        <f t="shared" si="398"/>
        <v>372287.80000000005</v>
      </c>
      <c r="H644" s="107">
        <f t="shared" si="398"/>
        <v>461018.16999999993</v>
      </c>
      <c r="I644" s="107">
        <f t="shared" si="398"/>
        <v>932432.81999999983</v>
      </c>
      <c r="J644" s="107">
        <f t="shared" si="398"/>
        <v>1167560.7799999998</v>
      </c>
      <c r="K644" s="107">
        <f t="shared" si="398"/>
        <v>1522228.63</v>
      </c>
      <c r="L644" s="107">
        <f t="shared" si="398"/>
        <v>1346884.32</v>
      </c>
      <c r="M644" s="107">
        <f t="shared" si="398"/>
        <v>1217319.21</v>
      </c>
      <c r="N644" s="107">
        <f t="shared" si="398"/>
        <v>1178005.6599999999</v>
      </c>
      <c r="O644" s="107">
        <f t="shared" ref="O644:Q644" si="399">O645-SUM(O639:O643)</f>
        <v>949314.73</v>
      </c>
      <c r="P644" s="107">
        <f t="shared" si="399"/>
        <v>565504.23</v>
      </c>
      <c r="Q644" s="107">
        <f t="shared" si="399"/>
        <v>605234.98</v>
      </c>
      <c r="R644" s="107">
        <f t="shared" si="397"/>
        <v>10687910.560000001</v>
      </c>
    </row>
    <row r="645" spans="1:20" s="30" customFormat="1" x14ac:dyDescent="0.2">
      <c r="C645" s="30" t="s">
        <v>17</v>
      </c>
      <c r="E645" s="30" t="s">
        <v>10</v>
      </c>
      <c r="F645" s="111">
        <f>'Weather Adj'!D178</f>
        <v>1205163.1340000001</v>
      </c>
      <c r="G645" s="111">
        <f>'Weather Adj'!E178</f>
        <v>1191232.98</v>
      </c>
      <c r="H645" s="111">
        <f>'Weather Adj'!F178</f>
        <v>1297454.0249999999</v>
      </c>
      <c r="I645" s="111">
        <f>'Weather Adj'!G178</f>
        <v>1956862.8969999999</v>
      </c>
      <c r="J645" s="111">
        <f>'Weather Adj'!H178</f>
        <v>2346051.3509999998</v>
      </c>
      <c r="K645" s="111">
        <f>'Weather Adj'!I178</f>
        <v>2817477.4819999998</v>
      </c>
      <c r="L645" s="111">
        <f>'Weather Adj'!J178</f>
        <v>2582095.4070000001</v>
      </c>
      <c r="M645" s="111">
        <f>'Weather Adj'!K178</f>
        <v>2453869.7620000001</v>
      </c>
      <c r="N645" s="111">
        <f>'Weather Adj'!L178</f>
        <v>2432020.3769999999</v>
      </c>
      <c r="O645" s="111">
        <f>'Weather Adj'!M178</f>
        <v>2074669.916</v>
      </c>
      <c r="P645" s="111">
        <f>'Weather Adj'!N178</f>
        <v>1485710.202</v>
      </c>
      <c r="Q645" s="111">
        <f>'Weather Adj'!O178</f>
        <v>1430551.095</v>
      </c>
      <c r="R645" s="109">
        <f>SUM(R639:R644)</f>
        <v>23273158.627999999</v>
      </c>
      <c r="S645" s="46"/>
    </row>
    <row r="646" spans="1:20" s="30" customFormat="1" x14ac:dyDescent="0.2">
      <c r="B646" s="30" t="s">
        <v>29</v>
      </c>
      <c r="E646" s="30" t="s">
        <v>100</v>
      </c>
      <c r="F646" s="76">
        <f>'(R) Data'!C50</f>
        <v>0</v>
      </c>
      <c r="G646" s="76">
        <f>'(R) Data'!D50</f>
        <v>0</v>
      </c>
      <c r="H646" s="76">
        <f>'(R) Data'!E50</f>
        <v>0</v>
      </c>
      <c r="I646" s="76">
        <f>'(R) Data'!F50</f>
        <v>0</v>
      </c>
      <c r="J646" s="76">
        <f>'(R) Data'!G50</f>
        <v>0</v>
      </c>
      <c r="K646" s="76">
        <f>'(R) Data'!H50</f>
        <v>0</v>
      </c>
      <c r="L646" s="76">
        <f>'(R) Data'!I50</f>
        <v>0</v>
      </c>
      <c r="M646" s="76">
        <f>'(R) Data'!J50</f>
        <v>0</v>
      </c>
      <c r="N646" s="76">
        <f>'(R) Data'!K50</f>
        <v>0</v>
      </c>
      <c r="O646" s="76">
        <f>'(R) Data'!L50</f>
        <v>0</v>
      </c>
      <c r="P646" s="76">
        <f>'(R) Data'!M50</f>
        <v>0</v>
      </c>
      <c r="Q646" s="76">
        <f>'(R) Data'!N50</f>
        <v>0</v>
      </c>
      <c r="R646" s="107">
        <f>SUM(F646:Q646)</f>
        <v>0</v>
      </c>
      <c r="S646" s="46"/>
    </row>
    <row r="647" spans="1:20" s="30" customFormat="1" x14ac:dyDescent="0.2">
      <c r="B647" s="30" t="s">
        <v>21</v>
      </c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107"/>
      <c r="S647" s="46"/>
    </row>
    <row r="648" spans="1:20" s="30" customFormat="1" x14ac:dyDescent="0.2">
      <c r="R648" s="96"/>
      <c r="S648" s="46"/>
    </row>
    <row r="649" spans="1:20" s="30" customFormat="1" x14ac:dyDescent="0.2">
      <c r="B649" s="29" t="s">
        <v>9</v>
      </c>
      <c r="R649" s="96"/>
      <c r="S649" s="46"/>
    </row>
    <row r="650" spans="1:20" s="30" customFormat="1" x14ac:dyDescent="0.2">
      <c r="A650" s="30" t="s">
        <v>147</v>
      </c>
      <c r="B650" s="30" t="s">
        <v>282</v>
      </c>
      <c r="D650" s="30">
        <v>85</v>
      </c>
      <c r="F650" s="34">
        <f t="shared" ref="F650:N650" si="400">F618*F637</f>
        <v>2794.2347250607513</v>
      </c>
      <c r="G650" s="34">
        <f t="shared" si="400"/>
        <v>2884.4298668141319</v>
      </c>
      <c r="H650" s="34">
        <f t="shared" si="400"/>
        <v>2731.8674066920057</v>
      </c>
      <c r="I650" s="34">
        <f t="shared" si="400"/>
        <v>2773.3877347498283</v>
      </c>
      <c r="J650" s="34">
        <f t="shared" si="400"/>
        <v>2847.3463617670882</v>
      </c>
      <c r="K650" s="34">
        <f t="shared" si="400"/>
        <v>2855.9705110502414</v>
      </c>
      <c r="L650" s="34">
        <f t="shared" si="400"/>
        <v>2810.2466315416777</v>
      </c>
      <c r="M650" s="34">
        <f t="shared" si="400"/>
        <v>2707.9162479768006</v>
      </c>
      <c r="N650" s="34">
        <f t="shared" si="400"/>
        <v>2786.95</v>
      </c>
      <c r="O650" s="34">
        <f t="shared" ref="O650:Q650" si="401">O618*O637</f>
        <v>2767.7225259643915</v>
      </c>
      <c r="P650" s="34">
        <f t="shared" si="401"/>
        <v>2843.35</v>
      </c>
      <c r="Q650" s="34">
        <f t="shared" si="401"/>
        <v>2713.83</v>
      </c>
      <c r="R650" s="70">
        <f>SUM(F650:Q650)</f>
        <v>33517.252011616918</v>
      </c>
      <c r="S650" s="46"/>
    </row>
    <row r="651" spans="1:20" s="30" customFormat="1" x14ac:dyDescent="0.2">
      <c r="B651" s="30" t="s">
        <v>3</v>
      </c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70"/>
      <c r="S651" s="46"/>
    </row>
    <row r="652" spans="1:20" s="30" customFormat="1" x14ac:dyDescent="0.2">
      <c r="C652" s="30" t="s">
        <v>56</v>
      </c>
      <c r="D652" s="30">
        <v>87</v>
      </c>
      <c r="F652" s="34">
        <f t="shared" ref="F652:N652" si="402">F620*F639</f>
        <v>17432.921992200001</v>
      </c>
      <c r="G652" s="34">
        <f t="shared" si="402"/>
        <v>17995.634072000001</v>
      </c>
      <c r="H652" s="34">
        <f t="shared" si="402"/>
        <v>17043.7997574</v>
      </c>
      <c r="I652" s="34">
        <f t="shared" si="402"/>
        <v>17302.927200000002</v>
      </c>
      <c r="J652" s="34">
        <f t="shared" si="402"/>
        <v>17764.381434800001</v>
      </c>
      <c r="K652" s="34">
        <f t="shared" si="402"/>
        <v>17818.068470800001</v>
      </c>
      <c r="L652" s="34">
        <f t="shared" si="402"/>
        <v>17532.797739599999</v>
      </c>
      <c r="M652" s="34">
        <f t="shared" si="402"/>
        <v>16894.477854799999</v>
      </c>
      <c r="N652" s="34">
        <f t="shared" si="402"/>
        <v>17387.5</v>
      </c>
      <c r="O652" s="34">
        <f t="shared" ref="O652:Q652" si="403">O620*O639</f>
        <v>17267.595799999999</v>
      </c>
      <c r="P652" s="34">
        <f t="shared" si="403"/>
        <v>17739.237440599998</v>
      </c>
      <c r="Q652" s="34">
        <f t="shared" si="403"/>
        <v>16931.311813</v>
      </c>
      <c r="R652" s="70">
        <f t="shared" ref="R652:R657" si="404">SUM(F652:Q652)</f>
        <v>209110.65357520003</v>
      </c>
      <c r="S652" s="46"/>
      <c r="T652" s="46"/>
    </row>
    <row r="653" spans="1:20" s="30" customFormat="1" x14ac:dyDescent="0.2">
      <c r="C653" s="30" t="s">
        <v>57</v>
      </c>
      <c r="D653" s="30">
        <v>87</v>
      </c>
      <c r="F653" s="34">
        <f t="shared" ref="F653:N653" si="405">F621*F640</f>
        <v>9632.6409266999999</v>
      </c>
      <c r="G653" s="34">
        <f t="shared" si="405"/>
        <v>9188.39164428</v>
      </c>
      <c r="H653" s="34">
        <f t="shared" si="405"/>
        <v>9621.8262714599987</v>
      </c>
      <c r="I653" s="34">
        <f t="shared" si="405"/>
        <v>10456.223399999999</v>
      </c>
      <c r="J653" s="34">
        <f t="shared" si="405"/>
        <v>10735.254517679999</v>
      </c>
      <c r="K653" s="34">
        <f t="shared" si="405"/>
        <v>10767.660572339999</v>
      </c>
      <c r="L653" s="34">
        <f t="shared" si="405"/>
        <v>10595.259060299999</v>
      </c>
      <c r="M653" s="34">
        <f t="shared" si="405"/>
        <v>10209.560089679999</v>
      </c>
      <c r="N653" s="34">
        <f t="shared" si="405"/>
        <v>10507.5</v>
      </c>
      <c r="O653" s="34">
        <f t="shared" ref="O653:Q653" si="406">O621*O640</f>
        <v>10435.040279999999</v>
      </c>
      <c r="P653" s="34">
        <f t="shared" si="406"/>
        <v>10720.059663959999</v>
      </c>
      <c r="Q653" s="34">
        <f t="shared" si="406"/>
        <v>9487.3469994000006</v>
      </c>
      <c r="R653" s="70">
        <f t="shared" si="404"/>
        <v>122356.7634258</v>
      </c>
    </row>
    <row r="654" spans="1:20" s="30" customFormat="1" x14ac:dyDescent="0.2">
      <c r="C654" s="30" t="s">
        <v>62</v>
      </c>
      <c r="D654" s="30">
        <v>87</v>
      </c>
      <c r="F654" s="34">
        <f t="shared" ref="F654:N654" si="407">F622*F641</f>
        <v>9647.2500890700012</v>
      </c>
      <c r="G654" s="34">
        <f t="shared" si="407"/>
        <v>9439.9479358799999</v>
      </c>
      <c r="H654" s="34">
        <f t="shared" si="407"/>
        <v>9273.7195234200008</v>
      </c>
      <c r="I654" s="34">
        <f t="shared" si="407"/>
        <v>12446.995479840001</v>
      </c>
      <c r="J654" s="34">
        <f t="shared" si="407"/>
        <v>13662.354714420002</v>
      </c>
      <c r="K654" s="34">
        <f t="shared" si="407"/>
        <v>13703.644554750001</v>
      </c>
      <c r="L654" s="34">
        <f t="shared" si="407"/>
        <v>13484.246547390001</v>
      </c>
      <c r="M654" s="34">
        <f t="shared" si="407"/>
        <v>12993.32308344</v>
      </c>
      <c r="N654" s="34">
        <f t="shared" si="407"/>
        <v>13372.5</v>
      </c>
      <c r="O654" s="34">
        <f t="shared" ref="O654:Q654" si="408">O622*O641</f>
        <v>13280.283240000001</v>
      </c>
      <c r="P654" s="34">
        <f t="shared" si="408"/>
        <v>10562.249815110001</v>
      </c>
      <c r="Q654" s="34">
        <f t="shared" si="408"/>
        <v>9372.0618512399997</v>
      </c>
      <c r="R654" s="70">
        <f t="shared" si="404"/>
        <v>141238.57683456002</v>
      </c>
    </row>
    <row r="655" spans="1:20" s="30" customFormat="1" x14ac:dyDescent="0.2">
      <c r="A655"/>
      <c r="B655"/>
      <c r="C655" t="s">
        <v>63</v>
      </c>
      <c r="D655">
        <v>87</v>
      </c>
      <c r="E655"/>
      <c r="F655" s="23">
        <f t="shared" ref="F655:N655" si="409">F623*F642</f>
        <v>3936.5689481999998</v>
      </c>
      <c r="G655" s="23">
        <f t="shared" si="409"/>
        <v>3559.8292729999998</v>
      </c>
      <c r="H655" s="23">
        <f t="shared" si="409"/>
        <v>4324.2007255999997</v>
      </c>
      <c r="I655" s="23">
        <f t="shared" si="409"/>
        <v>8333.2008122999996</v>
      </c>
      <c r="J655" s="23">
        <f t="shared" si="409"/>
        <v>11546.242542099999</v>
      </c>
      <c r="K655" s="23">
        <f t="shared" si="409"/>
        <v>14504.109524799998</v>
      </c>
      <c r="L655" s="23">
        <f t="shared" si="409"/>
        <v>13530.795643399999</v>
      </c>
      <c r="M655" s="23">
        <f t="shared" si="409"/>
        <v>15081.137944599997</v>
      </c>
      <c r="N655" s="23">
        <f t="shared" si="409"/>
        <v>15211.435652699998</v>
      </c>
      <c r="O655" s="23">
        <f t="shared" ref="O655:Q655" si="410">O623*O642</f>
        <v>10920.162275399998</v>
      </c>
      <c r="P655" s="23">
        <f t="shared" si="410"/>
        <v>5751.6469842999995</v>
      </c>
      <c r="Q655" s="23">
        <f t="shared" si="410"/>
        <v>3962.3435116999995</v>
      </c>
      <c r="R655" s="100">
        <f t="shared" si="404"/>
        <v>110661.67383809999</v>
      </c>
    </row>
    <row r="656" spans="1:20" s="30" customFormat="1" x14ac:dyDescent="0.2">
      <c r="A656"/>
      <c r="B656"/>
      <c r="C656" t="s">
        <v>64</v>
      </c>
      <c r="D656">
        <v>87</v>
      </c>
      <c r="E656"/>
      <c r="F656" s="23">
        <f t="shared" ref="F656:N656" si="411">F624*F643</f>
        <v>7404</v>
      </c>
      <c r="G656" s="23">
        <f t="shared" si="411"/>
        <v>7404</v>
      </c>
      <c r="H656" s="23">
        <f t="shared" si="411"/>
        <v>7404</v>
      </c>
      <c r="I656" s="23">
        <f t="shared" si="411"/>
        <v>7404</v>
      </c>
      <c r="J656" s="23">
        <f t="shared" si="411"/>
        <v>8169.7638828000008</v>
      </c>
      <c r="K656" s="23">
        <f t="shared" si="411"/>
        <v>8884.9829775199996</v>
      </c>
      <c r="L656" s="23">
        <f t="shared" si="411"/>
        <v>8306.0435603599999</v>
      </c>
      <c r="M656" s="23">
        <f t="shared" si="411"/>
        <v>7676.58364024</v>
      </c>
      <c r="N656" s="23">
        <f t="shared" si="411"/>
        <v>7663.9452590400006</v>
      </c>
      <c r="O656" s="23">
        <f t="shared" ref="O656:Q656" si="412">O624*O643</f>
        <v>7661.4397454400005</v>
      </c>
      <c r="P656" s="23">
        <f t="shared" si="412"/>
        <v>7404</v>
      </c>
      <c r="Q656" s="23">
        <f t="shared" si="412"/>
        <v>7404</v>
      </c>
      <c r="R656" s="100">
        <f t="shared" si="404"/>
        <v>92786.759065399994</v>
      </c>
      <c r="S656" s="34"/>
    </row>
    <row r="657" spans="1:22" s="30" customFormat="1" x14ac:dyDescent="0.2">
      <c r="A657"/>
      <c r="B657"/>
      <c r="C657" t="s">
        <v>65</v>
      </c>
      <c r="D657">
        <v>87</v>
      </c>
      <c r="E657"/>
      <c r="F657" s="23">
        <f t="shared" ref="F657:N657" si="413">F625*F644</f>
        <v>7043.368946900001</v>
      </c>
      <c r="G657" s="23">
        <f t="shared" si="413"/>
        <v>7084.6368339999999</v>
      </c>
      <c r="H657" s="23">
        <f t="shared" si="413"/>
        <v>8773.1757750999986</v>
      </c>
      <c r="I657" s="23">
        <f t="shared" si="413"/>
        <v>17744.196564599995</v>
      </c>
      <c r="J657" s="23">
        <f t="shared" si="413"/>
        <v>22218.681643399996</v>
      </c>
      <c r="K657" s="23">
        <f t="shared" si="413"/>
        <v>28968.010828899995</v>
      </c>
      <c r="L657" s="23">
        <f t="shared" si="413"/>
        <v>25631.208609599998</v>
      </c>
      <c r="M657" s="23">
        <f t="shared" si="413"/>
        <v>23165.584566299996</v>
      </c>
      <c r="N657" s="23">
        <f t="shared" si="413"/>
        <v>22417.447709799995</v>
      </c>
      <c r="O657" s="23">
        <f t="shared" ref="O657:Q657" si="414">O625*O644</f>
        <v>18065.459311899998</v>
      </c>
      <c r="P657" s="23">
        <f t="shared" si="414"/>
        <v>10761.545496899998</v>
      </c>
      <c r="Q657" s="23">
        <f t="shared" si="414"/>
        <v>11517.6216694</v>
      </c>
      <c r="R657" s="100">
        <f t="shared" si="404"/>
        <v>203390.93795679996</v>
      </c>
    </row>
    <row r="658" spans="1:22" x14ac:dyDescent="0.2">
      <c r="A658" t="s">
        <v>147</v>
      </c>
      <c r="C658" t="s">
        <v>26</v>
      </c>
      <c r="F658" s="24">
        <f t="shared" ref="F658:N658" si="415">SUM(F652:F657)</f>
        <v>55096.750903070009</v>
      </c>
      <c r="G658" s="24">
        <f t="shared" si="415"/>
        <v>54672.439759159999</v>
      </c>
      <c r="H658" s="24">
        <f t="shared" si="415"/>
        <v>56440.722052979996</v>
      </c>
      <c r="I658" s="24">
        <f t="shared" si="415"/>
        <v>73687.543456739993</v>
      </c>
      <c r="J658" s="24">
        <f t="shared" si="415"/>
        <v>84096.678735199996</v>
      </c>
      <c r="K658" s="24">
        <f t="shared" si="415"/>
        <v>94646.476929109995</v>
      </c>
      <c r="L658" s="24">
        <f t="shared" si="415"/>
        <v>89080.351160649996</v>
      </c>
      <c r="M658" s="24">
        <f t="shared" si="415"/>
        <v>86020.667179059994</v>
      </c>
      <c r="N658" s="24">
        <f t="shared" si="415"/>
        <v>86560.32862154</v>
      </c>
      <c r="O658" s="24">
        <f t="shared" ref="O658:Q658" si="416">SUM(O652:O657)</f>
        <v>77629.980652739992</v>
      </c>
      <c r="P658" s="24">
        <f t="shared" si="416"/>
        <v>62938.739400869999</v>
      </c>
      <c r="Q658" s="24">
        <f t="shared" si="416"/>
        <v>58674.685844740001</v>
      </c>
      <c r="R658" s="24">
        <f>SUM(R652:R657)</f>
        <v>879545.36469585996</v>
      </c>
      <c r="S658" s="34"/>
    </row>
    <row r="659" spans="1:22" x14ac:dyDescent="0.2">
      <c r="A659" s="30" t="s">
        <v>130</v>
      </c>
      <c r="B659" t="s">
        <v>306</v>
      </c>
      <c r="D659">
        <v>101</v>
      </c>
      <c r="F659" s="40">
        <f t="shared" ref="F659:N659" si="417">F626*F645</f>
        <v>325924.31795896002</v>
      </c>
      <c r="G659" s="40">
        <f t="shared" si="417"/>
        <v>322157.04711119999</v>
      </c>
      <c r="H659" s="40">
        <f t="shared" si="417"/>
        <v>350883.46652099997</v>
      </c>
      <c r="I659" s="40">
        <f t="shared" si="417"/>
        <v>529214.00186467997</v>
      </c>
      <c r="J659" s="36">
        <f t="shared" si="417"/>
        <v>634466.12736444001</v>
      </c>
      <c r="K659" s="40">
        <f t="shared" si="417"/>
        <v>761958.61023207998</v>
      </c>
      <c r="L659" s="40">
        <f t="shared" si="417"/>
        <v>698301.88186908001</v>
      </c>
      <c r="M659" s="40">
        <f t="shared" si="417"/>
        <v>663624.53843528009</v>
      </c>
      <c r="N659" s="40">
        <f t="shared" si="417"/>
        <v>657715.59075588</v>
      </c>
      <c r="O659" s="40">
        <f t="shared" ref="O659:Q659" si="418">O626*O645</f>
        <v>561073.73208304006</v>
      </c>
      <c r="P659" s="40">
        <f t="shared" si="418"/>
        <v>401795.46702888003</v>
      </c>
      <c r="Q659" s="40">
        <f t="shared" si="418"/>
        <v>386878.23813180003</v>
      </c>
      <c r="R659" s="97">
        <f>SUM(F659:Q659)</f>
        <v>6293993.0193563206</v>
      </c>
      <c r="S659" s="34"/>
    </row>
    <row r="660" spans="1:22" x14ac:dyDescent="0.2">
      <c r="A660" t="s">
        <v>147</v>
      </c>
      <c r="B660" t="s">
        <v>61</v>
      </c>
      <c r="D660" s="21">
        <v>87</v>
      </c>
      <c r="F660" s="40">
        <f t="shared" ref="F660:N660" si="419">F627*F645</f>
        <v>7158.6690159600003</v>
      </c>
      <c r="G660" s="40">
        <f t="shared" si="419"/>
        <v>7075.9239011999998</v>
      </c>
      <c r="H660" s="40">
        <f t="shared" si="419"/>
        <v>7706.8769084999994</v>
      </c>
      <c r="I660" s="40">
        <f t="shared" si="419"/>
        <v>11623.76560818</v>
      </c>
      <c r="J660" s="40">
        <f t="shared" si="419"/>
        <v>13935.545024939998</v>
      </c>
      <c r="K660" s="40">
        <f t="shared" si="419"/>
        <v>16735.81624308</v>
      </c>
      <c r="L660" s="40">
        <f t="shared" si="419"/>
        <v>15337.646717580001</v>
      </c>
      <c r="M660" s="40">
        <f t="shared" si="419"/>
        <v>14575.986386280001</v>
      </c>
      <c r="N660" s="40">
        <f t="shared" si="419"/>
        <v>14446.201039379999</v>
      </c>
      <c r="O660" s="40">
        <f t="shared" ref="O660:Q660" si="420">O627*O645</f>
        <v>12323.53930104</v>
      </c>
      <c r="P660" s="40">
        <f t="shared" si="420"/>
        <v>8825.1185998800011</v>
      </c>
      <c r="Q660" s="40">
        <f t="shared" si="420"/>
        <v>8497.4735043000001</v>
      </c>
      <c r="R660" s="97">
        <f>SUM(F660:Q660)</f>
        <v>138242.56225032001</v>
      </c>
      <c r="S660" s="34"/>
    </row>
    <row r="661" spans="1:22" x14ac:dyDescent="0.2">
      <c r="A661" t="s">
        <v>551</v>
      </c>
      <c r="B661" t="s">
        <v>552</v>
      </c>
      <c r="D661" s="21">
        <v>149</v>
      </c>
      <c r="F661" s="40">
        <f>F628*F645</f>
        <v>2434.4295306800004</v>
      </c>
      <c r="G661" s="40">
        <f t="shared" ref="G661:Q661" si="421">G628*G645</f>
        <v>2406.2906195999999</v>
      </c>
      <c r="H661" s="40">
        <f t="shared" si="421"/>
        <v>2620.8571305</v>
      </c>
      <c r="I661" s="40">
        <f t="shared" si="421"/>
        <v>3952.8630519399999</v>
      </c>
      <c r="J661" s="40">
        <f t="shared" si="421"/>
        <v>4739.0237290200002</v>
      </c>
      <c r="K661" s="40">
        <f t="shared" si="421"/>
        <v>5691.3045136399996</v>
      </c>
      <c r="L661" s="40">
        <f t="shared" si="421"/>
        <v>5215.8327221400004</v>
      </c>
      <c r="M661" s="40">
        <f t="shared" si="421"/>
        <v>4956.8169192400001</v>
      </c>
      <c r="N661" s="40">
        <f t="shared" si="421"/>
        <v>4912.6811615400002</v>
      </c>
      <c r="O661" s="40">
        <f t="shared" si="421"/>
        <v>4190.8332303200004</v>
      </c>
      <c r="P661" s="40">
        <f t="shared" si="421"/>
        <v>3001.1346080400003</v>
      </c>
      <c r="Q661" s="40">
        <f t="shared" si="421"/>
        <v>2889.7132119000003</v>
      </c>
      <c r="R661" s="97">
        <f>SUM(F661:Q661)</f>
        <v>47011.780428560007</v>
      </c>
      <c r="S661" s="34"/>
    </row>
    <row r="662" spans="1:22" x14ac:dyDescent="0.2">
      <c r="B662" t="s">
        <v>18</v>
      </c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100"/>
      <c r="S662" s="34"/>
    </row>
    <row r="663" spans="1:22" x14ac:dyDescent="0.2">
      <c r="A663" t="s">
        <v>147</v>
      </c>
      <c r="C663" t="s">
        <v>19</v>
      </c>
      <c r="D663" s="21">
        <v>87</v>
      </c>
      <c r="F663" s="23">
        <f t="shared" ref="F663:N663" si="422">F630*F646</f>
        <v>0</v>
      </c>
      <c r="G663" s="23">
        <f t="shared" si="422"/>
        <v>0</v>
      </c>
      <c r="H663" s="23">
        <f t="shared" si="422"/>
        <v>0</v>
      </c>
      <c r="I663" s="23">
        <f t="shared" si="422"/>
        <v>0</v>
      </c>
      <c r="J663" s="23">
        <f t="shared" si="422"/>
        <v>0</v>
      </c>
      <c r="K663" s="23">
        <f t="shared" si="422"/>
        <v>0</v>
      </c>
      <c r="L663" s="23">
        <f t="shared" si="422"/>
        <v>0</v>
      </c>
      <c r="M663" s="23">
        <f t="shared" si="422"/>
        <v>0</v>
      </c>
      <c r="N663" s="23">
        <f t="shared" si="422"/>
        <v>0</v>
      </c>
      <c r="O663" s="23">
        <f t="shared" ref="O663:Q663" si="423">O630*O646</f>
        <v>0</v>
      </c>
      <c r="P663" s="23">
        <f t="shared" si="423"/>
        <v>0</v>
      </c>
      <c r="Q663" s="23">
        <f t="shared" si="423"/>
        <v>0</v>
      </c>
      <c r="R663" s="100">
        <f>SUM(F663:Q663)</f>
        <v>0</v>
      </c>
      <c r="S663" s="34"/>
    </row>
    <row r="664" spans="1:22" x14ac:dyDescent="0.2">
      <c r="A664" s="30" t="s">
        <v>130</v>
      </c>
      <c r="C664" t="s">
        <v>20</v>
      </c>
      <c r="D664">
        <v>101</v>
      </c>
      <c r="F664" s="23">
        <f t="shared" ref="F664:N664" si="424">F631*F646</f>
        <v>0</v>
      </c>
      <c r="G664" s="23">
        <f t="shared" si="424"/>
        <v>0</v>
      </c>
      <c r="H664" s="23">
        <f t="shared" si="424"/>
        <v>0</v>
      </c>
      <c r="I664" s="23">
        <f t="shared" si="424"/>
        <v>0</v>
      </c>
      <c r="J664" s="34">
        <f t="shared" si="424"/>
        <v>0</v>
      </c>
      <c r="K664" s="23">
        <f t="shared" si="424"/>
        <v>0</v>
      </c>
      <c r="L664" s="23">
        <f t="shared" si="424"/>
        <v>0</v>
      </c>
      <c r="M664" s="23">
        <f t="shared" si="424"/>
        <v>0</v>
      </c>
      <c r="N664" s="23">
        <f t="shared" si="424"/>
        <v>0</v>
      </c>
      <c r="O664" s="23">
        <f t="shared" ref="O664:Q664" si="425">O631*O646</f>
        <v>0</v>
      </c>
      <c r="P664" s="23">
        <f t="shared" si="425"/>
        <v>0</v>
      </c>
      <c r="Q664" s="23">
        <f t="shared" si="425"/>
        <v>0</v>
      </c>
      <c r="R664" s="100">
        <f>SUM(F664:Q664)</f>
        <v>0</v>
      </c>
      <c r="S664" s="34"/>
    </row>
    <row r="665" spans="1:22" x14ac:dyDescent="0.2">
      <c r="A665" s="30"/>
      <c r="B665" s="30"/>
      <c r="C665" s="30" t="s">
        <v>23</v>
      </c>
      <c r="D665" s="30"/>
      <c r="E665" s="30"/>
      <c r="F665" s="35">
        <f t="shared" ref="F665:N665" si="426">SUM(F663:F664)</f>
        <v>0</v>
      </c>
      <c r="G665" s="35">
        <f t="shared" si="426"/>
        <v>0</v>
      </c>
      <c r="H665" s="35">
        <f t="shared" si="426"/>
        <v>0</v>
      </c>
      <c r="I665" s="35">
        <f t="shared" si="426"/>
        <v>0</v>
      </c>
      <c r="J665" s="35">
        <f t="shared" si="426"/>
        <v>0</v>
      </c>
      <c r="K665" s="35">
        <f t="shared" si="426"/>
        <v>0</v>
      </c>
      <c r="L665" s="35">
        <f t="shared" si="426"/>
        <v>0</v>
      </c>
      <c r="M665" s="35">
        <f t="shared" si="426"/>
        <v>0</v>
      </c>
      <c r="N665" s="35">
        <f t="shared" si="426"/>
        <v>0</v>
      </c>
      <c r="O665" s="35">
        <f t="shared" ref="O665:Q665" si="427">SUM(O663:O664)</f>
        <v>0</v>
      </c>
      <c r="P665" s="35">
        <f t="shared" si="427"/>
        <v>0</v>
      </c>
      <c r="Q665" s="35">
        <f t="shared" si="427"/>
        <v>0</v>
      </c>
      <c r="R665" s="35">
        <f>SUM(R663:R664)</f>
        <v>0</v>
      </c>
      <c r="S665" s="34"/>
    </row>
    <row r="666" spans="1:22" x14ac:dyDescent="0.2">
      <c r="A666" s="30" t="s">
        <v>147</v>
      </c>
      <c r="B666" s="30" t="s">
        <v>21</v>
      </c>
      <c r="C666" s="30"/>
      <c r="D666" s="47">
        <v>87</v>
      </c>
      <c r="E666" s="30"/>
      <c r="F666" s="74">
        <f>'(R) Data'!C66</f>
        <v>0</v>
      </c>
      <c r="G666" s="74">
        <f>'(R) Data'!D66</f>
        <v>0</v>
      </c>
      <c r="H666" s="74">
        <f>'(R) Data'!E66</f>
        <v>42191.22</v>
      </c>
      <c r="I666" s="74">
        <f>'(R) Data'!F66</f>
        <v>0</v>
      </c>
      <c r="J666" s="74">
        <f>'(R) Data'!G66</f>
        <v>0</v>
      </c>
      <c r="K666" s="74">
        <f>'(R) Data'!H66</f>
        <v>0</v>
      </c>
      <c r="L666" s="74">
        <f>'(R) Data'!I66</f>
        <v>0</v>
      </c>
      <c r="M666" s="74">
        <f>'(R) Data'!J66</f>
        <v>0</v>
      </c>
      <c r="N666" s="74">
        <f>'(R) Data'!K66</f>
        <v>0</v>
      </c>
      <c r="O666" s="74">
        <f>'(R) Data'!L66</f>
        <v>0</v>
      </c>
      <c r="P666" s="74">
        <f>'(R) Data'!M66</f>
        <v>0</v>
      </c>
      <c r="Q666" s="74">
        <f>'(R) Data'!N66</f>
        <v>0</v>
      </c>
      <c r="R666" s="70">
        <f>SUM(F666:Q666)</f>
        <v>42191.22</v>
      </c>
      <c r="S666" s="34"/>
    </row>
    <row r="667" spans="1:22" x14ac:dyDescent="0.2">
      <c r="A667" s="30"/>
      <c r="B667" s="30" t="s">
        <v>25</v>
      </c>
      <c r="C667" s="30"/>
      <c r="D667" s="30"/>
      <c r="E667" s="30"/>
      <c r="F667" s="35">
        <f t="shared" ref="F667:N667" si="428">F659+F664</f>
        <v>325924.31795896002</v>
      </c>
      <c r="G667" s="35">
        <f t="shared" si="428"/>
        <v>322157.04711119999</v>
      </c>
      <c r="H667" s="35">
        <f t="shared" si="428"/>
        <v>350883.46652099997</v>
      </c>
      <c r="I667" s="35">
        <f t="shared" si="428"/>
        <v>529214.00186467997</v>
      </c>
      <c r="J667" s="35">
        <f t="shared" si="428"/>
        <v>634466.12736444001</v>
      </c>
      <c r="K667" s="35">
        <f t="shared" si="428"/>
        <v>761958.61023207998</v>
      </c>
      <c r="L667" s="35">
        <f t="shared" si="428"/>
        <v>698301.88186908001</v>
      </c>
      <c r="M667" s="35">
        <f t="shared" si="428"/>
        <v>663624.53843528009</v>
      </c>
      <c r="N667" s="35">
        <f t="shared" si="428"/>
        <v>657715.59075588</v>
      </c>
      <c r="O667" s="35">
        <f t="shared" ref="O667:Q667" si="429">O659+O664</f>
        <v>561073.73208304006</v>
      </c>
      <c r="P667" s="35">
        <f t="shared" si="429"/>
        <v>401795.46702888003</v>
      </c>
      <c r="Q667" s="35">
        <f t="shared" si="429"/>
        <v>386878.23813180003</v>
      </c>
      <c r="R667" s="35">
        <f>R659+R664</f>
        <v>6293993.0193563206</v>
      </c>
      <c r="S667" s="34"/>
      <c r="V667" s="23"/>
    </row>
    <row r="668" spans="1:22" s="30" customFormat="1" x14ac:dyDescent="0.2">
      <c r="B668" s="30" t="s">
        <v>24</v>
      </c>
      <c r="F668" s="35">
        <f>F650+F658+F659+F660+F661+F665+F666</f>
        <v>393408.40213373082</v>
      </c>
      <c r="G668" s="35">
        <f t="shared" ref="G668:R668" si="430">G650+G658+G659+G660+G661+G665+G666</f>
        <v>389196.13125797414</v>
      </c>
      <c r="H668" s="35">
        <f t="shared" si="430"/>
        <v>462575.01001967199</v>
      </c>
      <c r="I668" s="35">
        <f t="shared" si="430"/>
        <v>621251.56171628973</v>
      </c>
      <c r="J668" s="35">
        <f t="shared" si="430"/>
        <v>740084.7212153672</v>
      </c>
      <c r="K668" s="35">
        <f t="shared" si="430"/>
        <v>881888.17842896015</v>
      </c>
      <c r="L668" s="35">
        <f t="shared" si="430"/>
        <v>810745.95910099172</v>
      </c>
      <c r="M668" s="35">
        <f t="shared" si="430"/>
        <v>771885.92516783695</v>
      </c>
      <c r="N668" s="35">
        <f t="shared" si="430"/>
        <v>766421.75157834007</v>
      </c>
      <c r="O668" s="35">
        <f t="shared" si="430"/>
        <v>657985.80779310444</v>
      </c>
      <c r="P668" s="35">
        <f t="shared" si="430"/>
        <v>479403.80963767006</v>
      </c>
      <c r="Q668" s="35">
        <f t="shared" si="430"/>
        <v>459653.94069274003</v>
      </c>
      <c r="R668" s="35">
        <f t="shared" si="430"/>
        <v>7434501.1987426775</v>
      </c>
      <c r="S668" s="34"/>
      <c r="V668" s="34"/>
    </row>
    <row r="669" spans="1:22" x14ac:dyDescent="0.2">
      <c r="A669" s="30"/>
      <c r="B669" s="30"/>
      <c r="C669" s="30"/>
      <c r="D669" s="30"/>
      <c r="E669" s="30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</row>
    <row r="670" spans="1:22" x14ac:dyDescent="0.2">
      <c r="A670" s="30" t="s">
        <v>305</v>
      </c>
      <c r="B670" s="30" t="s">
        <v>304</v>
      </c>
      <c r="C670" s="30"/>
      <c r="D670" s="30"/>
      <c r="E670" s="30"/>
      <c r="F670" s="34">
        <f t="shared" ref="F670:N670" si="431">F633*F645+F646*F634</f>
        <v>311112.86304209998</v>
      </c>
      <c r="G670" s="34">
        <f t="shared" si="431"/>
        <v>307516.793787</v>
      </c>
      <c r="H670" s="34">
        <f t="shared" si="431"/>
        <v>334937.75655374996</v>
      </c>
      <c r="I670" s="34">
        <f t="shared" si="431"/>
        <v>505164.15686054993</v>
      </c>
      <c r="J670" s="34">
        <f t="shared" si="431"/>
        <v>605633.15626064991</v>
      </c>
      <c r="K670" s="34">
        <f t="shared" si="431"/>
        <v>727331.81197829999</v>
      </c>
      <c r="L670" s="34">
        <f t="shared" si="431"/>
        <v>666567.92931705003</v>
      </c>
      <c r="M670" s="34">
        <f t="shared" si="431"/>
        <v>633466.47906030004</v>
      </c>
      <c r="N670" s="34">
        <f t="shared" si="431"/>
        <v>627826.06032254989</v>
      </c>
      <c r="O670" s="34">
        <f t="shared" ref="O670:Q670" si="432">O633*O645+O646*O634</f>
        <v>535576.03881539998</v>
      </c>
      <c r="P670" s="34">
        <f t="shared" si="432"/>
        <v>383536.08864630002</v>
      </c>
      <c r="Q670" s="34">
        <f t="shared" si="432"/>
        <v>369296.76517425</v>
      </c>
      <c r="R670" s="34">
        <f>SUM(F670:Q670)</f>
        <v>6007965.8998181997</v>
      </c>
    </row>
    <row r="671" spans="1:22" x14ac:dyDescent="0.2">
      <c r="S671" s="34"/>
    </row>
    <row r="672" spans="1:22" x14ac:dyDescent="0.2">
      <c r="B672" s="15" t="s">
        <v>98</v>
      </c>
      <c r="C672" s="15"/>
    </row>
    <row r="673" spans="1:19" x14ac:dyDescent="0.2">
      <c r="B673" s="15" t="s">
        <v>7</v>
      </c>
      <c r="C673" s="15"/>
    </row>
    <row r="674" spans="1:19" x14ac:dyDescent="0.2">
      <c r="B674" t="s">
        <v>282</v>
      </c>
      <c r="D674">
        <v>87</v>
      </c>
      <c r="E674" t="s">
        <v>5</v>
      </c>
      <c r="F674" s="17">
        <f t="shared" ref="F674:Q674" si="433">F618</f>
        <v>557.39</v>
      </c>
      <c r="G674" s="17">
        <f t="shared" si="433"/>
        <v>557.39</v>
      </c>
      <c r="H674" s="17">
        <f t="shared" si="433"/>
        <v>557.39</v>
      </c>
      <c r="I674" s="17">
        <f t="shared" si="433"/>
        <v>557.39</v>
      </c>
      <c r="J674" s="17">
        <f t="shared" si="433"/>
        <v>557.39</v>
      </c>
      <c r="K674" s="17">
        <f t="shared" si="433"/>
        <v>557.39</v>
      </c>
      <c r="L674" s="17">
        <f t="shared" si="433"/>
        <v>557.39</v>
      </c>
      <c r="M674" s="17">
        <f t="shared" si="433"/>
        <v>557.39</v>
      </c>
      <c r="N674" s="17">
        <f t="shared" si="433"/>
        <v>557.39</v>
      </c>
      <c r="O674" s="17">
        <f t="shared" si="433"/>
        <v>557.39</v>
      </c>
      <c r="P674" s="17">
        <f t="shared" si="433"/>
        <v>557.39</v>
      </c>
      <c r="Q674" s="17">
        <f t="shared" si="433"/>
        <v>557.39</v>
      </c>
      <c r="R674" s="26"/>
    </row>
    <row r="675" spans="1:19" x14ac:dyDescent="0.2">
      <c r="C675" t="s">
        <v>3</v>
      </c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20"/>
      <c r="S675"/>
    </row>
    <row r="676" spans="1:19" x14ac:dyDescent="0.2">
      <c r="C676" t="s">
        <v>56</v>
      </c>
      <c r="D676">
        <v>87</v>
      </c>
      <c r="E676" t="s">
        <v>6</v>
      </c>
      <c r="F676" s="18">
        <f t="shared" ref="F676:Q676" si="434">F620</f>
        <v>0.1391</v>
      </c>
      <c r="G676" s="18">
        <f t="shared" si="434"/>
        <v>0.1391</v>
      </c>
      <c r="H676" s="18">
        <f t="shared" si="434"/>
        <v>0.1391</v>
      </c>
      <c r="I676" s="18">
        <f t="shared" si="434"/>
        <v>0.1391</v>
      </c>
      <c r="J676" s="18">
        <f t="shared" si="434"/>
        <v>0.1391</v>
      </c>
      <c r="K676" s="18">
        <f t="shared" si="434"/>
        <v>0.1391</v>
      </c>
      <c r="L676" s="18">
        <f t="shared" si="434"/>
        <v>0.1391</v>
      </c>
      <c r="M676" s="18">
        <f t="shared" si="434"/>
        <v>0.1391</v>
      </c>
      <c r="N676" s="18">
        <f t="shared" si="434"/>
        <v>0.1391</v>
      </c>
      <c r="O676" s="18">
        <f t="shared" si="434"/>
        <v>0.1391</v>
      </c>
      <c r="P676" s="18">
        <f t="shared" si="434"/>
        <v>0.1391</v>
      </c>
      <c r="Q676" s="18">
        <f t="shared" si="434"/>
        <v>0.1391</v>
      </c>
      <c r="R676" s="20"/>
      <c r="S676"/>
    </row>
    <row r="677" spans="1:19" x14ac:dyDescent="0.2">
      <c r="C677" t="s">
        <v>57</v>
      </c>
      <c r="D677">
        <v>87</v>
      </c>
      <c r="E677" t="s">
        <v>6</v>
      </c>
      <c r="F677" s="18">
        <f t="shared" ref="F677:Q677" si="435">F621</f>
        <v>8.4059999999999996E-2</v>
      </c>
      <c r="G677" s="18">
        <f t="shared" si="435"/>
        <v>8.4059999999999996E-2</v>
      </c>
      <c r="H677" s="18">
        <f t="shared" si="435"/>
        <v>8.4059999999999996E-2</v>
      </c>
      <c r="I677" s="18">
        <f t="shared" si="435"/>
        <v>8.4059999999999996E-2</v>
      </c>
      <c r="J677" s="18">
        <f t="shared" si="435"/>
        <v>8.4059999999999996E-2</v>
      </c>
      <c r="K677" s="18">
        <f t="shared" si="435"/>
        <v>8.4059999999999996E-2</v>
      </c>
      <c r="L677" s="18">
        <f t="shared" si="435"/>
        <v>8.4059999999999996E-2</v>
      </c>
      <c r="M677" s="18">
        <f t="shared" si="435"/>
        <v>8.4059999999999996E-2</v>
      </c>
      <c r="N677" s="18">
        <f t="shared" si="435"/>
        <v>8.4059999999999996E-2</v>
      </c>
      <c r="O677" s="18">
        <f t="shared" si="435"/>
        <v>8.4059999999999996E-2</v>
      </c>
      <c r="P677" s="18">
        <f t="shared" si="435"/>
        <v>8.4059999999999996E-2</v>
      </c>
      <c r="Q677" s="18">
        <f t="shared" si="435"/>
        <v>8.4059999999999996E-2</v>
      </c>
      <c r="R677" s="20"/>
      <c r="S677"/>
    </row>
    <row r="678" spans="1:19" x14ac:dyDescent="0.2">
      <c r="C678" t="s">
        <v>62</v>
      </c>
      <c r="D678">
        <v>87</v>
      </c>
      <c r="E678" t="s">
        <v>6</v>
      </c>
      <c r="F678" s="18">
        <f t="shared" ref="F678:Q678" si="436">F622</f>
        <v>5.3490000000000003E-2</v>
      </c>
      <c r="G678" s="18">
        <f t="shared" si="436"/>
        <v>5.3490000000000003E-2</v>
      </c>
      <c r="H678" s="18">
        <f t="shared" si="436"/>
        <v>5.3490000000000003E-2</v>
      </c>
      <c r="I678" s="18">
        <f t="shared" si="436"/>
        <v>5.3490000000000003E-2</v>
      </c>
      <c r="J678" s="18">
        <f t="shared" si="436"/>
        <v>5.3490000000000003E-2</v>
      </c>
      <c r="K678" s="18">
        <f t="shared" si="436"/>
        <v>5.3490000000000003E-2</v>
      </c>
      <c r="L678" s="18">
        <f t="shared" si="436"/>
        <v>5.3490000000000003E-2</v>
      </c>
      <c r="M678" s="18">
        <f t="shared" si="436"/>
        <v>5.3490000000000003E-2</v>
      </c>
      <c r="N678" s="18">
        <f t="shared" si="436"/>
        <v>5.3490000000000003E-2</v>
      </c>
      <c r="O678" s="18">
        <f t="shared" si="436"/>
        <v>5.3490000000000003E-2</v>
      </c>
      <c r="P678" s="18">
        <f t="shared" si="436"/>
        <v>5.3490000000000003E-2</v>
      </c>
      <c r="Q678" s="18">
        <f t="shared" si="436"/>
        <v>5.3490000000000003E-2</v>
      </c>
      <c r="R678" s="20"/>
      <c r="S678"/>
    </row>
    <row r="679" spans="1:19" x14ac:dyDescent="0.2">
      <c r="C679" t="s">
        <v>63</v>
      </c>
      <c r="D679">
        <v>87</v>
      </c>
      <c r="E679" t="s">
        <v>6</v>
      </c>
      <c r="F679" s="18">
        <f t="shared" ref="F679:Q679" si="437">F623</f>
        <v>3.4299999999999997E-2</v>
      </c>
      <c r="G679" s="18">
        <f t="shared" si="437"/>
        <v>3.4299999999999997E-2</v>
      </c>
      <c r="H679" s="18">
        <f t="shared" si="437"/>
        <v>3.4299999999999997E-2</v>
      </c>
      <c r="I679" s="18">
        <f t="shared" si="437"/>
        <v>3.4299999999999997E-2</v>
      </c>
      <c r="J679" s="18">
        <f t="shared" si="437"/>
        <v>3.4299999999999997E-2</v>
      </c>
      <c r="K679" s="18">
        <f t="shared" si="437"/>
        <v>3.4299999999999997E-2</v>
      </c>
      <c r="L679" s="18">
        <f t="shared" si="437"/>
        <v>3.4299999999999997E-2</v>
      </c>
      <c r="M679" s="18">
        <f t="shared" si="437"/>
        <v>3.4299999999999997E-2</v>
      </c>
      <c r="N679" s="18">
        <f t="shared" si="437"/>
        <v>3.4299999999999997E-2</v>
      </c>
      <c r="O679" s="18">
        <f t="shared" si="437"/>
        <v>3.4299999999999997E-2</v>
      </c>
      <c r="P679" s="18">
        <f t="shared" si="437"/>
        <v>3.4299999999999997E-2</v>
      </c>
      <c r="Q679" s="18">
        <f t="shared" si="437"/>
        <v>3.4299999999999997E-2</v>
      </c>
      <c r="R679" s="20"/>
      <c r="S679"/>
    </row>
    <row r="680" spans="1:19" x14ac:dyDescent="0.2">
      <c r="C680" t="s">
        <v>64</v>
      </c>
      <c r="D680">
        <v>87</v>
      </c>
      <c r="E680" t="s">
        <v>6</v>
      </c>
      <c r="F680" s="18">
        <f t="shared" ref="F680:Q680" si="438">F624</f>
        <v>2.4680000000000001E-2</v>
      </c>
      <c r="G680" s="18">
        <f t="shared" si="438"/>
        <v>2.4680000000000001E-2</v>
      </c>
      <c r="H680" s="18">
        <f t="shared" si="438"/>
        <v>2.4680000000000001E-2</v>
      </c>
      <c r="I680" s="18">
        <f t="shared" si="438"/>
        <v>2.4680000000000001E-2</v>
      </c>
      <c r="J680" s="18">
        <f t="shared" si="438"/>
        <v>2.4680000000000001E-2</v>
      </c>
      <c r="K680" s="18">
        <f t="shared" si="438"/>
        <v>2.4680000000000001E-2</v>
      </c>
      <c r="L680" s="18">
        <f t="shared" si="438"/>
        <v>2.4680000000000001E-2</v>
      </c>
      <c r="M680" s="18">
        <f t="shared" si="438"/>
        <v>2.4680000000000001E-2</v>
      </c>
      <c r="N680" s="18">
        <f t="shared" si="438"/>
        <v>2.4680000000000001E-2</v>
      </c>
      <c r="O680" s="18">
        <f t="shared" si="438"/>
        <v>2.4680000000000001E-2</v>
      </c>
      <c r="P680" s="18">
        <f t="shared" si="438"/>
        <v>2.4680000000000001E-2</v>
      </c>
      <c r="Q680" s="18">
        <f t="shared" si="438"/>
        <v>2.4680000000000001E-2</v>
      </c>
      <c r="R680" s="20"/>
      <c r="S680"/>
    </row>
    <row r="681" spans="1:19" x14ac:dyDescent="0.2">
      <c r="C681" t="s">
        <v>65</v>
      </c>
      <c r="D681">
        <v>87</v>
      </c>
      <c r="E681" t="s">
        <v>6</v>
      </c>
      <c r="F681" s="18">
        <f t="shared" ref="F681:Q681" si="439">F625</f>
        <v>1.9029999999999998E-2</v>
      </c>
      <c r="G681" s="18">
        <f t="shared" si="439"/>
        <v>1.9029999999999998E-2</v>
      </c>
      <c r="H681" s="18">
        <f t="shared" si="439"/>
        <v>1.9029999999999998E-2</v>
      </c>
      <c r="I681" s="18">
        <f t="shared" si="439"/>
        <v>1.9029999999999998E-2</v>
      </c>
      <c r="J681" s="18">
        <f t="shared" si="439"/>
        <v>1.9029999999999998E-2</v>
      </c>
      <c r="K681" s="18">
        <f t="shared" si="439"/>
        <v>1.9029999999999998E-2</v>
      </c>
      <c r="L681" s="18">
        <f t="shared" si="439"/>
        <v>1.9029999999999998E-2</v>
      </c>
      <c r="M681" s="18">
        <f t="shared" si="439"/>
        <v>1.9029999999999998E-2</v>
      </c>
      <c r="N681" s="18">
        <f t="shared" si="439"/>
        <v>1.9029999999999998E-2</v>
      </c>
      <c r="O681" s="18">
        <f t="shared" si="439"/>
        <v>1.9029999999999998E-2</v>
      </c>
      <c r="P681" s="18">
        <f t="shared" si="439"/>
        <v>1.9029999999999998E-2</v>
      </c>
      <c r="Q681" s="18">
        <f t="shared" si="439"/>
        <v>1.9029999999999998E-2</v>
      </c>
      <c r="R681" s="20"/>
      <c r="S681"/>
    </row>
    <row r="682" spans="1:19" x14ac:dyDescent="0.2">
      <c r="A682" s="30"/>
      <c r="B682" t="s">
        <v>303</v>
      </c>
      <c r="D682">
        <v>101</v>
      </c>
      <c r="E682" t="s">
        <v>6</v>
      </c>
      <c r="F682" s="18">
        <f t="shared" ref="F682:Q682" si="440">F626</f>
        <v>0.27044000000000001</v>
      </c>
      <c r="G682" s="18">
        <f t="shared" si="440"/>
        <v>0.27044000000000001</v>
      </c>
      <c r="H682" s="18">
        <f t="shared" si="440"/>
        <v>0.27044000000000001</v>
      </c>
      <c r="I682" s="18">
        <f t="shared" si="440"/>
        <v>0.27044000000000001</v>
      </c>
      <c r="J682" s="18">
        <f t="shared" si="440"/>
        <v>0.27044000000000001</v>
      </c>
      <c r="K682" s="18">
        <f t="shared" si="440"/>
        <v>0.27044000000000001</v>
      </c>
      <c r="L682" s="18">
        <f t="shared" si="440"/>
        <v>0.27044000000000001</v>
      </c>
      <c r="M682" s="18">
        <f t="shared" si="440"/>
        <v>0.27044000000000001</v>
      </c>
      <c r="N682" s="18">
        <f t="shared" si="440"/>
        <v>0.27044000000000001</v>
      </c>
      <c r="O682" s="18">
        <f t="shared" si="440"/>
        <v>0.27044000000000001</v>
      </c>
      <c r="P682" s="18">
        <f t="shared" si="440"/>
        <v>0.27044000000000001</v>
      </c>
      <c r="Q682" s="18">
        <f t="shared" si="440"/>
        <v>0.27044000000000001</v>
      </c>
      <c r="R682" s="20"/>
      <c r="S682"/>
    </row>
    <row r="683" spans="1:19" x14ac:dyDescent="0.2">
      <c r="B683" t="s">
        <v>61</v>
      </c>
      <c r="D683" s="21">
        <v>87</v>
      </c>
      <c r="E683" t="s">
        <v>6</v>
      </c>
      <c r="F683" s="18">
        <f t="shared" ref="F683:Q684" si="441">F627</f>
        <v>5.94E-3</v>
      </c>
      <c r="G683" s="18">
        <f t="shared" si="441"/>
        <v>5.94E-3</v>
      </c>
      <c r="H683" s="18">
        <f t="shared" si="441"/>
        <v>5.94E-3</v>
      </c>
      <c r="I683" s="18">
        <f t="shared" si="441"/>
        <v>5.94E-3</v>
      </c>
      <c r="J683" s="18">
        <f t="shared" si="441"/>
        <v>5.94E-3</v>
      </c>
      <c r="K683" s="18">
        <f t="shared" si="441"/>
        <v>5.94E-3</v>
      </c>
      <c r="L683" s="18">
        <f t="shared" si="441"/>
        <v>5.94E-3</v>
      </c>
      <c r="M683" s="18">
        <f t="shared" si="441"/>
        <v>5.94E-3</v>
      </c>
      <c r="N683" s="18">
        <f t="shared" si="441"/>
        <v>5.94E-3</v>
      </c>
      <c r="O683" s="18">
        <f t="shared" si="441"/>
        <v>5.94E-3</v>
      </c>
      <c r="P683" s="18">
        <f t="shared" si="441"/>
        <v>5.94E-3</v>
      </c>
      <c r="Q683" s="18">
        <f t="shared" si="441"/>
        <v>5.94E-3</v>
      </c>
      <c r="R683" s="20"/>
      <c r="S683"/>
    </row>
    <row r="684" spans="1:19" x14ac:dyDescent="0.2">
      <c r="B684" t="s">
        <v>550</v>
      </c>
      <c r="D684" s="21">
        <v>149</v>
      </c>
      <c r="E684" t="s">
        <v>6</v>
      </c>
      <c r="F684" s="18">
        <f t="shared" si="441"/>
        <v>2.0200000000000001E-3</v>
      </c>
      <c r="G684" s="18">
        <f t="shared" si="441"/>
        <v>2.0200000000000001E-3</v>
      </c>
      <c r="H684" s="18">
        <f t="shared" si="441"/>
        <v>2.0200000000000001E-3</v>
      </c>
      <c r="I684" s="18">
        <f t="shared" si="441"/>
        <v>2.0200000000000001E-3</v>
      </c>
      <c r="J684" s="18">
        <f t="shared" si="441"/>
        <v>2.0200000000000001E-3</v>
      </c>
      <c r="K684" s="18">
        <f t="shared" si="441"/>
        <v>2.0200000000000001E-3</v>
      </c>
      <c r="L684" s="18">
        <f t="shared" si="441"/>
        <v>2.0200000000000001E-3</v>
      </c>
      <c r="M684" s="18">
        <f t="shared" si="441"/>
        <v>2.0200000000000001E-3</v>
      </c>
      <c r="N684" s="18">
        <f t="shared" si="441"/>
        <v>2.0200000000000001E-3</v>
      </c>
      <c r="O684" s="18">
        <f t="shared" si="441"/>
        <v>2.0200000000000001E-3</v>
      </c>
      <c r="P684" s="18">
        <f t="shared" si="441"/>
        <v>2.0200000000000001E-3</v>
      </c>
      <c r="Q684" s="18">
        <f t="shared" si="441"/>
        <v>2.0200000000000001E-3</v>
      </c>
      <c r="R684" s="20"/>
      <c r="S684"/>
    </row>
    <row r="685" spans="1:19" s="30" customFormat="1" x14ac:dyDescent="0.2">
      <c r="A685"/>
      <c r="B685" t="s">
        <v>18</v>
      </c>
      <c r="C685"/>
      <c r="D685"/>
      <c r="E685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</row>
    <row r="686" spans="1:19" s="30" customFormat="1" x14ac:dyDescent="0.2">
      <c r="A686"/>
      <c r="B686"/>
      <c r="C686" t="s">
        <v>19</v>
      </c>
      <c r="D686">
        <v>87</v>
      </c>
      <c r="E686" t="s">
        <v>6</v>
      </c>
      <c r="F686" s="112">
        <f t="shared" ref="F686:Q686" si="442">F630</f>
        <v>1.38</v>
      </c>
      <c r="G686" s="112">
        <f t="shared" si="442"/>
        <v>1.38</v>
      </c>
      <c r="H686" s="112">
        <f t="shared" si="442"/>
        <v>1.38</v>
      </c>
      <c r="I686" s="112">
        <f t="shared" si="442"/>
        <v>1.38</v>
      </c>
      <c r="J686" s="112">
        <f t="shared" si="442"/>
        <v>1.38</v>
      </c>
      <c r="K686" s="112">
        <f t="shared" si="442"/>
        <v>1.38</v>
      </c>
      <c r="L686" s="112">
        <f t="shared" si="442"/>
        <v>1.38</v>
      </c>
      <c r="M686" s="112">
        <f t="shared" si="442"/>
        <v>1.38</v>
      </c>
      <c r="N686" s="112">
        <f t="shared" si="442"/>
        <v>1.38</v>
      </c>
      <c r="O686" s="112">
        <f t="shared" si="442"/>
        <v>1.38</v>
      </c>
      <c r="P686" s="112">
        <f t="shared" si="442"/>
        <v>1.38</v>
      </c>
      <c r="Q686" s="112">
        <f t="shared" si="442"/>
        <v>1.38</v>
      </c>
      <c r="R686" s="20"/>
    </row>
    <row r="687" spans="1:19" s="30" customFormat="1" x14ac:dyDescent="0.2">
      <c r="B687"/>
      <c r="C687" t="s">
        <v>20</v>
      </c>
      <c r="D687">
        <v>101</v>
      </c>
      <c r="E687" t="s">
        <v>6</v>
      </c>
      <c r="F687" s="17">
        <f t="shared" ref="F687:Q687" si="443">F631</f>
        <v>1.05</v>
      </c>
      <c r="G687" s="17">
        <f t="shared" si="443"/>
        <v>1.05</v>
      </c>
      <c r="H687" s="17">
        <f t="shared" si="443"/>
        <v>1.05</v>
      </c>
      <c r="I687" s="17">
        <f t="shared" si="443"/>
        <v>1.05</v>
      </c>
      <c r="J687" s="17">
        <f t="shared" si="443"/>
        <v>1.05</v>
      </c>
      <c r="K687" s="17">
        <f t="shared" si="443"/>
        <v>1.05</v>
      </c>
      <c r="L687" s="17">
        <f t="shared" si="443"/>
        <v>1.05</v>
      </c>
      <c r="M687" s="17">
        <f t="shared" si="443"/>
        <v>1.05</v>
      </c>
      <c r="N687" s="17">
        <f t="shared" si="443"/>
        <v>1.05</v>
      </c>
      <c r="O687" s="17">
        <f t="shared" si="443"/>
        <v>1.05</v>
      </c>
      <c r="P687" s="17">
        <f t="shared" si="443"/>
        <v>1.05</v>
      </c>
      <c r="Q687" s="17">
        <f t="shared" si="443"/>
        <v>1.05</v>
      </c>
      <c r="R687" s="20"/>
    </row>
    <row r="688" spans="1:19" s="30" customFormat="1" x14ac:dyDescent="0.2">
      <c r="B688" s="30" t="s">
        <v>21</v>
      </c>
      <c r="D688" s="30">
        <v>87</v>
      </c>
      <c r="E688" s="30" t="s">
        <v>22</v>
      </c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65"/>
    </row>
    <row r="689" spans="1:19" s="30" customFormat="1" x14ac:dyDescent="0.2">
      <c r="B689" s="30" t="s">
        <v>304</v>
      </c>
      <c r="F689" s="18">
        <f t="shared" ref="F689:Q689" si="444">F633</f>
        <v>0.25814999999999999</v>
      </c>
      <c r="G689" s="18">
        <f t="shared" si="444"/>
        <v>0.25814999999999999</v>
      </c>
      <c r="H689" s="18">
        <f t="shared" si="444"/>
        <v>0.25814999999999999</v>
      </c>
      <c r="I689" s="18">
        <f t="shared" si="444"/>
        <v>0.25814999999999999</v>
      </c>
      <c r="J689" s="18">
        <f t="shared" si="444"/>
        <v>0.25814999999999999</v>
      </c>
      <c r="K689" s="18">
        <f t="shared" si="444"/>
        <v>0.25814999999999999</v>
      </c>
      <c r="L689" s="18">
        <f t="shared" si="444"/>
        <v>0.25814999999999999</v>
      </c>
      <c r="M689" s="18">
        <f t="shared" si="444"/>
        <v>0.25814999999999999</v>
      </c>
      <c r="N689" s="18">
        <f t="shared" si="444"/>
        <v>0.25814999999999999</v>
      </c>
      <c r="O689" s="18">
        <f t="shared" si="444"/>
        <v>0.25814999999999999</v>
      </c>
      <c r="P689" s="18">
        <f t="shared" si="444"/>
        <v>0.25814999999999999</v>
      </c>
      <c r="Q689" s="18">
        <f t="shared" si="444"/>
        <v>0.25814999999999999</v>
      </c>
      <c r="R689" s="65"/>
    </row>
    <row r="690" spans="1:19" s="30" customFormat="1" x14ac:dyDescent="0.2">
      <c r="B690" s="30" t="s">
        <v>310</v>
      </c>
      <c r="F690" s="112">
        <f t="shared" ref="F690:Q690" si="445">F634</f>
        <v>1</v>
      </c>
      <c r="G690" s="112">
        <f t="shared" si="445"/>
        <v>1</v>
      </c>
      <c r="H690" s="112">
        <f t="shared" si="445"/>
        <v>1</v>
      </c>
      <c r="I690" s="112">
        <f t="shared" si="445"/>
        <v>1</v>
      </c>
      <c r="J690" s="112">
        <f t="shared" si="445"/>
        <v>1</v>
      </c>
      <c r="K690" s="112">
        <f t="shared" si="445"/>
        <v>1</v>
      </c>
      <c r="L690" s="112">
        <f t="shared" si="445"/>
        <v>1</v>
      </c>
      <c r="M690" s="112">
        <f t="shared" si="445"/>
        <v>1</v>
      </c>
      <c r="N690" s="112">
        <f t="shared" si="445"/>
        <v>1</v>
      </c>
      <c r="O690" s="112">
        <f t="shared" si="445"/>
        <v>1</v>
      </c>
      <c r="P690" s="112">
        <f t="shared" si="445"/>
        <v>1</v>
      </c>
      <c r="Q690" s="112">
        <f t="shared" si="445"/>
        <v>1</v>
      </c>
      <c r="R690" s="65"/>
    </row>
    <row r="691" spans="1:19" s="30" customFormat="1" x14ac:dyDescent="0.2"/>
    <row r="692" spans="1:19" s="30" customFormat="1" x14ac:dyDescent="0.2">
      <c r="B692" s="29" t="s">
        <v>8</v>
      </c>
    </row>
    <row r="693" spans="1:19" s="30" customFormat="1" x14ac:dyDescent="0.2">
      <c r="B693" s="30" t="s">
        <v>22</v>
      </c>
      <c r="E693" s="30" t="s">
        <v>22</v>
      </c>
      <c r="F693" s="76">
        <f>'(R) Data'!C31</f>
        <v>0</v>
      </c>
      <c r="G693" s="76">
        <f>'(R) Data'!D31</f>
        <v>0</v>
      </c>
      <c r="H693" s="76">
        <f>'(R) Data'!E31</f>
        <v>0</v>
      </c>
      <c r="I693" s="76">
        <f>'(R) Data'!F31</f>
        <v>0</v>
      </c>
      <c r="J693" s="76">
        <f>'(R) Data'!G31</f>
        <v>0</v>
      </c>
      <c r="K693" s="76">
        <f>'(R) Data'!H31</f>
        <v>0</v>
      </c>
      <c r="L693" s="76">
        <f>'(R) Data'!I31</f>
        <v>0</v>
      </c>
      <c r="M693" s="76">
        <f>'(R) Data'!J31</f>
        <v>0</v>
      </c>
      <c r="N693" s="76">
        <f>'(R) Data'!K31</f>
        <v>0</v>
      </c>
      <c r="O693" s="76">
        <f>'(R) Data'!L31</f>
        <v>0</v>
      </c>
      <c r="P693" s="76">
        <f>'(R) Data'!M31</f>
        <v>0</v>
      </c>
      <c r="Q693" s="76">
        <f>'(R) Data'!N31</f>
        <v>0</v>
      </c>
      <c r="R693" s="107">
        <f>SUM(F693:Q693)</f>
        <v>0</v>
      </c>
    </row>
    <row r="694" spans="1:19" s="30" customFormat="1" x14ac:dyDescent="0.2">
      <c r="B694" s="30" t="s">
        <v>30</v>
      </c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107"/>
    </row>
    <row r="695" spans="1:19" s="30" customFormat="1" x14ac:dyDescent="0.2">
      <c r="C695" s="30" t="s">
        <v>56</v>
      </c>
      <c r="E695" s="30" t="s">
        <v>10</v>
      </c>
      <c r="F695" s="161">
        <f>'(R) Therms By Block'!B93</f>
        <v>0</v>
      </c>
      <c r="G695" s="170">
        <f>'(R) Therms By Block'!C93</f>
        <v>0</v>
      </c>
      <c r="H695" s="170">
        <f>'(R) Therms By Block'!D93</f>
        <v>0</v>
      </c>
      <c r="I695" s="170">
        <f>'(R) Therms By Block'!E93</f>
        <v>0</v>
      </c>
      <c r="J695" s="170">
        <f>'(R) Therms By Block'!F93</f>
        <v>0</v>
      </c>
      <c r="K695" s="170">
        <f>'(R) Therms By Block'!G93</f>
        <v>0</v>
      </c>
      <c r="L695" s="170">
        <f>'(R) Therms By Block'!H93</f>
        <v>0</v>
      </c>
      <c r="M695" s="170">
        <f>'(R) Therms By Block'!I93</f>
        <v>0</v>
      </c>
      <c r="N695" s="170">
        <f>'(R) Therms By Block'!J93</f>
        <v>0</v>
      </c>
      <c r="O695" s="170">
        <f>'(R) Therms By Block'!K93</f>
        <v>0</v>
      </c>
      <c r="P695" s="170">
        <f>'(R) Therms By Block'!L93</f>
        <v>0</v>
      </c>
      <c r="Q695" s="170">
        <f>'(R) Therms By Block'!M93</f>
        <v>0</v>
      </c>
      <c r="R695" s="107">
        <f t="shared" ref="R695:R700" si="446">SUM(F695:Q695)</f>
        <v>0</v>
      </c>
    </row>
    <row r="696" spans="1:19" s="30" customFormat="1" x14ac:dyDescent="0.2">
      <c r="C696" s="30" t="s">
        <v>57</v>
      </c>
      <c r="E696" s="30" t="s">
        <v>10</v>
      </c>
      <c r="F696" s="170">
        <f>'(R) Therms By Block'!B94</f>
        <v>0</v>
      </c>
      <c r="G696" s="170">
        <f>'(R) Therms By Block'!C94</f>
        <v>0</v>
      </c>
      <c r="H696" s="170">
        <f>'(R) Therms By Block'!D94</f>
        <v>0</v>
      </c>
      <c r="I696" s="170">
        <f>'(R) Therms By Block'!E94</f>
        <v>0</v>
      </c>
      <c r="J696" s="170">
        <f>'(R) Therms By Block'!F94</f>
        <v>0</v>
      </c>
      <c r="K696" s="170">
        <f>'(R) Therms By Block'!G94</f>
        <v>0</v>
      </c>
      <c r="L696" s="170">
        <f>'(R) Therms By Block'!H94</f>
        <v>0</v>
      </c>
      <c r="M696" s="170">
        <f>'(R) Therms By Block'!I94</f>
        <v>0</v>
      </c>
      <c r="N696" s="170">
        <f>'(R) Therms By Block'!J94</f>
        <v>0</v>
      </c>
      <c r="O696" s="170">
        <f>'(R) Therms By Block'!K94</f>
        <v>0</v>
      </c>
      <c r="P696" s="170">
        <f>'(R) Therms By Block'!L94</f>
        <v>0</v>
      </c>
      <c r="Q696" s="170">
        <f>'(R) Therms By Block'!M94</f>
        <v>0</v>
      </c>
      <c r="R696" s="107">
        <f t="shared" si="446"/>
        <v>0</v>
      </c>
    </row>
    <row r="697" spans="1:19" s="30" customFormat="1" x14ac:dyDescent="0.2">
      <c r="C697" s="30" t="s">
        <v>62</v>
      </c>
      <c r="E697" s="30" t="s">
        <v>10</v>
      </c>
      <c r="F697" s="170">
        <f>'(R) Therms By Block'!B95</f>
        <v>0</v>
      </c>
      <c r="G697" s="170">
        <f>'(R) Therms By Block'!C95</f>
        <v>0</v>
      </c>
      <c r="H697" s="170">
        <f>'(R) Therms By Block'!D95</f>
        <v>0</v>
      </c>
      <c r="I697" s="170">
        <f>'(R) Therms By Block'!E95</f>
        <v>0</v>
      </c>
      <c r="J697" s="170">
        <f>'(R) Therms By Block'!F95</f>
        <v>0</v>
      </c>
      <c r="K697" s="170">
        <f>'(R) Therms By Block'!G95</f>
        <v>0</v>
      </c>
      <c r="L697" s="170">
        <f>'(R) Therms By Block'!H95</f>
        <v>0</v>
      </c>
      <c r="M697" s="170">
        <f>'(R) Therms By Block'!I95</f>
        <v>0</v>
      </c>
      <c r="N697" s="170">
        <f>'(R) Therms By Block'!J95</f>
        <v>0</v>
      </c>
      <c r="O697" s="170">
        <f>'(R) Therms By Block'!K95</f>
        <v>0</v>
      </c>
      <c r="P697" s="170">
        <f>'(R) Therms By Block'!L95</f>
        <v>0</v>
      </c>
      <c r="Q697" s="170">
        <f>'(R) Therms By Block'!M95</f>
        <v>0</v>
      </c>
      <c r="R697" s="107">
        <f t="shared" si="446"/>
        <v>0</v>
      </c>
    </row>
    <row r="698" spans="1:19" s="30" customFormat="1" x14ac:dyDescent="0.2">
      <c r="C698" s="30" t="s">
        <v>63</v>
      </c>
      <c r="E698" s="30" t="s">
        <v>10</v>
      </c>
      <c r="F698" s="170">
        <f>'(R) Therms By Block'!B96</f>
        <v>0</v>
      </c>
      <c r="G698" s="170">
        <f>'(R) Therms By Block'!C96</f>
        <v>0</v>
      </c>
      <c r="H698" s="170">
        <f>'(R) Therms By Block'!D96</f>
        <v>0</v>
      </c>
      <c r="I698" s="170">
        <f>'(R) Therms By Block'!E96</f>
        <v>0</v>
      </c>
      <c r="J698" s="170">
        <f>'(R) Therms By Block'!F96</f>
        <v>0</v>
      </c>
      <c r="K698" s="170">
        <f>'(R) Therms By Block'!G96</f>
        <v>0</v>
      </c>
      <c r="L698" s="170">
        <f>'(R) Therms By Block'!H96</f>
        <v>0</v>
      </c>
      <c r="M698" s="170">
        <f>'(R) Therms By Block'!I96</f>
        <v>0</v>
      </c>
      <c r="N698" s="170">
        <f>'(R) Therms By Block'!J96</f>
        <v>0</v>
      </c>
      <c r="O698" s="170">
        <f>'(R) Therms By Block'!K96</f>
        <v>0</v>
      </c>
      <c r="P698" s="170">
        <f>'(R) Therms By Block'!L96</f>
        <v>0</v>
      </c>
      <c r="Q698" s="170">
        <f>'(R) Therms By Block'!M96</f>
        <v>0</v>
      </c>
      <c r="R698" s="107">
        <f t="shared" si="446"/>
        <v>0</v>
      </c>
    </row>
    <row r="699" spans="1:19" s="30" customFormat="1" x14ac:dyDescent="0.2">
      <c r="C699" s="30" t="s">
        <v>64</v>
      </c>
      <c r="E699" s="30" t="s">
        <v>10</v>
      </c>
      <c r="F699" s="170">
        <f>'(R) Therms By Block'!B97</f>
        <v>0</v>
      </c>
      <c r="G699" s="170">
        <f>'(R) Therms By Block'!C97</f>
        <v>0</v>
      </c>
      <c r="H699" s="170">
        <f>'(R) Therms By Block'!D97</f>
        <v>0</v>
      </c>
      <c r="I699" s="170">
        <f>'(R) Therms By Block'!E97</f>
        <v>0</v>
      </c>
      <c r="J699" s="170">
        <f>'(R) Therms By Block'!F97</f>
        <v>0</v>
      </c>
      <c r="K699" s="170">
        <f>'(R) Therms By Block'!G97</f>
        <v>0</v>
      </c>
      <c r="L699" s="170">
        <f>'(R) Therms By Block'!H97</f>
        <v>0</v>
      </c>
      <c r="M699" s="170">
        <f>'(R) Therms By Block'!I97</f>
        <v>0</v>
      </c>
      <c r="N699" s="170">
        <f>'(R) Therms By Block'!J97</f>
        <v>0</v>
      </c>
      <c r="O699" s="170">
        <f>'(R) Therms By Block'!K97</f>
        <v>0</v>
      </c>
      <c r="P699" s="170">
        <f>'(R) Therms By Block'!L97</f>
        <v>0</v>
      </c>
      <c r="Q699" s="170">
        <f>'(R) Therms By Block'!M97</f>
        <v>0</v>
      </c>
      <c r="R699" s="107">
        <f t="shared" si="446"/>
        <v>0</v>
      </c>
    </row>
    <row r="700" spans="1:19" s="30" customFormat="1" x14ac:dyDescent="0.2">
      <c r="C700" s="30" t="s">
        <v>65</v>
      </c>
      <c r="E700" s="30" t="s">
        <v>10</v>
      </c>
      <c r="F700" s="107">
        <f t="shared" ref="F700:K700" si="447">F701-SUM(F695:F699)</f>
        <v>0</v>
      </c>
      <c r="G700" s="107">
        <f t="shared" si="447"/>
        <v>0</v>
      </c>
      <c r="H700" s="107">
        <f t="shared" si="447"/>
        <v>0</v>
      </c>
      <c r="I700" s="107">
        <f t="shared" si="447"/>
        <v>0</v>
      </c>
      <c r="J700" s="107">
        <f t="shared" si="447"/>
        <v>0</v>
      </c>
      <c r="K700" s="107">
        <f t="shared" si="447"/>
        <v>0</v>
      </c>
      <c r="L700" s="107">
        <f>L701-SUM(L695:L699)</f>
        <v>0</v>
      </c>
      <c r="M700" s="107">
        <f>M701-SUM(M695:M699)</f>
        <v>0</v>
      </c>
      <c r="N700" s="107">
        <f>N701-SUM(N695:N699)</f>
        <v>0</v>
      </c>
      <c r="O700" s="107">
        <f t="shared" ref="O700:Q700" si="448">O701-SUM(O695:O699)</f>
        <v>0</v>
      </c>
      <c r="P700" s="107">
        <f t="shared" si="448"/>
        <v>0</v>
      </c>
      <c r="Q700" s="107">
        <f t="shared" si="448"/>
        <v>0</v>
      </c>
      <c r="R700" s="107">
        <f t="shared" si="446"/>
        <v>0</v>
      </c>
      <c r="S700" s="31"/>
    </row>
    <row r="701" spans="1:19" s="30" customFormat="1" x14ac:dyDescent="0.2">
      <c r="C701" s="30" t="s">
        <v>17</v>
      </c>
      <c r="E701" s="30" t="s">
        <v>10</v>
      </c>
      <c r="F701" s="111">
        <f>'Weather Adj'!D190</f>
        <v>0</v>
      </c>
      <c r="G701" s="111">
        <f>'Weather Adj'!E190</f>
        <v>0</v>
      </c>
      <c r="H701" s="111">
        <f>'Weather Adj'!F190</f>
        <v>0</v>
      </c>
      <c r="I701" s="111">
        <f>'Weather Adj'!G190</f>
        <v>0</v>
      </c>
      <c r="J701" s="111">
        <f>'Weather Adj'!H190</f>
        <v>0</v>
      </c>
      <c r="K701" s="111">
        <f>'Weather Adj'!I190</f>
        <v>0</v>
      </c>
      <c r="L701" s="111">
        <f>'Weather Adj'!J190</f>
        <v>0</v>
      </c>
      <c r="M701" s="111">
        <f>'Weather Adj'!K190</f>
        <v>0</v>
      </c>
      <c r="N701" s="111">
        <f>'Weather Adj'!L190</f>
        <v>0</v>
      </c>
      <c r="O701" s="111">
        <f>'Weather Adj'!M190</f>
        <v>0</v>
      </c>
      <c r="P701" s="111">
        <f>'Weather Adj'!N190</f>
        <v>0</v>
      </c>
      <c r="Q701" s="111">
        <f>'Weather Adj'!O190</f>
        <v>0</v>
      </c>
      <c r="R701" s="650">
        <f>SUM(R695:R700)</f>
        <v>0</v>
      </c>
      <c r="S701" s="31"/>
    </row>
    <row r="702" spans="1:19" x14ac:dyDescent="0.2">
      <c r="A702" s="30"/>
      <c r="B702" s="30" t="s">
        <v>29</v>
      </c>
      <c r="C702" s="30"/>
      <c r="D702" s="30"/>
      <c r="E702" s="30" t="s">
        <v>100</v>
      </c>
      <c r="F702" s="76">
        <f>'(R) Data'!C51</f>
        <v>0</v>
      </c>
      <c r="G702" s="76">
        <f>'(R) Data'!D51</f>
        <v>0</v>
      </c>
      <c r="H702" s="76">
        <f>'(R) Data'!E51</f>
        <v>0</v>
      </c>
      <c r="I702" s="76">
        <f>'(R) Data'!F51</f>
        <v>0</v>
      </c>
      <c r="J702" s="76">
        <f>'(R) Data'!G51</f>
        <v>0</v>
      </c>
      <c r="K702" s="76">
        <f>'(R) Data'!H51</f>
        <v>0</v>
      </c>
      <c r="L702" s="76">
        <f>'(R) Data'!I51</f>
        <v>0</v>
      </c>
      <c r="M702" s="76">
        <f>'(R) Data'!J51</f>
        <v>0</v>
      </c>
      <c r="N702" s="76">
        <f>'(R) Data'!K51</f>
        <v>0</v>
      </c>
      <c r="O702" s="76">
        <f>'(R) Data'!L51</f>
        <v>0</v>
      </c>
      <c r="P702" s="76">
        <f>'(R) Data'!M51</f>
        <v>0</v>
      </c>
      <c r="Q702" s="76">
        <f>'(R) Data'!N51</f>
        <v>0</v>
      </c>
      <c r="R702" s="107">
        <f>SUM(F702:Q702)</f>
        <v>0</v>
      </c>
      <c r="S702" s="31"/>
    </row>
    <row r="703" spans="1:19" x14ac:dyDescent="0.2">
      <c r="A703" s="30"/>
      <c r="B703" s="30" t="s">
        <v>21</v>
      </c>
      <c r="C703" s="30"/>
      <c r="D703" s="30"/>
      <c r="E703" s="30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107"/>
      <c r="S703" s="31"/>
    </row>
    <row r="704" spans="1:19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96"/>
      <c r="S704" s="31"/>
    </row>
    <row r="705" spans="1:19" x14ac:dyDescent="0.2">
      <c r="A705" s="30"/>
      <c r="B705" s="29" t="s">
        <v>9</v>
      </c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96"/>
      <c r="S705" s="31"/>
    </row>
    <row r="706" spans="1:19" x14ac:dyDescent="0.2">
      <c r="A706" s="30" t="s">
        <v>147</v>
      </c>
      <c r="B706" s="30" t="s">
        <v>282</v>
      </c>
      <c r="C706" s="30"/>
      <c r="D706" s="30">
        <v>87</v>
      </c>
      <c r="E706" s="30"/>
      <c r="F706" s="34">
        <f t="shared" ref="F706:N706" si="449">F674*F693</f>
        <v>0</v>
      </c>
      <c r="G706" s="34">
        <f t="shared" si="449"/>
        <v>0</v>
      </c>
      <c r="H706" s="34">
        <f t="shared" si="449"/>
        <v>0</v>
      </c>
      <c r="I706" s="34">
        <f t="shared" si="449"/>
        <v>0</v>
      </c>
      <c r="J706" s="34">
        <f t="shared" si="449"/>
        <v>0</v>
      </c>
      <c r="K706" s="34">
        <f t="shared" si="449"/>
        <v>0</v>
      </c>
      <c r="L706" s="34">
        <f t="shared" si="449"/>
        <v>0</v>
      </c>
      <c r="M706" s="34">
        <f t="shared" si="449"/>
        <v>0</v>
      </c>
      <c r="N706" s="34">
        <f t="shared" si="449"/>
        <v>0</v>
      </c>
      <c r="O706" s="34">
        <f t="shared" ref="O706:Q706" si="450">O674*O693</f>
        <v>0</v>
      </c>
      <c r="P706" s="34">
        <f t="shared" si="450"/>
        <v>0</v>
      </c>
      <c r="Q706" s="34">
        <f t="shared" si="450"/>
        <v>0</v>
      </c>
      <c r="R706" s="70">
        <f>SUM(F706:Q706)</f>
        <v>0</v>
      </c>
      <c r="S706" s="31"/>
    </row>
    <row r="707" spans="1:19" x14ac:dyDescent="0.2">
      <c r="A707" s="30"/>
      <c r="B707" s="30" t="s">
        <v>3</v>
      </c>
      <c r="C707" s="30"/>
      <c r="D707" s="30"/>
      <c r="E707" s="30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70"/>
      <c r="S707" s="31"/>
    </row>
    <row r="708" spans="1:19" x14ac:dyDescent="0.2">
      <c r="C708" t="s">
        <v>56</v>
      </c>
      <c r="D708">
        <v>87</v>
      </c>
      <c r="F708" s="23">
        <f t="shared" ref="F708:N708" si="451">F676*F695</f>
        <v>0</v>
      </c>
      <c r="G708" s="23">
        <f t="shared" si="451"/>
        <v>0</v>
      </c>
      <c r="H708" s="23">
        <f t="shared" si="451"/>
        <v>0</v>
      </c>
      <c r="I708" s="23">
        <f t="shared" si="451"/>
        <v>0</v>
      </c>
      <c r="J708" s="23">
        <f t="shared" si="451"/>
        <v>0</v>
      </c>
      <c r="K708" s="23">
        <f t="shared" si="451"/>
        <v>0</v>
      </c>
      <c r="L708" s="23">
        <f t="shared" si="451"/>
        <v>0</v>
      </c>
      <c r="M708" s="23">
        <f t="shared" si="451"/>
        <v>0</v>
      </c>
      <c r="N708" s="23">
        <f t="shared" si="451"/>
        <v>0</v>
      </c>
      <c r="O708" s="23">
        <f t="shared" ref="O708:Q708" si="452">O676*O695</f>
        <v>0</v>
      </c>
      <c r="P708" s="23">
        <f t="shared" si="452"/>
        <v>0</v>
      </c>
      <c r="Q708" s="23">
        <f t="shared" si="452"/>
        <v>0</v>
      </c>
      <c r="R708" s="100">
        <f t="shared" ref="R708:R722" si="453">SUM(F708:Q708)</f>
        <v>0</v>
      </c>
      <c r="S708" s="31"/>
    </row>
    <row r="709" spans="1:19" x14ac:dyDescent="0.2">
      <c r="C709" t="s">
        <v>57</v>
      </c>
      <c r="D709">
        <v>87</v>
      </c>
      <c r="F709" s="23">
        <f t="shared" ref="F709:N709" si="454">F677*F696</f>
        <v>0</v>
      </c>
      <c r="G709" s="23">
        <f t="shared" si="454"/>
        <v>0</v>
      </c>
      <c r="H709" s="23">
        <f t="shared" si="454"/>
        <v>0</v>
      </c>
      <c r="I709" s="23">
        <f t="shared" si="454"/>
        <v>0</v>
      </c>
      <c r="J709" s="23">
        <f t="shared" si="454"/>
        <v>0</v>
      </c>
      <c r="K709" s="23">
        <f t="shared" si="454"/>
        <v>0</v>
      </c>
      <c r="L709" s="23">
        <f t="shared" si="454"/>
        <v>0</v>
      </c>
      <c r="M709" s="23">
        <f t="shared" si="454"/>
        <v>0</v>
      </c>
      <c r="N709" s="23">
        <f t="shared" si="454"/>
        <v>0</v>
      </c>
      <c r="O709" s="23">
        <f t="shared" ref="O709:Q709" si="455">O677*O696</f>
        <v>0</v>
      </c>
      <c r="P709" s="23">
        <f t="shared" si="455"/>
        <v>0</v>
      </c>
      <c r="Q709" s="23">
        <f t="shared" si="455"/>
        <v>0</v>
      </c>
      <c r="R709" s="100">
        <f t="shared" si="453"/>
        <v>0</v>
      </c>
      <c r="S709" s="31"/>
    </row>
    <row r="710" spans="1:19" x14ac:dyDescent="0.2">
      <c r="C710" t="s">
        <v>62</v>
      </c>
      <c r="D710">
        <v>87</v>
      </c>
      <c r="F710" s="23">
        <f t="shared" ref="F710:N710" si="456">F678*F697</f>
        <v>0</v>
      </c>
      <c r="G710" s="23">
        <f t="shared" si="456"/>
        <v>0</v>
      </c>
      <c r="H710" s="23">
        <f t="shared" si="456"/>
        <v>0</v>
      </c>
      <c r="I710" s="23">
        <f t="shared" si="456"/>
        <v>0</v>
      </c>
      <c r="J710" s="23">
        <f t="shared" si="456"/>
        <v>0</v>
      </c>
      <c r="K710" s="23">
        <f t="shared" si="456"/>
        <v>0</v>
      </c>
      <c r="L710" s="23">
        <f t="shared" si="456"/>
        <v>0</v>
      </c>
      <c r="M710" s="23">
        <f t="shared" si="456"/>
        <v>0</v>
      </c>
      <c r="N710" s="23">
        <f t="shared" si="456"/>
        <v>0</v>
      </c>
      <c r="O710" s="23">
        <f t="shared" ref="O710:Q710" si="457">O678*O697</f>
        <v>0</v>
      </c>
      <c r="P710" s="23">
        <f t="shared" si="457"/>
        <v>0</v>
      </c>
      <c r="Q710" s="23">
        <f t="shared" si="457"/>
        <v>0</v>
      </c>
      <c r="R710" s="100">
        <f t="shared" si="453"/>
        <v>0</v>
      </c>
      <c r="S710" s="31"/>
    </row>
    <row r="711" spans="1:19" x14ac:dyDescent="0.2">
      <c r="C711" t="s">
        <v>63</v>
      </c>
      <c r="D711">
        <v>87</v>
      </c>
      <c r="F711" s="23">
        <f t="shared" ref="F711:N711" si="458">F679*F698</f>
        <v>0</v>
      </c>
      <c r="G711" s="23">
        <f t="shared" si="458"/>
        <v>0</v>
      </c>
      <c r="H711" s="23">
        <f t="shared" si="458"/>
        <v>0</v>
      </c>
      <c r="I711" s="23">
        <f t="shared" si="458"/>
        <v>0</v>
      </c>
      <c r="J711" s="23">
        <f t="shared" si="458"/>
        <v>0</v>
      </c>
      <c r="K711" s="23">
        <f t="shared" si="458"/>
        <v>0</v>
      </c>
      <c r="L711" s="23">
        <f t="shared" si="458"/>
        <v>0</v>
      </c>
      <c r="M711" s="23">
        <f t="shared" si="458"/>
        <v>0</v>
      </c>
      <c r="N711" s="23">
        <f t="shared" si="458"/>
        <v>0</v>
      </c>
      <c r="O711" s="23">
        <f t="shared" ref="O711:Q711" si="459">O679*O698</f>
        <v>0</v>
      </c>
      <c r="P711" s="23">
        <f t="shared" si="459"/>
        <v>0</v>
      </c>
      <c r="Q711" s="23">
        <f t="shared" si="459"/>
        <v>0</v>
      </c>
      <c r="R711" s="100">
        <f t="shared" si="453"/>
        <v>0</v>
      </c>
      <c r="S711" s="31"/>
    </row>
    <row r="712" spans="1:19" x14ac:dyDescent="0.2">
      <c r="C712" t="s">
        <v>64</v>
      </c>
      <c r="D712">
        <v>87</v>
      </c>
      <c r="F712" s="23">
        <f t="shared" ref="F712:N712" si="460">F680*F699</f>
        <v>0</v>
      </c>
      <c r="G712" s="23">
        <f t="shared" si="460"/>
        <v>0</v>
      </c>
      <c r="H712" s="23">
        <f t="shared" si="460"/>
        <v>0</v>
      </c>
      <c r="I712" s="23">
        <f t="shared" si="460"/>
        <v>0</v>
      </c>
      <c r="J712" s="23">
        <f t="shared" si="460"/>
        <v>0</v>
      </c>
      <c r="K712" s="23">
        <f t="shared" si="460"/>
        <v>0</v>
      </c>
      <c r="L712" s="23">
        <f t="shared" si="460"/>
        <v>0</v>
      </c>
      <c r="M712" s="23">
        <f t="shared" si="460"/>
        <v>0</v>
      </c>
      <c r="N712" s="23">
        <f t="shared" si="460"/>
        <v>0</v>
      </c>
      <c r="O712" s="23">
        <f t="shared" ref="O712:Q712" si="461">O680*O699</f>
        <v>0</v>
      </c>
      <c r="P712" s="23">
        <f t="shared" si="461"/>
        <v>0</v>
      </c>
      <c r="Q712" s="23">
        <f t="shared" si="461"/>
        <v>0</v>
      </c>
      <c r="R712" s="100">
        <f t="shared" si="453"/>
        <v>0</v>
      </c>
      <c r="S712" s="31"/>
    </row>
    <row r="713" spans="1:19" s="30" customFormat="1" x14ac:dyDescent="0.2">
      <c r="A713"/>
      <c r="B713"/>
      <c r="C713" t="s">
        <v>65</v>
      </c>
      <c r="D713">
        <v>87</v>
      </c>
      <c r="E713"/>
      <c r="F713" s="23">
        <f t="shared" ref="F713:N713" si="462">F681*F700</f>
        <v>0</v>
      </c>
      <c r="G713" s="23">
        <f t="shared" si="462"/>
        <v>0</v>
      </c>
      <c r="H713" s="23">
        <f t="shared" si="462"/>
        <v>0</v>
      </c>
      <c r="I713" s="23">
        <f t="shared" si="462"/>
        <v>0</v>
      </c>
      <c r="J713" s="23">
        <f t="shared" si="462"/>
        <v>0</v>
      </c>
      <c r="K713" s="23">
        <f t="shared" si="462"/>
        <v>0</v>
      </c>
      <c r="L713" s="23">
        <f t="shared" si="462"/>
        <v>0</v>
      </c>
      <c r="M713" s="23">
        <f t="shared" si="462"/>
        <v>0</v>
      </c>
      <c r="N713" s="23">
        <f t="shared" si="462"/>
        <v>0</v>
      </c>
      <c r="O713" s="23">
        <f t="shared" ref="O713:Q713" si="463">O681*O700</f>
        <v>0</v>
      </c>
      <c r="P713" s="23">
        <f t="shared" si="463"/>
        <v>0</v>
      </c>
      <c r="Q713" s="23">
        <f t="shared" si="463"/>
        <v>0</v>
      </c>
      <c r="R713" s="100">
        <f t="shared" si="453"/>
        <v>0</v>
      </c>
      <c r="S713" s="31"/>
    </row>
    <row r="714" spans="1:19" x14ac:dyDescent="0.2">
      <c r="A714" t="s">
        <v>147</v>
      </c>
      <c r="C714" t="s">
        <v>26</v>
      </c>
      <c r="F714" s="24">
        <f t="shared" ref="F714:K714" si="464">SUM(F708:F713)</f>
        <v>0</v>
      </c>
      <c r="G714" s="24">
        <f t="shared" si="464"/>
        <v>0</v>
      </c>
      <c r="H714" s="24">
        <f t="shared" si="464"/>
        <v>0</v>
      </c>
      <c r="I714" s="24">
        <f t="shared" si="464"/>
        <v>0</v>
      </c>
      <c r="J714" s="24">
        <f t="shared" si="464"/>
        <v>0</v>
      </c>
      <c r="K714" s="24">
        <f t="shared" si="464"/>
        <v>0</v>
      </c>
      <c r="L714" s="24">
        <f>SUM(L708:L713)</f>
        <v>0</v>
      </c>
      <c r="M714" s="24">
        <f>SUM(M708:M713)</f>
        <v>0</v>
      </c>
      <c r="N714" s="24">
        <f>SUM(N708:N713)</f>
        <v>0</v>
      </c>
      <c r="O714" s="24">
        <f t="shared" ref="O714:Q714" si="465">SUM(O708:O713)</f>
        <v>0</v>
      </c>
      <c r="P714" s="24">
        <f t="shared" si="465"/>
        <v>0</v>
      </c>
      <c r="Q714" s="24">
        <f t="shared" si="465"/>
        <v>0</v>
      </c>
      <c r="R714" s="684">
        <f t="shared" si="453"/>
        <v>0</v>
      </c>
      <c r="S714" s="31"/>
    </row>
    <row r="715" spans="1:19" x14ac:dyDescent="0.2">
      <c r="A715" t="s">
        <v>130</v>
      </c>
      <c r="B715" t="s">
        <v>306</v>
      </c>
      <c r="D715">
        <v>101</v>
      </c>
      <c r="F715" s="40">
        <f t="shared" ref="F715:K715" si="466">F682*F701</f>
        <v>0</v>
      </c>
      <c r="G715" s="40">
        <f t="shared" si="466"/>
        <v>0</v>
      </c>
      <c r="H715" s="40">
        <f t="shared" si="466"/>
        <v>0</v>
      </c>
      <c r="I715" s="40">
        <f t="shared" si="466"/>
        <v>0</v>
      </c>
      <c r="J715" s="36">
        <f t="shared" si="466"/>
        <v>0</v>
      </c>
      <c r="K715" s="40">
        <f t="shared" si="466"/>
        <v>0</v>
      </c>
      <c r="L715" s="40">
        <f>L682*L701</f>
        <v>0</v>
      </c>
      <c r="M715" s="40">
        <f>M682*M701</f>
        <v>0</v>
      </c>
      <c r="N715" s="40">
        <f>N682*N701</f>
        <v>0</v>
      </c>
      <c r="O715" s="40">
        <f t="shared" ref="O715:Q715" si="467">O682*O701</f>
        <v>0</v>
      </c>
      <c r="P715" s="40">
        <f t="shared" si="467"/>
        <v>0</v>
      </c>
      <c r="Q715" s="40">
        <f t="shared" si="467"/>
        <v>0</v>
      </c>
      <c r="R715" s="97">
        <f t="shared" si="453"/>
        <v>0</v>
      </c>
      <c r="S715" s="31"/>
    </row>
    <row r="716" spans="1:19" x14ac:dyDescent="0.2">
      <c r="A716" t="s">
        <v>147</v>
      </c>
      <c r="B716" t="s">
        <v>61</v>
      </c>
      <c r="D716" s="21">
        <v>87</v>
      </c>
      <c r="F716" s="40">
        <f t="shared" ref="F716:K716" si="468">F683*F701</f>
        <v>0</v>
      </c>
      <c r="G716" s="40">
        <f t="shared" si="468"/>
        <v>0</v>
      </c>
      <c r="H716" s="40">
        <f t="shared" si="468"/>
        <v>0</v>
      </c>
      <c r="I716" s="40">
        <f t="shared" si="468"/>
        <v>0</v>
      </c>
      <c r="J716" s="40">
        <f t="shared" si="468"/>
        <v>0</v>
      </c>
      <c r="K716" s="40">
        <f t="shared" si="468"/>
        <v>0</v>
      </c>
      <c r="L716" s="40">
        <f>L683*L701</f>
        <v>0</v>
      </c>
      <c r="M716" s="40">
        <f>M683*M701</f>
        <v>0</v>
      </c>
      <c r="N716" s="40">
        <f>N683*N701</f>
        <v>0</v>
      </c>
      <c r="O716" s="40">
        <f t="shared" ref="O716:Q716" si="469">O683*O701</f>
        <v>0</v>
      </c>
      <c r="P716" s="40">
        <f t="shared" si="469"/>
        <v>0</v>
      </c>
      <c r="Q716" s="40">
        <f t="shared" si="469"/>
        <v>0</v>
      </c>
      <c r="R716" s="97">
        <f t="shared" si="453"/>
        <v>0</v>
      </c>
      <c r="S716" s="31"/>
    </row>
    <row r="717" spans="1:19" x14ac:dyDescent="0.2">
      <c r="A717" t="s">
        <v>551</v>
      </c>
      <c r="B717" t="s">
        <v>552</v>
      </c>
      <c r="D717" s="21">
        <v>149</v>
      </c>
      <c r="F717" s="40">
        <f>F684*F701</f>
        <v>0</v>
      </c>
      <c r="G717" s="40">
        <f t="shared" ref="G717:Q717" si="470">G684*G701</f>
        <v>0</v>
      </c>
      <c r="H717" s="40">
        <f t="shared" si="470"/>
        <v>0</v>
      </c>
      <c r="I717" s="40">
        <f t="shared" si="470"/>
        <v>0</v>
      </c>
      <c r="J717" s="40">
        <f t="shared" si="470"/>
        <v>0</v>
      </c>
      <c r="K717" s="40">
        <f t="shared" si="470"/>
        <v>0</v>
      </c>
      <c r="L717" s="40">
        <f t="shared" si="470"/>
        <v>0</v>
      </c>
      <c r="M717" s="40">
        <f t="shared" si="470"/>
        <v>0</v>
      </c>
      <c r="N717" s="40">
        <f t="shared" si="470"/>
        <v>0</v>
      </c>
      <c r="O717" s="40">
        <f t="shared" si="470"/>
        <v>0</v>
      </c>
      <c r="P717" s="40">
        <f t="shared" si="470"/>
        <v>0</v>
      </c>
      <c r="Q717" s="40">
        <f t="shared" si="470"/>
        <v>0</v>
      </c>
      <c r="R717" s="97">
        <f t="shared" si="453"/>
        <v>0</v>
      </c>
      <c r="S717" s="31"/>
    </row>
    <row r="718" spans="1:19" x14ac:dyDescent="0.2">
      <c r="B718" t="s">
        <v>18</v>
      </c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100">
        <f t="shared" si="453"/>
        <v>0</v>
      </c>
      <c r="S718" s="31"/>
    </row>
    <row r="719" spans="1:19" x14ac:dyDescent="0.2">
      <c r="A719" t="s">
        <v>147</v>
      </c>
      <c r="C719" t="s">
        <v>19</v>
      </c>
      <c r="D719" s="21">
        <v>87</v>
      </c>
      <c r="F719" s="23">
        <f t="shared" ref="F719:K719" si="471">F686*F702</f>
        <v>0</v>
      </c>
      <c r="G719" s="23">
        <f t="shared" si="471"/>
        <v>0</v>
      </c>
      <c r="H719" s="23">
        <f t="shared" si="471"/>
        <v>0</v>
      </c>
      <c r="I719" s="23">
        <f t="shared" si="471"/>
        <v>0</v>
      </c>
      <c r="J719" s="23">
        <f t="shared" si="471"/>
        <v>0</v>
      </c>
      <c r="K719" s="23">
        <f t="shared" si="471"/>
        <v>0</v>
      </c>
      <c r="L719" s="23">
        <f>L686*L702</f>
        <v>0</v>
      </c>
      <c r="M719" s="23">
        <f>M686*M702</f>
        <v>0</v>
      </c>
      <c r="N719" s="23">
        <f>N686*N702</f>
        <v>0</v>
      </c>
      <c r="O719" s="23">
        <f t="shared" ref="O719:Q719" si="472">O686*O702</f>
        <v>0</v>
      </c>
      <c r="P719" s="23">
        <f t="shared" si="472"/>
        <v>0</v>
      </c>
      <c r="Q719" s="23">
        <f t="shared" si="472"/>
        <v>0</v>
      </c>
      <c r="R719" s="100">
        <f t="shared" si="453"/>
        <v>0</v>
      </c>
      <c r="S719" s="31"/>
    </row>
    <row r="720" spans="1:19" x14ac:dyDescent="0.2">
      <c r="A720" t="s">
        <v>130</v>
      </c>
      <c r="C720" t="s">
        <v>20</v>
      </c>
      <c r="D720">
        <v>101</v>
      </c>
      <c r="F720" s="23">
        <f t="shared" ref="F720:K720" si="473">F687*F702</f>
        <v>0</v>
      </c>
      <c r="G720" s="23">
        <f t="shared" si="473"/>
        <v>0</v>
      </c>
      <c r="H720" s="23">
        <f t="shared" si="473"/>
        <v>0</v>
      </c>
      <c r="I720" s="23">
        <f t="shared" si="473"/>
        <v>0</v>
      </c>
      <c r="J720" s="34">
        <f t="shared" si="473"/>
        <v>0</v>
      </c>
      <c r="K720" s="23">
        <f t="shared" si="473"/>
        <v>0</v>
      </c>
      <c r="L720" s="23">
        <f>L687*L702</f>
        <v>0</v>
      </c>
      <c r="M720" s="23">
        <f>M687*M702</f>
        <v>0</v>
      </c>
      <c r="N720" s="23">
        <f>N687*N702</f>
        <v>0</v>
      </c>
      <c r="O720" s="23">
        <f t="shared" ref="O720:Q720" si="474">O687*O702</f>
        <v>0</v>
      </c>
      <c r="P720" s="23">
        <f t="shared" si="474"/>
        <v>0</v>
      </c>
      <c r="Q720" s="23">
        <f t="shared" si="474"/>
        <v>0</v>
      </c>
      <c r="R720" s="100">
        <f t="shared" si="453"/>
        <v>0</v>
      </c>
      <c r="S720" s="31"/>
    </row>
    <row r="721" spans="1:19" x14ac:dyDescent="0.2">
      <c r="C721" t="s">
        <v>23</v>
      </c>
      <c r="F721" s="24">
        <f t="shared" ref="F721:K721" si="475">SUM(F719:F720)</f>
        <v>0</v>
      </c>
      <c r="G721" s="24">
        <f t="shared" si="475"/>
        <v>0</v>
      </c>
      <c r="H721" s="24">
        <f t="shared" si="475"/>
        <v>0</v>
      </c>
      <c r="I721" s="24">
        <f t="shared" si="475"/>
        <v>0</v>
      </c>
      <c r="J721" s="24">
        <f t="shared" si="475"/>
        <v>0</v>
      </c>
      <c r="K721" s="24">
        <f t="shared" si="475"/>
        <v>0</v>
      </c>
      <c r="L721" s="24">
        <f>SUM(L719:L720)</f>
        <v>0</v>
      </c>
      <c r="M721" s="24">
        <f>SUM(M719:M720)</f>
        <v>0</v>
      </c>
      <c r="N721" s="24">
        <f>SUM(N719:N720)</f>
        <v>0</v>
      </c>
      <c r="O721" s="24">
        <f t="shared" ref="O721:Q721" si="476">SUM(O719:O720)</f>
        <v>0</v>
      </c>
      <c r="P721" s="24">
        <f t="shared" si="476"/>
        <v>0</v>
      </c>
      <c r="Q721" s="24">
        <f t="shared" si="476"/>
        <v>0</v>
      </c>
      <c r="R721" s="684">
        <f t="shared" si="453"/>
        <v>0</v>
      </c>
      <c r="S721" s="31"/>
    </row>
    <row r="722" spans="1:19" x14ac:dyDescent="0.2">
      <c r="A722" s="30" t="s">
        <v>147</v>
      </c>
      <c r="B722" s="30" t="s">
        <v>21</v>
      </c>
      <c r="C722" s="30"/>
      <c r="D722" s="47">
        <v>87</v>
      </c>
      <c r="E722" s="30"/>
      <c r="F722" s="187">
        <v>0</v>
      </c>
      <c r="G722" s="187">
        <v>0</v>
      </c>
      <c r="H722" s="187">
        <v>0</v>
      </c>
      <c r="I722" s="187">
        <v>0</v>
      </c>
      <c r="J722" s="187">
        <v>0</v>
      </c>
      <c r="K722" s="187">
        <v>0</v>
      </c>
      <c r="L722" s="187">
        <v>0</v>
      </c>
      <c r="M722" s="187">
        <v>0</v>
      </c>
      <c r="N722" s="187">
        <v>0</v>
      </c>
      <c r="O722" s="187">
        <v>0</v>
      </c>
      <c r="P722" s="187">
        <v>0</v>
      </c>
      <c r="Q722" s="187">
        <v>0</v>
      </c>
      <c r="R722" s="70">
        <f t="shared" si="453"/>
        <v>0</v>
      </c>
      <c r="S722" s="31"/>
    </row>
    <row r="723" spans="1:19" x14ac:dyDescent="0.2">
      <c r="B723" t="s">
        <v>25</v>
      </c>
      <c r="F723" s="24">
        <f t="shared" ref="F723:K723" si="477">F715+F720</f>
        <v>0</v>
      </c>
      <c r="G723" s="24">
        <f t="shared" si="477"/>
        <v>0</v>
      </c>
      <c r="H723" s="24">
        <f t="shared" si="477"/>
        <v>0</v>
      </c>
      <c r="I723" s="24">
        <f t="shared" si="477"/>
        <v>0</v>
      </c>
      <c r="J723" s="24">
        <f t="shared" si="477"/>
        <v>0</v>
      </c>
      <c r="K723" s="24">
        <f t="shared" si="477"/>
        <v>0</v>
      </c>
      <c r="L723" s="24">
        <f>L715+L720</f>
        <v>0</v>
      </c>
      <c r="M723" s="24">
        <f>M715+M720</f>
        <v>0</v>
      </c>
      <c r="N723" s="24">
        <f>N715+N720</f>
        <v>0</v>
      </c>
      <c r="O723" s="24">
        <f t="shared" ref="O723:Q723" si="478">O715+O720</f>
        <v>0</v>
      </c>
      <c r="P723" s="24">
        <f t="shared" si="478"/>
        <v>0</v>
      </c>
      <c r="Q723" s="24">
        <f t="shared" si="478"/>
        <v>0</v>
      </c>
      <c r="R723" s="684">
        <f>R715+R720</f>
        <v>0</v>
      </c>
      <c r="S723" s="31"/>
    </row>
    <row r="724" spans="1:19" x14ac:dyDescent="0.2">
      <c r="B724" t="s">
        <v>24</v>
      </c>
      <c r="F724" s="24">
        <f>F706+F714+F715+F716+F717+F721+F722</f>
        <v>0</v>
      </c>
      <c r="G724" s="24">
        <f t="shared" ref="G724:R724" si="479">G706+G714+G715+G716+G717+G721+G722</f>
        <v>0</v>
      </c>
      <c r="H724" s="24">
        <f t="shared" si="479"/>
        <v>0</v>
      </c>
      <c r="I724" s="24">
        <f t="shared" si="479"/>
        <v>0</v>
      </c>
      <c r="J724" s="24">
        <f t="shared" si="479"/>
        <v>0</v>
      </c>
      <c r="K724" s="24">
        <f t="shared" si="479"/>
        <v>0</v>
      </c>
      <c r="L724" s="24">
        <f t="shared" si="479"/>
        <v>0</v>
      </c>
      <c r="M724" s="24">
        <f t="shared" si="479"/>
        <v>0</v>
      </c>
      <c r="N724" s="24">
        <f t="shared" si="479"/>
        <v>0</v>
      </c>
      <c r="O724" s="24">
        <f t="shared" si="479"/>
        <v>0</v>
      </c>
      <c r="P724" s="24">
        <f t="shared" si="479"/>
        <v>0</v>
      </c>
      <c r="Q724" s="24">
        <f t="shared" si="479"/>
        <v>0</v>
      </c>
      <c r="R724" s="24">
        <f t="shared" si="479"/>
        <v>0</v>
      </c>
      <c r="S724" s="31"/>
    </row>
    <row r="725" spans="1:19" x14ac:dyDescent="0.2">
      <c r="C725" s="61"/>
      <c r="F725" s="23"/>
      <c r="G725" s="23"/>
      <c r="H725" s="23"/>
      <c r="I725" s="23"/>
      <c r="K725" s="23"/>
      <c r="L725" s="23"/>
      <c r="M725" s="23"/>
      <c r="N725" s="23"/>
      <c r="O725" s="23"/>
      <c r="P725" s="23"/>
      <c r="Q725" s="23"/>
      <c r="R725" s="100"/>
      <c r="S725" s="31"/>
    </row>
    <row r="726" spans="1:19" x14ac:dyDescent="0.2">
      <c r="A726" t="s">
        <v>305</v>
      </c>
      <c r="B726" t="s">
        <v>304</v>
      </c>
      <c r="C726" s="61"/>
      <c r="F726" s="23">
        <f t="shared" ref="F726:N726" si="480">F689*F701+F702*F690</f>
        <v>0</v>
      </c>
      <c r="G726" s="23">
        <f t="shared" si="480"/>
        <v>0</v>
      </c>
      <c r="H726" s="23">
        <f t="shared" si="480"/>
        <v>0</v>
      </c>
      <c r="I726" s="23">
        <f t="shared" si="480"/>
        <v>0</v>
      </c>
      <c r="J726" s="23">
        <f t="shared" si="480"/>
        <v>0</v>
      </c>
      <c r="K726" s="23">
        <f t="shared" si="480"/>
        <v>0</v>
      </c>
      <c r="L726" s="23">
        <f t="shared" si="480"/>
        <v>0</v>
      </c>
      <c r="M726" s="23">
        <f t="shared" si="480"/>
        <v>0</v>
      </c>
      <c r="N726" s="23">
        <f t="shared" si="480"/>
        <v>0</v>
      </c>
      <c r="O726" s="23">
        <f t="shared" ref="O726:Q726" si="481">O689*O701+O702*O690</f>
        <v>0</v>
      </c>
      <c r="P726" s="23">
        <f t="shared" si="481"/>
        <v>0</v>
      </c>
      <c r="Q726" s="23">
        <f t="shared" si="481"/>
        <v>0</v>
      </c>
      <c r="R726" s="100">
        <f>SUM(F726:Q726)</f>
        <v>0</v>
      </c>
      <c r="S726" s="31"/>
    </row>
    <row r="727" spans="1:19" x14ac:dyDescent="0.2">
      <c r="S727" s="31"/>
    </row>
    <row r="728" spans="1:19" x14ac:dyDescent="0.2">
      <c r="A728" s="30"/>
      <c r="B728" s="29" t="s">
        <v>230</v>
      </c>
      <c r="C728" s="29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1"/>
    </row>
    <row r="729" spans="1:19" x14ac:dyDescent="0.2">
      <c r="A729" s="30"/>
      <c r="B729" s="29" t="s">
        <v>7</v>
      </c>
      <c r="C729" s="29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1"/>
    </row>
    <row r="730" spans="1:19" s="30" customFormat="1" x14ac:dyDescent="0.2">
      <c r="B730" s="30" t="s">
        <v>282</v>
      </c>
      <c r="D730" s="47" t="s">
        <v>232</v>
      </c>
      <c r="E730" s="30" t="s">
        <v>5</v>
      </c>
      <c r="F730" s="130">
        <f>'Rate Design Int &amp; Trans'!$H$154</f>
        <v>891.83</v>
      </c>
      <c r="G730" s="130">
        <f>'Rate Design Int &amp; Trans'!$H$154</f>
        <v>891.83</v>
      </c>
      <c r="H730" s="130">
        <f>'Rate Design Int &amp; Trans'!$H$154</f>
        <v>891.83</v>
      </c>
      <c r="I730" s="130">
        <f>'Rate Design Int &amp; Trans'!$H$154</f>
        <v>891.83</v>
      </c>
      <c r="J730" s="130">
        <f>'Rate Design Int &amp; Trans'!$H$154</f>
        <v>891.83</v>
      </c>
      <c r="K730" s="130">
        <f>'Rate Design Int &amp; Trans'!$H$154</f>
        <v>891.83</v>
      </c>
      <c r="L730" s="130">
        <f>'Rate Design Int &amp; Trans'!$H$154</f>
        <v>891.83</v>
      </c>
      <c r="M730" s="130">
        <f>'Rate Design Int &amp; Trans'!$H$154</f>
        <v>891.83</v>
      </c>
      <c r="N730" s="130">
        <f>'Rate Design Int &amp; Trans'!$H$154</f>
        <v>891.83</v>
      </c>
      <c r="O730" s="130">
        <f>'Rate Design Int &amp; Trans'!$H$154</f>
        <v>891.83</v>
      </c>
      <c r="P730" s="130">
        <f>'Rate Design Int &amp; Trans'!$H$154</f>
        <v>891.83</v>
      </c>
      <c r="Q730" s="130">
        <f>'Rate Design Int &amp; Trans'!$H$154</f>
        <v>891.83</v>
      </c>
      <c r="S730" s="31"/>
    </row>
    <row r="731" spans="1:19" s="30" customFormat="1" x14ac:dyDescent="0.2">
      <c r="B731" s="30" t="s">
        <v>3</v>
      </c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S731" s="31"/>
    </row>
    <row r="732" spans="1:19" s="30" customFormat="1" x14ac:dyDescent="0.2">
      <c r="C732" s="30" t="s">
        <v>56</v>
      </c>
      <c r="D732" s="47" t="s">
        <v>232</v>
      </c>
      <c r="E732" s="30" t="s">
        <v>6</v>
      </c>
      <c r="F732" s="131">
        <f>'Rate Design Int &amp; Trans'!$H$159</f>
        <v>0.1391</v>
      </c>
      <c r="G732" s="131">
        <f>'Rate Design Int &amp; Trans'!$H$159</f>
        <v>0.1391</v>
      </c>
      <c r="H732" s="131">
        <f>'Rate Design Int &amp; Trans'!$H$159</f>
        <v>0.1391</v>
      </c>
      <c r="I732" s="131">
        <f>'Rate Design Int &amp; Trans'!$H$159</f>
        <v>0.1391</v>
      </c>
      <c r="J732" s="131">
        <f>'Rate Design Int &amp; Trans'!$H$159</f>
        <v>0.1391</v>
      </c>
      <c r="K732" s="131">
        <f>'Rate Design Int &amp; Trans'!$H$159</f>
        <v>0.1391</v>
      </c>
      <c r="L732" s="131">
        <f>'Rate Design Int &amp; Trans'!$H$159</f>
        <v>0.1391</v>
      </c>
      <c r="M732" s="131">
        <f>'Rate Design Int &amp; Trans'!$H$159</f>
        <v>0.1391</v>
      </c>
      <c r="N732" s="131">
        <f>'Rate Design Int &amp; Trans'!$H$159</f>
        <v>0.1391</v>
      </c>
      <c r="O732" s="131">
        <f>'Rate Design Int &amp; Trans'!$H$159</f>
        <v>0.1391</v>
      </c>
      <c r="P732" s="131">
        <f>'Rate Design Int &amp; Trans'!$H$159</f>
        <v>0.1391</v>
      </c>
      <c r="Q732" s="131">
        <f>'Rate Design Int &amp; Trans'!$H$159</f>
        <v>0.1391</v>
      </c>
      <c r="S732" s="31"/>
    </row>
    <row r="733" spans="1:19" s="30" customFormat="1" x14ac:dyDescent="0.2">
      <c r="C733" s="30" t="s">
        <v>57</v>
      </c>
      <c r="D733" s="47" t="s">
        <v>232</v>
      </c>
      <c r="E733" s="30" t="s">
        <v>6</v>
      </c>
      <c r="F733" s="131">
        <f>'Rate Design Int &amp; Trans'!$H$160</f>
        <v>8.4059999999999996E-2</v>
      </c>
      <c r="G733" s="131">
        <f>'Rate Design Int &amp; Trans'!$H$160</f>
        <v>8.4059999999999996E-2</v>
      </c>
      <c r="H733" s="131">
        <f>'Rate Design Int &amp; Trans'!$H$160</f>
        <v>8.4059999999999996E-2</v>
      </c>
      <c r="I733" s="131">
        <f>'Rate Design Int &amp; Trans'!$H$160</f>
        <v>8.4059999999999996E-2</v>
      </c>
      <c r="J733" s="131">
        <f>'Rate Design Int &amp; Trans'!$H$160</f>
        <v>8.4059999999999996E-2</v>
      </c>
      <c r="K733" s="131">
        <f>'Rate Design Int &amp; Trans'!$H$160</f>
        <v>8.4059999999999996E-2</v>
      </c>
      <c r="L733" s="131">
        <f>'Rate Design Int &amp; Trans'!$H$160</f>
        <v>8.4059999999999996E-2</v>
      </c>
      <c r="M733" s="131">
        <f>'Rate Design Int &amp; Trans'!$H$160</f>
        <v>8.4059999999999996E-2</v>
      </c>
      <c r="N733" s="131">
        <f>'Rate Design Int &amp; Trans'!$H$160</f>
        <v>8.4059999999999996E-2</v>
      </c>
      <c r="O733" s="131">
        <f>'Rate Design Int &amp; Trans'!$H$160</f>
        <v>8.4059999999999996E-2</v>
      </c>
      <c r="P733" s="131">
        <f>'Rate Design Int &amp; Trans'!$H$160</f>
        <v>8.4059999999999996E-2</v>
      </c>
      <c r="Q733" s="131">
        <f>'Rate Design Int &amp; Trans'!$H$160</f>
        <v>8.4059999999999996E-2</v>
      </c>
      <c r="S733" s="31"/>
    </row>
    <row r="734" spans="1:19" s="30" customFormat="1" x14ac:dyDescent="0.2">
      <c r="C734" s="30" t="s">
        <v>62</v>
      </c>
      <c r="D734" s="47" t="s">
        <v>232</v>
      </c>
      <c r="E734" s="30" t="s">
        <v>6</v>
      </c>
      <c r="F734" s="131">
        <f>'Rate Design Int &amp; Trans'!$H$161</f>
        <v>5.3490000000000003E-2</v>
      </c>
      <c r="G734" s="131">
        <f>'Rate Design Int &amp; Trans'!$H$161</f>
        <v>5.3490000000000003E-2</v>
      </c>
      <c r="H734" s="131">
        <f>'Rate Design Int &amp; Trans'!$H$161</f>
        <v>5.3490000000000003E-2</v>
      </c>
      <c r="I734" s="131">
        <f>'Rate Design Int &amp; Trans'!$H$161</f>
        <v>5.3490000000000003E-2</v>
      </c>
      <c r="J734" s="131">
        <f>'Rate Design Int &amp; Trans'!$H$161</f>
        <v>5.3490000000000003E-2</v>
      </c>
      <c r="K734" s="131">
        <f>'Rate Design Int &amp; Trans'!$H$161</f>
        <v>5.3490000000000003E-2</v>
      </c>
      <c r="L734" s="131">
        <f>'Rate Design Int &amp; Trans'!$H$161</f>
        <v>5.3490000000000003E-2</v>
      </c>
      <c r="M734" s="131">
        <f>'Rate Design Int &amp; Trans'!$H$161</f>
        <v>5.3490000000000003E-2</v>
      </c>
      <c r="N734" s="131">
        <f>'Rate Design Int &amp; Trans'!$H$161</f>
        <v>5.3490000000000003E-2</v>
      </c>
      <c r="O734" s="131">
        <f>'Rate Design Int &amp; Trans'!$H$161</f>
        <v>5.3490000000000003E-2</v>
      </c>
      <c r="P734" s="131">
        <f>'Rate Design Int &amp; Trans'!$H$161</f>
        <v>5.3490000000000003E-2</v>
      </c>
      <c r="Q734" s="131">
        <f>'Rate Design Int &amp; Trans'!$H$161</f>
        <v>5.3490000000000003E-2</v>
      </c>
      <c r="S734" s="31"/>
    </row>
    <row r="735" spans="1:19" s="30" customFormat="1" x14ac:dyDescent="0.2">
      <c r="C735" s="30" t="s">
        <v>63</v>
      </c>
      <c r="D735" s="47" t="s">
        <v>232</v>
      </c>
      <c r="E735" s="30" t="s">
        <v>6</v>
      </c>
      <c r="F735" s="131">
        <f>'Rate Design Int &amp; Trans'!$H$162</f>
        <v>3.4299999999999997E-2</v>
      </c>
      <c r="G735" s="131">
        <f>'Rate Design Int &amp; Trans'!$H$162</f>
        <v>3.4299999999999997E-2</v>
      </c>
      <c r="H735" s="131">
        <f>'Rate Design Int &amp; Trans'!$H$162</f>
        <v>3.4299999999999997E-2</v>
      </c>
      <c r="I735" s="131">
        <f>'Rate Design Int &amp; Trans'!$H$162</f>
        <v>3.4299999999999997E-2</v>
      </c>
      <c r="J735" s="131">
        <f>'Rate Design Int &amp; Trans'!$H$162</f>
        <v>3.4299999999999997E-2</v>
      </c>
      <c r="K735" s="131">
        <f>'Rate Design Int &amp; Trans'!$H$162</f>
        <v>3.4299999999999997E-2</v>
      </c>
      <c r="L735" s="131">
        <f>'Rate Design Int &amp; Trans'!$H$162</f>
        <v>3.4299999999999997E-2</v>
      </c>
      <c r="M735" s="131">
        <f>'Rate Design Int &amp; Trans'!$H$162</f>
        <v>3.4299999999999997E-2</v>
      </c>
      <c r="N735" s="131">
        <f>'Rate Design Int &amp; Trans'!$H$162</f>
        <v>3.4299999999999997E-2</v>
      </c>
      <c r="O735" s="131">
        <f>'Rate Design Int &amp; Trans'!$H$162</f>
        <v>3.4299999999999997E-2</v>
      </c>
      <c r="P735" s="131">
        <f>'Rate Design Int &amp; Trans'!$H$162</f>
        <v>3.4299999999999997E-2</v>
      </c>
      <c r="Q735" s="131">
        <f>'Rate Design Int &amp; Trans'!$H$162</f>
        <v>3.4299999999999997E-2</v>
      </c>
      <c r="S735" s="31"/>
    </row>
    <row r="736" spans="1:19" s="30" customFormat="1" x14ac:dyDescent="0.2">
      <c r="C736" s="30" t="s">
        <v>64</v>
      </c>
      <c r="D736" s="47" t="s">
        <v>232</v>
      </c>
      <c r="E736" s="30" t="s">
        <v>6</v>
      </c>
      <c r="F736" s="131">
        <f>'Rate Design Int &amp; Trans'!$H$163</f>
        <v>2.4680000000000001E-2</v>
      </c>
      <c r="G736" s="131">
        <f>'Rate Design Int &amp; Trans'!$H$163</f>
        <v>2.4680000000000001E-2</v>
      </c>
      <c r="H736" s="131">
        <f>'Rate Design Int &amp; Trans'!$H$163</f>
        <v>2.4680000000000001E-2</v>
      </c>
      <c r="I736" s="131">
        <f>'Rate Design Int &amp; Trans'!$H$163</f>
        <v>2.4680000000000001E-2</v>
      </c>
      <c r="J736" s="131">
        <f>'Rate Design Int &amp; Trans'!$H$163</f>
        <v>2.4680000000000001E-2</v>
      </c>
      <c r="K736" s="131">
        <f>'Rate Design Int &amp; Trans'!$H$163</f>
        <v>2.4680000000000001E-2</v>
      </c>
      <c r="L736" s="131">
        <f>'Rate Design Int &amp; Trans'!$H$163</f>
        <v>2.4680000000000001E-2</v>
      </c>
      <c r="M736" s="131">
        <f>'Rate Design Int &amp; Trans'!$H$163</f>
        <v>2.4680000000000001E-2</v>
      </c>
      <c r="N736" s="131">
        <f>'Rate Design Int &amp; Trans'!$H$163</f>
        <v>2.4680000000000001E-2</v>
      </c>
      <c r="O736" s="131">
        <f>'Rate Design Int &amp; Trans'!$H$163</f>
        <v>2.4680000000000001E-2</v>
      </c>
      <c r="P736" s="131">
        <f>'Rate Design Int &amp; Trans'!$H$163</f>
        <v>2.4680000000000001E-2</v>
      </c>
      <c r="Q736" s="131">
        <f>'Rate Design Int &amp; Trans'!$H$163</f>
        <v>2.4680000000000001E-2</v>
      </c>
      <c r="S736" s="31"/>
    </row>
    <row r="737" spans="1:19" s="30" customFormat="1" x14ac:dyDescent="0.2">
      <c r="C737" s="30" t="s">
        <v>65</v>
      </c>
      <c r="D737" s="47" t="s">
        <v>232</v>
      </c>
      <c r="E737" s="30" t="s">
        <v>6</v>
      </c>
      <c r="F737" s="131">
        <f>'Rate Design Int &amp; Trans'!$H$164</f>
        <v>1.9029999999999998E-2</v>
      </c>
      <c r="G737" s="131">
        <f>'Rate Design Int &amp; Trans'!$H$164</f>
        <v>1.9029999999999998E-2</v>
      </c>
      <c r="H737" s="131">
        <f>'Rate Design Int &amp; Trans'!$H$164</f>
        <v>1.9029999999999998E-2</v>
      </c>
      <c r="I737" s="131">
        <f>'Rate Design Int &amp; Trans'!$H$164</f>
        <v>1.9029999999999998E-2</v>
      </c>
      <c r="J737" s="131">
        <f>'Rate Design Int &amp; Trans'!$H$164</f>
        <v>1.9029999999999998E-2</v>
      </c>
      <c r="K737" s="131">
        <f>'Rate Design Int &amp; Trans'!$H$164</f>
        <v>1.9029999999999998E-2</v>
      </c>
      <c r="L737" s="131">
        <f>'Rate Design Int &amp; Trans'!$H$164</f>
        <v>1.9029999999999998E-2</v>
      </c>
      <c r="M737" s="131">
        <f>'Rate Design Int &amp; Trans'!$H$164</f>
        <v>1.9029999999999998E-2</v>
      </c>
      <c r="N737" s="131">
        <f>'Rate Design Int &amp; Trans'!$H$164</f>
        <v>1.9029999999999998E-2</v>
      </c>
      <c r="O737" s="131">
        <f>'Rate Design Int &amp; Trans'!$H$164</f>
        <v>1.9029999999999998E-2</v>
      </c>
      <c r="P737" s="131">
        <f>'Rate Design Int &amp; Trans'!$H$164</f>
        <v>1.9029999999999998E-2</v>
      </c>
      <c r="Q737" s="131">
        <f>'Rate Design Int &amp; Trans'!$H$164</f>
        <v>1.9029999999999998E-2</v>
      </c>
      <c r="S737" s="31"/>
    </row>
    <row r="738" spans="1:19" s="30" customFormat="1" x14ac:dyDescent="0.2">
      <c r="B738" s="30" t="s">
        <v>301</v>
      </c>
      <c r="D738" s="47" t="s">
        <v>232</v>
      </c>
      <c r="E738" s="30" t="s">
        <v>6</v>
      </c>
      <c r="F738" s="131">
        <f>'Rate Design Int &amp; Trans'!$H$167</f>
        <v>6.9999999999999999E-4</v>
      </c>
      <c r="G738" s="131">
        <f>'Rate Design Int &amp; Trans'!$H$167</f>
        <v>6.9999999999999999E-4</v>
      </c>
      <c r="H738" s="131">
        <f>'Rate Design Int &amp; Trans'!$H$167</f>
        <v>6.9999999999999999E-4</v>
      </c>
      <c r="I738" s="131">
        <f>'Rate Design Int &amp; Trans'!$H$167</f>
        <v>6.9999999999999999E-4</v>
      </c>
      <c r="J738" s="131">
        <f>'Rate Design Int &amp; Trans'!$H$167</f>
        <v>6.9999999999999999E-4</v>
      </c>
      <c r="K738" s="131">
        <f>'Rate Design Int &amp; Trans'!$H$167</f>
        <v>6.9999999999999999E-4</v>
      </c>
      <c r="L738" s="131">
        <f>'Rate Design Int &amp; Trans'!$H$167</f>
        <v>6.9999999999999999E-4</v>
      </c>
      <c r="M738" s="131">
        <f>'Rate Design Int &amp; Trans'!$H$167</f>
        <v>6.9999999999999999E-4</v>
      </c>
      <c r="N738" s="131">
        <f>'Rate Design Int &amp; Trans'!$H$167</f>
        <v>6.9999999999999999E-4</v>
      </c>
      <c r="O738" s="131">
        <f>'Rate Design Int &amp; Trans'!$H$167</f>
        <v>6.9999999999999999E-4</v>
      </c>
      <c r="P738" s="131">
        <f>'Rate Design Int &amp; Trans'!$H$167</f>
        <v>6.9999999999999999E-4</v>
      </c>
      <c r="Q738" s="131">
        <f>'Rate Design Int &amp; Trans'!$H$167</f>
        <v>6.9999999999999999E-4</v>
      </c>
      <c r="S738" s="31"/>
    </row>
    <row r="739" spans="1:19" s="30" customFormat="1" x14ac:dyDescent="0.2">
      <c r="B739" s="30" t="s">
        <v>550</v>
      </c>
      <c r="D739" s="47">
        <v>149</v>
      </c>
      <c r="E739" s="30" t="s">
        <v>6</v>
      </c>
      <c r="F739" s="772">
        <f>F628</f>
        <v>2.0200000000000001E-3</v>
      </c>
      <c r="G739" s="772">
        <f t="shared" ref="G739:Q739" si="482">G628</f>
        <v>2.0200000000000001E-3</v>
      </c>
      <c r="H739" s="772">
        <f t="shared" si="482"/>
        <v>2.0200000000000001E-3</v>
      </c>
      <c r="I739" s="772">
        <f t="shared" si="482"/>
        <v>2.0200000000000001E-3</v>
      </c>
      <c r="J739" s="772">
        <f t="shared" si="482"/>
        <v>2.0200000000000001E-3</v>
      </c>
      <c r="K739" s="772">
        <f t="shared" si="482"/>
        <v>2.0200000000000001E-3</v>
      </c>
      <c r="L739" s="772">
        <f t="shared" si="482"/>
        <v>2.0200000000000001E-3</v>
      </c>
      <c r="M739" s="772">
        <f t="shared" si="482"/>
        <v>2.0200000000000001E-3</v>
      </c>
      <c r="N739" s="772">
        <f t="shared" si="482"/>
        <v>2.0200000000000001E-3</v>
      </c>
      <c r="O739" s="772">
        <f t="shared" si="482"/>
        <v>2.0200000000000001E-3</v>
      </c>
      <c r="P739" s="772">
        <f t="shared" si="482"/>
        <v>2.0200000000000001E-3</v>
      </c>
      <c r="Q739" s="772">
        <f t="shared" si="482"/>
        <v>2.0200000000000001E-3</v>
      </c>
      <c r="S739" s="31"/>
    </row>
    <row r="740" spans="1:19" s="30" customFormat="1" x14ac:dyDescent="0.2">
      <c r="B740" s="30" t="s">
        <v>19</v>
      </c>
      <c r="D740" s="30">
        <v>101</v>
      </c>
      <c r="E740" s="30" t="s">
        <v>6</v>
      </c>
      <c r="F740" s="130">
        <f>'Rate Design Int &amp; Trans'!$H$155</f>
        <v>1.38</v>
      </c>
      <c r="G740" s="130">
        <f>'Rate Design Int &amp; Trans'!$H$155</f>
        <v>1.38</v>
      </c>
      <c r="H740" s="130">
        <f>'Rate Design Int &amp; Trans'!$H$155</f>
        <v>1.38</v>
      </c>
      <c r="I740" s="130">
        <f>'Rate Design Int &amp; Trans'!$H$155</f>
        <v>1.38</v>
      </c>
      <c r="J740" s="130">
        <f>'Rate Design Int &amp; Trans'!$H$155</f>
        <v>1.38</v>
      </c>
      <c r="K740" s="130">
        <f>'Rate Design Int &amp; Trans'!$H$155</f>
        <v>1.38</v>
      </c>
      <c r="L740" s="130">
        <f>'Rate Design Int &amp; Trans'!$H$155</f>
        <v>1.38</v>
      </c>
      <c r="M740" s="130">
        <f>'Rate Design Int &amp; Trans'!$H$155</f>
        <v>1.38</v>
      </c>
      <c r="N740" s="130">
        <f>'Rate Design Int &amp; Trans'!$H$155</f>
        <v>1.38</v>
      </c>
      <c r="O740" s="130">
        <f>'Rate Design Int &amp; Trans'!$H$155</f>
        <v>1.38</v>
      </c>
      <c r="P740" s="130">
        <f>'Rate Design Int &amp; Trans'!$H$155</f>
        <v>1.38</v>
      </c>
      <c r="Q740" s="130">
        <f>'Rate Design Int &amp; Trans'!$H$155</f>
        <v>1.38</v>
      </c>
      <c r="S740" s="31"/>
    </row>
    <row r="741" spans="1:19" s="30" customFormat="1" x14ac:dyDescent="0.2">
      <c r="B741" s="30" t="s">
        <v>21</v>
      </c>
      <c r="D741" s="47" t="s">
        <v>232</v>
      </c>
      <c r="E741" s="30" t="s">
        <v>22</v>
      </c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S741" s="31"/>
    </row>
    <row r="742" spans="1:19" s="30" customFormat="1" x14ac:dyDescent="0.2">
      <c r="S742" s="31"/>
    </row>
    <row r="743" spans="1:19" s="30" customFormat="1" x14ac:dyDescent="0.2">
      <c r="A743"/>
      <c r="B743" s="15" t="s">
        <v>8</v>
      </c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 s="31"/>
    </row>
    <row r="744" spans="1:19" s="30" customFormat="1" x14ac:dyDescent="0.2">
      <c r="A744"/>
      <c r="B744" t="s">
        <v>22</v>
      </c>
      <c r="C744"/>
      <c r="D744" s="47" t="s">
        <v>232</v>
      </c>
      <c r="E744" t="s">
        <v>22</v>
      </c>
      <c r="F744" s="64">
        <f>'(R) Data'!C32</f>
        <v>2.9999999999999996</v>
      </c>
      <c r="G744" s="64">
        <f>'(R) Data'!D32</f>
        <v>2.9999999999999996</v>
      </c>
      <c r="H744" s="64">
        <f>'(R) Data'!E32</f>
        <v>2.9999999999999996</v>
      </c>
      <c r="I744" s="64">
        <f>'(R) Data'!F32</f>
        <v>2.9999999999999996</v>
      </c>
      <c r="J744" s="64">
        <f>'(R) Data'!G32</f>
        <v>2.9999999999999996</v>
      </c>
      <c r="K744" s="64">
        <f>'(R) Data'!H32</f>
        <v>3.0000127913274506</v>
      </c>
      <c r="L744" s="64">
        <f>'(R) Data'!I32</f>
        <v>3</v>
      </c>
      <c r="M744" s="64">
        <f>'(R) Data'!J32</f>
        <v>3</v>
      </c>
      <c r="N744" s="64">
        <f>'(R) Data'!K32</f>
        <v>3</v>
      </c>
      <c r="O744" s="64">
        <f>'(R) Data'!L32</f>
        <v>3</v>
      </c>
      <c r="P744" s="64">
        <f>'(R) Data'!M32</f>
        <v>2.9999999999999996</v>
      </c>
      <c r="Q744" s="64">
        <f>'(R) Data'!N32</f>
        <v>2.9999999999999996</v>
      </c>
      <c r="R744" s="22">
        <f>SUM(F744:Q744)</f>
        <v>36.00001279132745</v>
      </c>
      <c r="S744" s="31"/>
    </row>
    <row r="745" spans="1:19" s="30" customFormat="1" x14ac:dyDescent="0.2">
      <c r="B745" s="30" t="s">
        <v>30</v>
      </c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22"/>
      <c r="S745" s="31"/>
    </row>
    <row r="746" spans="1:19" s="30" customFormat="1" x14ac:dyDescent="0.2">
      <c r="C746" s="30" t="s">
        <v>56</v>
      </c>
      <c r="D746" s="47" t="s">
        <v>232</v>
      </c>
      <c r="E746" s="30" t="s">
        <v>10</v>
      </c>
      <c r="F746" s="161">
        <f>'(R) Therms By Block'!B102</f>
        <v>75000</v>
      </c>
      <c r="G746" s="170">
        <f>'(R) Therms By Block'!C102</f>
        <v>75000</v>
      </c>
      <c r="H746" s="170">
        <f>'(R) Therms By Block'!D102</f>
        <v>75000</v>
      </c>
      <c r="I746" s="170">
        <f>'(R) Therms By Block'!E102</f>
        <v>75000</v>
      </c>
      <c r="J746" s="170">
        <f>'(R) Therms By Block'!F102</f>
        <v>75000</v>
      </c>
      <c r="K746" s="170">
        <f>'(R) Therms By Block'!G102</f>
        <v>75000</v>
      </c>
      <c r="L746" s="170">
        <f>'(R) Therms By Block'!H102</f>
        <v>75000</v>
      </c>
      <c r="M746" s="170">
        <f>'(R) Therms By Block'!I102</f>
        <v>75000</v>
      </c>
      <c r="N746" s="170">
        <f>'(R) Therms By Block'!J102</f>
        <v>75000</v>
      </c>
      <c r="O746" s="170">
        <f>'(R) Therms By Block'!K102</f>
        <v>75000</v>
      </c>
      <c r="P746" s="170">
        <f>'(R) Therms By Block'!L102</f>
        <v>75000</v>
      </c>
      <c r="Q746" s="170">
        <f>'(R) Therms By Block'!M102</f>
        <v>75000</v>
      </c>
      <c r="R746" s="22">
        <f t="shared" ref="R746:R751" si="483">SUM(F746:Q746)</f>
        <v>900000</v>
      </c>
      <c r="S746" s="31"/>
    </row>
    <row r="747" spans="1:19" s="30" customFormat="1" x14ac:dyDescent="0.2">
      <c r="C747" s="30" t="s">
        <v>57</v>
      </c>
      <c r="D747" s="47" t="s">
        <v>232</v>
      </c>
      <c r="E747" s="30" t="s">
        <v>10</v>
      </c>
      <c r="F747" s="170">
        <f>'(R) Therms By Block'!B103</f>
        <v>75000</v>
      </c>
      <c r="G747" s="170">
        <f>'(R) Therms By Block'!C103</f>
        <v>75000</v>
      </c>
      <c r="H747" s="170">
        <f>'(R) Therms By Block'!D103</f>
        <v>75000</v>
      </c>
      <c r="I747" s="170">
        <f>'(R) Therms By Block'!E103</f>
        <v>75000</v>
      </c>
      <c r="J747" s="170">
        <f>'(R) Therms By Block'!F103</f>
        <v>75000</v>
      </c>
      <c r="K747" s="170">
        <f>'(R) Therms By Block'!G103</f>
        <v>75000</v>
      </c>
      <c r="L747" s="170">
        <f>'(R) Therms By Block'!H103</f>
        <v>75000</v>
      </c>
      <c r="M747" s="170">
        <f>'(R) Therms By Block'!I103</f>
        <v>75000</v>
      </c>
      <c r="N747" s="170">
        <f>'(R) Therms By Block'!J103</f>
        <v>75000</v>
      </c>
      <c r="O747" s="170">
        <f>'(R) Therms By Block'!K103</f>
        <v>75000</v>
      </c>
      <c r="P747" s="170">
        <f>'(R) Therms By Block'!L103</f>
        <v>75000</v>
      </c>
      <c r="Q747" s="170">
        <f>'(R) Therms By Block'!M103</f>
        <v>75000</v>
      </c>
      <c r="R747" s="22">
        <f t="shared" si="483"/>
        <v>900000</v>
      </c>
      <c r="S747" s="31"/>
    </row>
    <row r="748" spans="1:19" s="30" customFormat="1" x14ac:dyDescent="0.2">
      <c r="C748" s="30" t="s">
        <v>62</v>
      </c>
      <c r="D748" s="47" t="s">
        <v>232</v>
      </c>
      <c r="E748" s="30" t="s">
        <v>10</v>
      </c>
      <c r="F748" s="170">
        <f>'(R) Therms By Block'!B104</f>
        <v>150000</v>
      </c>
      <c r="G748" s="170">
        <f>'(R) Therms By Block'!C104</f>
        <v>150000</v>
      </c>
      <c r="H748" s="170">
        <f>'(R) Therms By Block'!D104</f>
        <v>150000</v>
      </c>
      <c r="I748" s="170">
        <f>'(R) Therms By Block'!E104</f>
        <v>150000</v>
      </c>
      <c r="J748" s="170">
        <f>'(R) Therms By Block'!F104</f>
        <v>150000</v>
      </c>
      <c r="K748" s="170">
        <f>'(R) Therms By Block'!G104</f>
        <v>150000</v>
      </c>
      <c r="L748" s="170">
        <f>'(R) Therms By Block'!H104</f>
        <v>150000</v>
      </c>
      <c r="M748" s="170">
        <f>'(R) Therms By Block'!I104</f>
        <v>150000</v>
      </c>
      <c r="N748" s="170">
        <f>'(R) Therms By Block'!J104</f>
        <v>150000</v>
      </c>
      <c r="O748" s="170">
        <f>'(R) Therms By Block'!K104</f>
        <v>150000</v>
      </c>
      <c r="P748" s="170">
        <f>'(R) Therms By Block'!L104</f>
        <v>150000</v>
      </c>
      <c r="Q748" s="170">
        <f>'(R) Therms By Block'!M104</f>
        <v>150000</v>
      </c>
      <c r="R748" s="22">
        <f t="shared" si="483"/>
        <v>1800000</v>
      </c>
      <c r="S748" s="31"/>
    </row>
    <row r="749" spans="1:19" s="30" customFormat="1" x14ac:dyDescent="0.2">
      <c r="C749" s="30" t="s">
        <v>63</v>
      </c>
      <c r="D749" s="47" t="s">
        <v>232</v>
      </c>
      <c r="E749" s="30" t="s">
        <v>10</v>
      </c>
      <c r="F749" s="170">
        <f>'(R) Therms By Block'!B105</f>
        <v>244453.73</v>
      </c>
      <c r="G749" s="170">
        <f>'(R) Therms By Block'!C105</f>
        <v>234340.93</v>
      </c>
      <c r="H749" s="170">
        <f>'(R) Therms By Block'!D105</f>
        <v>257608.69</v>
      </c>
      <c r="I749" s="170">
        <f>'(R) Therms By Block'!E105</f>
        <v>300000</v>
      </c>
      <c r="J749" s="170">
        <f>'(R) Therms By Block'!F105</f>
        <v>300000</v>
      </c>
      <c r="K749" s="170">
        <f>'(R) Therms By Block'!G105</f>
        <v>288420.19</v>
      </c>
      <c r="L749" s="170">
        <f>'(R) Therms By Block'!H105</f>
        <v>300000</v>
      </c>
      <c r="M749" s="170">
        <f>'(R) Therms By Block'!I105</f>
        <v>285133.58</v>
      </c>
      <c r="N749" s="170">
        <f>'(R) Therms By Block'!J105</f>
        <v>300000</v>
      </c>
      <c r="O749" s="170">
        <f>'(R) Therms By Block'!K105</f>
        <v>298043.53000000003</v>
      </c>
      <c r="P749" s="170">
        <f>'(R) Therms By Block'!L105</f>
        <v>296265.65999999997</v>
      </c>
      <c r="Q749" s="170">
        <f>'(R) Therms By Block'!M105</f>
        <v>273725.57</v>
      </c>
      <c r="R749" s="22">
        <f t="shared" si="483"/>
        <v>3377991.8800000004</v>
      </c>
      <c r="S749" s="31"/>
    </row>
    <row r="750" spans="1:19" x14ac:dyDescent="0.2">
      <c r="A750" s="30"/>
      <c r="B750" s="30"/>
      <c r="C750" s="30" t="s">
        <v>64</v>
      </c>
      <c r="D750" s="47" t="s">
        <v>232</v>
      </c>
      <c r="E750" s="30" t="s">
        <v>10</v>
      </c>
      <c r="F750" s="170">
        <f>'(R) Therms By Block'!B106</f>
        <v>300000</v>
      </c>
      <c r="G750" s="170">
        <f>'(R) Therms By Block'!C106</f>
        <v>316042.11</v>
      </c>
      <c r="H750" s="170">
        <f>'(R) Therms By Block'!D106</f>
        <v>300786.53999999998</v>
      </c>
      <c r="I750" s="170">
        <f>'(R) Therms By Block'!E106</f>
        <v>338474.39</v>
      </c>
      <c r="J750" s="170">
        <f>'(R) Therms By Block'!F106</f>
        <v>379525.37</v>
      </c>
      <c r="K750" s="170">
        <f>'(R) Therms By Block'!G106</f>
        <v>441377.2</v>
      </c>
      <c r="L750" s="170">
        <f>'(R) Therms By Block'!H106</f>
        <v>400382.23</v>
      </c>
      <c r="M750" s="170">
        <f>'(R) Therms By Block'!I106</f>
        <v>416073.24</v>
      </c>
      <c r="N750" s="170">
        <f>'(R) Therms By Block'!J106</f>
        <v>403591.12</v>
      </c>
      <c r="O750" s="170">
        <f>'(R) Therms By Block'!K106</f>
        <v>353892.31</v>
      </c>
      <c r="P750" s="170">
        <f>'(R) Therms By Block'!L106</f>
        <v>308957.49</v>
      </c>
      <c r="Q750" s="170">
        <f>'(R) Therms By Block'!M106</f>
        <v>305164.2</v>
      </c>
      <c r="R750" s="22">
        <f t="shared" si="483"/>
        <v>4264266.2</v>
      </c>
      <c r="S750" s="31"/>
    </row>
    <row r="751" spans="1:19" x14ac:dyDescent="0.2">
      <c r="A751" s="30"/>
      <c r="B751" s="30"/>
      <c r="C751" s="30" t="s">
        <v>65</v>
      </c>
      <c r="D751" s="47" t="s">
        <v>232</v>
      </c>
      <c r="E751" s="30" t="s">
        <v>10</v>
      </c>
      <c r="F751" s="107">
        <f t="shared" ref="F751:N751" si="484">F752-SUM(F746:F750)</f>
        <v>239677.47999999998</v>
      </c>
      <c r="G751" s="107">
        <f t="shared" si="484"/>
        <v>225878.71000000008</v>
      </c>
      <c r="H751" s="107">
        <f t="shared" si="484"/>
        <v>245931.93999999994</v>
      </c>
      <c r="I751" s="107">
        <f t="shared" si="484"/>
        <v>553542.63</v>
      </c>
      <c r="J751" s="107">
        <f t="shared" si="484"/>
        <v>864729.69000000006</v>
      </c>
      <c r="K751" s="107">
        <f t="shared" si="484"/>
        <v>1047081.2500000002</v>
      </c>
      <c r="L751" s="107">
        <f t="shared" si="484"/>
        <v>1118934.6400000001</v>
      </c>
      <c r="M751" s="107">
        <f t="shared" si="484"/>
        <v>869902.13000000012</v>
      </c>
      <c r="N751" s="107">
        <f t="shared" si="484"/>
        <v>856600.52999999991</v>
      </c>
      <c r="O751" s="107">
        <f t="shared" ref="O751:Q751" si="485">O752-SUM(O746:O750)</f>
        <v>685076.04</v>
      </c>
      <c r="P751" s="107">
        <f t="shared" si="485"/>
        <v>483052.69999999995</v>
      </c>
      <c r="Q751" s="107">
        <f t="shared" si="485"/>
        <v>314098.17999999993</v>
      </c>
      <c r="R751" s="22">
        <f t="shared" si="483"/>
        <v>7504505.9199999999</v>
      </c>
      <c r="S751" s="31"/>
    </row>
    <row r="752" spans="1:19" x14ac:dyDescent="0.2">
      <c r="A752" s="30"/>
      <c r="B752" s="30"/>
      <c r="C752" s="30" t="s">
        <v>17</v>
      </c>
      <c r="D752" s="47" t="s">
        <v>232</v>
      </c>
      <c r="E752" s="30" t="s">
        <v>10</v>
      </c>
      <c r="F752" s="111">
        <f>'Weather Adj'!D175</f>
        <v>1084131.21</v>
      </c>
      <c r="G752" s="111">
        <f>'Weather Adj'!E175</f>
        <v>1076261.75</v>
      </c>
      <c r="H752" s="111">
        <f>'Weather Adj'!F175</f>
        <v>1104327.17</v>
      </c>
      <c r="I752" s="111">
        <f>'Weather Adj'!G175</f>
        <v>1492017.02</v>
      </c>
      <c r="J752" s="111">
        <f>'Weather Adj'!H175</f>
        <v>1844255.06</v>
      </c>
      <c r="K752" s="111">
        <f>'Weather Adj'!I175</f>
        <v>2076878.6400000001</v>
      </c>
      <c r="L752" s="111">
        <f>'Weather Adj'!J175</f>
        <v>2119316.87</v>
      </c>
      <c r="M752" s="111">
        <f>'Weather Adj'!K175</f>
        <v>1871108.9500000002</v>
      </c>
      <c r="N752" s="111">
        <f>'Weather Adj'!L175</f>
        <v>1860191.65</v>
      </c>
      <c r="O752" s="111">
        <f>'Weather Adj'!M175</f>
        <v>1637011.8800000001</v>
      </c>
      <c r="P752" s="111">
        <f>'Weather Adj'!N175</f>
        <v>1388275.8499999999</v>
      </c>
      <c r="Q752" s="111">
        <f>'Weather Adj'!O175</f>
        <v>1192987.95</v>
      </c>
      <c r="R752" s="109">
        <f>SUM(R746:R751)</f>
        <v>18746764</v>
      </c>
      <c r="S752" s="31"/>
    </row>
    <row r="753" spans="1:19" x14ac:dyDescent="0.2">
      <c r="A753" s="30"/>
      <c r="B753" s="30" t="s">
        <v>29</v>
      </c>
      <c r="C753" s="30"/>
      <c r="D753" s="47" t="s">
        <v>232</v>
      </c>
      <c r="E753" s="30" t="s">
        <v>100</v>
      </c>
      <c r="F753" s="72">
        <f>'(R) Data'!C52</f>
        <v>4</v>
      </c>
      <c r="G753" s="72">
        <f>'(R) Data'!D52</f>
        <v>4</v>
      </c>
      <c r="H753" s="72">
        <f>'(R) Data'!E52</f>
        <v>4</v>
      </c>
      <c r="I753" s="72">
        <f>'(R) Data'!F52</f>
        <v>4</v>
      </c>
      <c r="J753" s="72">
        <f>'(R) Data'!G52</f>
        <v>6</v>
      </c>
      <c r="K753" s="72">
        <f>'(R) Data'!H52</f>
        <v>6</v>
      </c>
      <c r="L753" s="72">
        <f>'(R) Data'!I52</f>
        <v>4</v>
      </c>
      <c r="M753" s="72">
        <f>'(R) Data'!J52</f>
        <v>4</v>
      </c>
      <c r="N753" s="72">
        <f>'(R) Data'!K52</f>
        <v>4</v>
      </c>
      <c r="O753" s="72">
        <f>'(R) Data'!L52</f>
        <v>4</v>
      </c>
      <c r="P753" s="72">
        <f>'(R) Data'!M52</f>
        <v>4</v>
      </c>
      <c r="Q753" s="72">
        <f>'(R) Data'!N52</f>
        <v>4</v>
      </c>
      <c r="R753" s="22">
        <f>SUM(F753:Q753)</f>
        <v>52</v>
      </c>
      <c r="S753" s="31"/>
    </row>
    <row r="754" spans="1:19" x14ac:dyDescent="0.2">
      <c r="A754" s="30"/>
      <c r="B754" s="30" t="s">
        <v>21</v>
      </c>
      <c r="C754" s="30"/>
      <c r="D754" s="30"/>
      <c r="E754" s="30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0"/>
      <c r="S754" s="31"/>
    </row>
    <row r="755" spans="1:19" x14ac:dyDescent="0.2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1"/>
    </row>
    <row r="756" spans="1:19" x14ac:dyDescent="0.2">
      <c r="A756" s="30"/>
      <c r="B756" s="29" t="s">
        <v>9</v>
      </c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1"/>
    </row>
    <row r="757" spans="1:19" s="30" customFormat="1" x14ac:dyDescent="0.2">
      <c r="A757" s="30" t="s">
        <v>147</v>
      </c>
      <c r="B757" s="30" t="s">
        <v>282</v>
      </c>
      <c r="D757" s="47" t="s">
        <v>232</v>
      </c>
      <c r="F757" s="34">
        <f t="shared" ref="F757:N757" si="486">F730*F744</f>
        <v>2675.49</v>
      </c>
      <c r="G757" s="34">
        <f t="shared" si="486"/>
        <v>2675.49</v>
      </c>
      <c r="H757" s="34">
        <f t="shared" si="486"/>
        <v>2675.49</v>
      </c>
      <c r="I757" s="34">
        <f t="shared" si="486"/>
        <v>2675.49</v>
      </c>
      <c r="J757" s="34">
        <f t="shared" si="486"/>
        <v>2675.49</v>
      </c>
      <c r="K757" s="34">
        <f t="shared" si="486"/>
        <v>2675.5014076895604</v>
      </c>
      <c r="L757" s="34">
        <f t="shared" si="486"/>
        <v>2675.4900000000002</v>
      </c>
      <c r="M757" s="34">
        <f t="shared" si="486"/>
        <v>2675.4900000000002</v>
      </c>
      <c r="N757" s="34">
        <f t="shared" si="486"/>
        <v>2675.4900000000002</v>
      </c>
      <c r="O757" s="34">
        <f t="shared" ref="O757:Q757" si="487">O730*O744</f>
        <v>2675.4900000000002</v>
      </c>
      <c r="P757" s="34">
        <f t="shared" si="487"/>
        <v>2675.49</v>
      </c>
      <c r="Q757" s="34">
        <f t="shared" si="487"/>
        <v>2675.49</v>
      </c>
      <c r="R757" s="34">
        <f>SUM(F757:Q757)</f>
        <v>32105.89140768956</v>
      </c>
      <c r="S757" s="31"/>
    </row>
    <row r="758" spans="1:19" x14ac:dyDescent="0.2">
      <c r="A758" s="30"/>
      <c r="B758" s="30" t="s">
        <v>3</v>
      </c>
      <c r="C758" s="30"/>
      <c r="D758" s="30"/>
      <c r="E758" s="30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1"/>
    </row>
    <row r="759" spans="1:19" x14ac:dyDescent="0.2">
      <c r="A759" s="30"/>
      <c r="B759" s="30"/>
      <c r="C759" s="30" t="s">
        <v>56</v>
      </c>
      <c r="D759" s="47" t="s">
        <v>232</v>
      </c>
      <c r="E759" s="30"/>
      <c r="F759" s="34">
        <f t="shared" ref="F759:N759" si="488">F732*F746</f>
        <v>10432.5</v>
      </c>
      <c r="G759" s="34">
        <f t="shared" si="488"/>
        <v>10432.5</v>
      </c>
      <c r="H759" s="34">
        <f t="shared" si="488"/>
        <v>10432.5</v>
      </c>
      <c r="I759" s="34">
        <f t="shared" si="488"/>
        <v>10432.5</v>
      </c>
      <c r="J759" s="34">
        <f t="shared" si="488"/>
        <v>10432.5</v>
      </c>
      <c r="K759" s="34">
        <f t="shared" si="488"/>
        <v>10432.5</v>
      </c>
      <c r="L759" s="34">
        <f t="shared" si="488"/>
        <v>10432.5</v>
      </c>
      <c r="M759" s="34">
        <f t="shared" si="488"/>
        <v>10432.5</v>
      </c>
      <c r="N759" s="34">
        <f t="shared" si="488"/>
        <v>10432.5</v>
      </c>
      <c r="O759" s="34">
        <f t="shared" ref="O759:Q759" si="489">O732*O746</f>
        <v>10432.5</v>
      </c>
      <c r="P759" s="34">
        <f t="shared" si="489"/>
        <v>10432.5</v>
      </c>
      <c r="Q759" s="34">
        <f t="shared" si="489"/>
        <v>10432.5</v>
      </c>
      <c r="R759" s="34">
        <f t="shared" ref="R759:R764" si="490">SUM(F759:Q759)</f>
        <v>125190</v>
      </c>
      <c r="S759" s="31"/>
    </row>
    <row r="760" spans="1:19" x14ac:dyDescent="0.2">
      <c r="A760" s="30"/>
      <c r="B760" s="30"/>
      <c r="C760" s="30" t="s">
        <v>57</v>
      </c>
      <c r="D760" s="47" t="s">
        <v>232</v>
      </c>
      <c r="E760" s="30"/>
      <c r="F760" s="34">
        <f t="shared" ref="F760:N760" si="491">F733*F747</f>
        <v>6304.5</v>
      </c>
      <c r="G760" s="34">
        <f t="shared" si="491"/>
        <v>6304.5</v>
      </c>
      <c r="H760" s="34">
        <f t="shared" si="491"/>
        <v>6304.5</v>
      </c>
      <c r="I760" s="34">
        <f t="shared" si="491"/>
        <v>6304.5</v>
      </c>
      <c r="J760" s="34">
        <f t="shared" si="491"/>
        <v>6304.5</v>
      </c>
      <c r="K760" s="34">
        <f t="shared" si="491"/>
        <v>6304.5</v>
      </c>
      <c r="L760" s="34">
        <f t="shared" si="491"/>
        <v>6304.5</v>
      </c>
      <c r="M760" s="34">
        <f t="shared" si="491"/>
        <v>6304.5</v>
      </c>
      <c r="N760" s="34">
        <f t="shared" si="491"/>
        <v>6304.5</v>
      </c>
      <c r="O760" s="34">
        <f t="shared" ref="O760:Q760" si="492">O733*O747</f>
        <v>6304.5</v>
      </c>
      <c r="P760" s="34">
        <f t="shared" si="492"/>
        <v>6304.5</v>
      </c>
      <c r="Q760" s="34">
        <f t="shared" si="492"/>
        <v>6304.5</v>
      </c>
      <c r="R760" s="34">
        <f t="shared" si="490"/>
        <v>75654</v>
      </c>
      <c r="S760" s="31"/>
    </row>
    <row r="761" spans="1:19" x14ac:dyDescent="0.2">
      <c r="A761" s="30"/>
      <c r="B761" s="30"/>
      <c r="C761" s="30" t="s">
        <v>62</v>
      </c>
      <c r="D761" s="47" t="s">
        <v>232</v>
      </c>
      <c r="E761" s="30"/>
      <c r="F761" s="34">
        <f t="shared" ref="F761:N761" si="493">F734*F748</f>
        <v>8023.5</v>
      </c>
      <c r="G761" s="34">
        <f t="shared" si="493"/>
        <v>8023.5</v>
      </c>
      <c r="H761" s="34">
        <f t="shared" si="493"/>
        <v>8023.5</v>
      </c>
      <c r="I761" s="34">
        <f t="shared" si="493"/>
        <v>8023.5</v>
      </c>
      <c r="J761" s="34">
        <f t="shared" si="493"/>
        <v>8023.5</v>
      </c>
      <c r="K761" s="34">
        <f t="shared" si="493"/>
        <v>8023.5</v>
      </c>
      <c r="L761" s="34">
        <f t="shared" si="493"/>
        <v>8023.5</v>
      </c>
      <c r="M761" s="34">
        <f t="shared" si="493"/>
        <v>8023.5</v>
      </c>
      <c r="N761" s="34">
        <f t="shared" si="493"/>
        <v>8023.5</v>
      </c>
      <c r="O761" s="34">
        <f t="shared" ref="O761:Q761" si="494">O734*O748</f>
        <v>8023.5</v>
      </c>
      <c r="P761" s="34">
        <f t="shared" si="494"/>
        <v>8023.5</v>
      </c>
      <c r="Q761" s="34">
        <f t="shared" si="494"/>
        <v>8023.5</v>
      </c>
      <c r="R761" s="34">
        <f t="shared" si="490"/>
        <v>96282</v>
      </c>
      <c r="S761" s="31"/>
    </row>
    <row r="762" spans="1:19" x14ac:dyDescent="0.2">
      <c r="C762" t="s">
        <v>63</v>
      </c>
      <c r="D762" s="47" t="s">
        <v>232</v>
      </c>
      <c r="F762" s="23">
        <f t="shared" ref="F762:N762" si="495">F735*F749</f>
        <v>8384.7629390000002</v>
      </c>
      <c r="G762" s="23">
        <f t="shared" si="495"/>
        <v>8037.8938989999988</v>
      </c>
      <c r="H762" s="23">
        <f t="shared" si="495"/>
        <v>8835.978067</v>
      </c>
      <c r="I762" s="23">
        <f t="shared" si="495"/>
        <v>10290</v>
      </c>
      <c r="J762" s="23">
        <f t="shared" si="495"/>
        <v>10290</v>
      </c>
      <c r="K762" s="23">
        <f t="shared" si="495"/>
        <v>9892.8125169999985</v>
      </c>
      <c r="L762" s="23">
        <f t="shared" si="495"/>
        <v>10290</v>
      </c>
      <c r="M762" s="23">
        <f t="shared" si="495"/>
        <v>9780.0817939999997</v>
      </c>
      <c r="N762" s="23">
        <f t="shared" si="495"/>
        <v>10290</v>
      </c>
      <c r="O762" s="23">
        <f t="shared" ref="O762:Q762" si="496">O735*O749</f>
        <v>10222.893078999999</v>
      </c>
      <c r="P762" s="23">
        <f t="shared" si="496"/>
        <v>10161.912137999998</v>
      </c>
      <c r="Q762" s="23">
        <f t="shared" si="496"/>
        <v>9388.7870509999993</v>
      </c>
      <c r="R762" s="23">
        <f t="shared" si="490"/>
        <v>115865.121484</v>
      </c>
      <c r="S762" s="31"/>
    </row>
    <row r="763" spans="1:19" x14ac:dyDescent="0.2">
      <c r="C763" t="s">
        <v>64</v>
      </c>
      <c r="D763" s="47" t="s">
        <v>232</v>
      </c>
      <c r="F763" s="23">
        <f t="shared" ref="F763:N763" si="497">F736*F750</f>
        <v>7404</v>
      </c>
      <c r="G763" s="23">
        <f t="shared" si="497"/>
        <v>7799.9192747999996</v>
      </c>
      <c r="H763" s="23">
        <f t="shared" si="497"/>
        <v>7423.4118071999992</v>
      </c>
      <c r="I763" s="23">
        <f t="shared" si="497"/>
        <v>8353.5479452</v>
      </c>
      <c r="J763" s="23">
        <f t="shared" si="497"/>
        <v>9366.6861315999995</v>
      </c>
      <c r="K763" s="23">
        <f t="shared" si="497"/>
        <v>10893.189296</v>
      </c>
      <c r="L763" s="23">
        <f t="shared" si="497"/>
        <v>9881.4334364000006</v>
      </c>
      <c r="M763" s="23">
        <f t="shared" si="497"/>
        <v>10268.687563199999</v>
      </c>
      <c r="N763" s="23">
        <f t="shared" si="497"/>
        <v>9960.6288416000007</v>
      </c>
      <c r="O763" s="23">
        <f t="shared" ref="O763:Q763" si="498">O736*O750</f>
        <v>8734.0622108000007</v>
      </c>
      <c r="P763" s="23">
        <f t="shared" si="498"/>
        <v>7625.0708531999999</v>
      </c>
      <c r="Q763" s="23">
        <f t="shared" si="498"/>
        <v>7531.4524560000009</v>
      </c>
      <c r="R763" s="23">
        <f t="shared" si="490"/>
        <v>105242.08981599999</v>
      </c>
      <c r="S763" s="31"/>
    </row>
    <row r="764" spans="1:19" x14ac:dyDescent="0.2">
      <c r="C764" t="s">
        <v>65</v>
      </c>
      <c r="D764" s="47" t="s">
        <v>232</v>
      </c>
      <c r="F764" s="23">
        <f t="shared" ref="F764:N764" si="499">F737*F751</f>
        <v>4561.0624443999995</v>
      </c>
      <c r="G764" s="23">
        <f t="shared" si="499"/>
        <v>4298.4718513000007</v>
      </c>
      <c r="H764" s="23">
        <f t="shared" si="499"/>
        <v>4680.0848181999982</v>
      </c>
      <c r="I764" s="23">
        <f t="shared" si="499"/>
        <v>10533.916248899999</v>
      </c>
      <c r="J764" s="23">
        <f t="shared" si="499"/>
        <v>16455.806000699999</v>
      </c>
      <c r="K764" s="23">
        <f t="shared" si="499"/>
        <v>19925.956187500004</v>
      </c>
      <c r="L764" s="23">
        <f t="shared" si="499"/>
        <v>21293.326199200001</v>
      </c>
      <c r="M764" s="23">
        <f t="shared" si="499"/>
        <v>16554.237533899999</v>
      </c>
      <c r="N764" s="23">
        <f t="shared" si="499"/>
        <v>16301.108085899998</v>
      </c>
      <c r="O764" s="23">
        <f t="shared" ref="O764:Q764" si="500">O737*O751</f>
        <v>13036.9970412</v>
      </c>
      <c r="P764" s="23">
        <f t="shared" si="500"/>
        <v>9192.4928809999983</v>
      </c>
      <c r="Q764" s="23">
        <f t="shared" si="500"/>
        <v>5977.2883653999979</v>
      </c>
      <c r="R764" s="23">
        <f t="shared" si="490"/>
        <v>142810.74765759998</v>
      </c>
      <c r="S764" s="31"/>
    </row>
    <row r="765" spans="1:19" x14ac:dyDescent="0.2">
      <c r="A765" t="s">
        <v>147</v>
      </c>
      <c r="C765" t="s">
        <v>26</v>
      </c>
      <c r="F765" s="24">
        <f t="shared" ref="F765:N765" si="501">SUM(F759:F764)</f>
        <v>45110.325383399999</v>
      </c>
      <c r="G765" s="24">
        <f t="shared" si="501"/>
        <v>44896.785025100005</v>
      </c>
      <c r="H765" s="24">
        <f t="shared" si="501"/>
        <v>45699.974692399999</v>
      </c>
      <c r="I765" s="24">
        <f t="shared" si="501"/>
        <v>53937.964194100001</v>
      </c>
      <c r="J765" s="24">
        <f t="shared" si="501"/>
        <v>60872.992132300002</v>
      </c>
      <c r="K765" s="24">
        <f t="shared" si="501"/>
        <v>65472.458000500003</v>
      </c>
      <c r="L765" s="24">
        <f t="shared" si="501"/>
        <v>66225.259635599999</v>
      </c>
      <c r="M765" s="24">
        <f t="shared" si="501"/>
        <v>61363.506891099998</v>
      </c>
      <c r="N765" s="24">
        <f t="shared" si="501"/>
        <v>61312.236927500002</v>
      </c>
      <c r="O765" s="24">
        <f t="shared" ref="O765:Q765" si="502">SUM(O759:O764)</f>
        <v>56754.452331000008</v>
      </c>
      <c r="P765" s="24">
        <f t="shared" si="502"/>
        <v>51739.975872199997</v>
      </c>
      <c r="Q765" s="24">
        <f t="shared" si="502"/>
        <v>47658.027872399995</v>
      </c>
      <c r="R765" s="24">
        <f>SUM(R759:R764)</f>
        <v>661043.95895759994</v>
      </c>
      <c r="S765" s="31"/>
    </row>
    <row r="766" spans="1:19" x14ac:dyDescent="0.2">
      <c r="A766" s="50" t="s">
        <v>130</v>
      </c>
      <c r="B766" s="30" t="s">
        <v>301</v>
      </c>
      <c r="C766" s="50"/>
      <c r="D766" s="121" t="s">
        <v>232</v>
      </c>
      <c r="E766" s="50"/>
      <c r="F766" s="40">
        <f t="shared" ref="F766:N766" si="503">F738*F752</f>
        <v>758.89184699999998</v>
      </c>
      <c r="G766" s="40">
        <f t="shared" si="503"/>
        <v>753.38322500000004</v>
      </c>
      <c r="H766" s="40">
        <f t="shared" si="503"/>
        <v>773.02901899999995</v>
      </c>
      <c r="I766" s="40">
        <f t="shared" si="503"/>
        <v>1044.411914</v>
      </c>
      <c r="J766" s="40">
        <f t="shared" si="503"/>
        <v>1290.9785420000001</v>
      </c>
      <c r="K766" s="40">
        <f t="shared" si="503"/>
        <v>1453.8150480000002</v>
      </c>
      <c r="L766" s="40">
        <f t="shared" si="503"/>
        <v>1483.5218090000001</v>
      </c>
      <c r="M766" s="40">
        <f t="shared" si="503"/>
        <v>1309.7762650000002</v>
      </c>
      <c r="N766" s="40">
        <f t="shared" si="503"/>
        <v>1302.134155</v>
      </c>
      <c r="O766" s="40">
        <f t="shared" ref="O766:Q766" si="504">O738*O752</f>
        <v>1145.908316</v>
      </c>
      <c r="P766" s="40">
        <f t="shared" si="504"/>
        <v>971.79309499999988</v>
      </c>
      <c r="Q766" s="40">
        <f t="shared" si="504"/>
        <v>835.09156499999995</v>
      </c>
      <c r="R766" s="40">
        <f>SUM(F766:Q766)</f>
        <v>13122.734799999998</v>
      </c>
      <c r="S766" s="31"/>
    </row>
    <row r="767" spans="1:19" x14ac:dyDescent="0.2">
      <c r="A767" s="50" t="s">
        <v>551</v>
      </c>
      <c r="B767" s="30" t="s">
        <v>552</v>
      </c>
      <c r="C767" s="50"/>
      <c r="D767" s="121">
        <v>149</v>
      </c>
      <c r="E767" s="50"/>
      <c r="F767" s="40">
        <f>F739*F752</f>
        <v>2189.9450442000002</v>
      </c>
      <c r="G767" s="40">
        <f t="shared" ref="G767:Q767" si="505">G739*G752</f>
        <v>2174.0487350000003</v>
      </c>
      <c r="H767" s="40">
        <f t="shared" si="505"/>
        <v>2230.7408833999998</v>
      </c>
      <c r="I767" s="40">
        <f t="shared" si="505"/>
        <v>3013.8743804000001</v>
      </c>
      <c r="J767" s="40">
        <f t="shared" si="505"/>
        <v>3725.3952212000004</v>
      </c>
      <c r="K767" s="40">
        <f t="shared" si="505"/>
        <v>4195.2948528000006</v>
      </c>
      <c r="L767" s="40">
        <f t="shared" si="505"/>
        <v>4281.0200774000004</v>
      </c>
      <c r="M767" s="40">
        <f t="shared" si="505"/>
        <v>3779.6400790000007</v>
      </c>
      <c r="N767" s="40">
        <f t="shared" si="505"/>
        <v>3757.587133</v>
      </c>
      <c r="O767" s="40">
        <f t="shared" si="505"/>
        <v>3306.7639976000005</v>
      </c>
      <c r="P767" s="40">
        <f t="shared" si="505"/>
        <v>2804.3172169999998</v>
      </c>
      <c r="Q767" s="40">
        <f t="shared" si="505"/>
        <v>2409.8356589999999</v>
      </c>
      <c r="R767" s="40">
        <f>SUM(F767:Q767)</f>
        <v>37868.463280000004</v>
      </c>
      <c r="S767" s="31"/>
    </row>
    <row r="768" spans="1:19" x14ac:dyDescent="0.2">
      <c r="A768" t="s">
        <v>147</v>
      </c>
      <c r="B768" t="s">
        <v>19</v>
      </c>
      <c r="D768" s="47" t="s">
        <v>232</v>
      </c>
      <c r="F768" s="23">
        <f t="shared" ref="F768:N768" si="506">F740*F753</f>
        <v>5.52</v>
      </c>
      <c r="G768" s="23">
        <f t="shared" si="506"/>
        <v>5.52</v>
      </c>
      <c r="H768" s="23">
        <f t="shared" si="506"/>
        <v>5.52</v>
      </c>
      <c r="I768" s="23">
        <f t="shared" si="506"/>
        <v>5.52</v>
      </c>
      <c r="J768" s="23">
        <f t="shared" si="506"/>
        <v>8.2799999999999994</v>
      </c>
      <c r="K768" s="23">
        <f t="shared" si="506"/>
        <v>8.2799999999999994</v>
      </c>
      <c r="L768" s="23">
        <f t="shared" si="506"/>
        <v>5.52</v>
      </c>
      <c r="M768" s="23">
        <f t="shared" si="506"/>
        <v>5.52</v>
      </c>
      <c r="N768" s="23">
        <f t="shared" si="506"/>
        <v>5.52</v>
      </c>
      <c r="O768" s="23">
        <f t="shared" ref="O768:Q768" si="507">O740*O753</f>
        <v>5.52</v>
      </c>
      <c r="P768" s="23">
        <f t="shared" si="507"/>
        <v>5.52</v>
      </c>
      <c r="Q768" s="23">
        <f t="shared" si="507"/>
        <v>5.52</v>
      </c>
      <c r="R768" s="23">
        <f>SUM(F768:Q768)</f>
        <v>71.759999999999977</v>
      </c>
      <c r="S768" s="31"/>
    </row>
    <row r="769" spans="1:19" x14ac:dyDescent="0.2">
      <c r="A769" s="30" t="s">
        <v>147</v>
      </c>
      <c r="B769" s="30" t="s">
        <v>21</v>
      </c>
      <c r="C769" s="30"/>
      <c r="D769" s="47" t="s">
        <v>232</v>
      </c>
      <c r="E769" s="30"/>
      <c r="F769" s="74">
        <f>'(R) Data'!C67</f>
        <v>0</v>
      </c>
      <c r="G769" s="74">
        <f>'(R) Data'!D67</f>
        <v>0</v>
      </c>
      <c r="H769" s="74">
        <f>'(R) Data'!E67</f>
        <v>0</v>
      </c>
      <c r="I769" s="74">
        <f>'(R) Data'!F67</f>
        <v>0</v>
      </c>
      <c r="J769" s="74">
        <f>'(R) Data'!G67</f>
        <v>0</v>
      </c>
      <c r="K769" s="74">
        <f>'(R) Data'!H67</f>
        <v>0</v>
      </c>
      <c r="L769" s="74">
        <f>'(R) Data'!I67</f>
        <v>0</v>
      </c>
      <c r="M769" s="74">
        <f>'(R) Data'!J67</f>
        <v>0</v>
      </c>
      <c r="N769" s="74">
        <f>'(R) Data'!K67</f>
        <v>0</v>
      </c>
      <c r="O769" s="74">
        <f>'(R) Data'!L67</f>
        <v>0</v>
      </c>
      <c r="P769" s="74">
        <f>'(R) Data'!M67</f>
        <v>0</v>
      </c>
      <c r="Q769" s="74">
        <f>'(R) Data'!N67</f>
        <v>0</v>
      </c>
      <c r="R769" s="70">
        <f>SUM(F769:Q769)</f>
        <v>0</v>
      </c>
      <c r="S769" s="31"/>
    </row>
    <row r="770" spans="1:19" x14ac:dyDescent="0.2">
      <c r="A770" s="30"/>
      <c r="B770" s="30" t="s">
        <v>24</v>
      </c>
      <c r="C770" s="30"/>
      <c r="D770" s="30"/>
      <c r="E770" s="30"/>
      <c r="F770" s="35">
        <f>F757+F765+F766+F767+F768+F769</f>
        <v>50740.172274599994</v>
      </c>
      <c r="G770" s="35">
        <f t="shared" ref="G770:R770" si="508">G757+G765+G766+G767+G768+G769</f>
        <v>50505.226985099995</v>
      </c>
      <c r="H770" s="35">
        <f t="shared" si="508"/>
        <v>51384.754594799997</v>
      </c>
      <c r="I770" s="35">
        <f t="shared" si="508"/>
        <v>60677.260488499989</v>
      </c>
      <c r="J770" s="35">
        <f t="shared" si="508"/>
        <v>68573.135895499989</v>
      </c>
      <c r="K770" s="35">
        <f t="shared" si="508"/>
        <v>73805.349308989564</v>
      </c>
      <c r="L770" s="35">
        <f t="shared" si="508"/>
        <v>74670.811522000004</v>
      </c>
      <c r="M770" s="35">
        <f t="shared" si="508"/>
        <v>69133.933235100005</v>
      </c>
      <c r="N770" s="35">
        <f t="shared" si="508"/>
        <v>69052.968215500005</v>
      </c>
      <c r="O770" s="35">
        <f t="shared" si="508"/>
        <v>63888.134644600003</v>
      </c>
      <c r="P770" s="35">
        <f t="shared" si="508"/>
        <v>58197.096184199989</v>
      </c>
      <c r="Q770" s="35">
        <f t="shared" si="508"/>
        <v>53583.965096399988</v>
      </c>
      <c r="R770" s="35">
        <f t="shared" si="508"/>
        <v>744212.8084452895</v>
      </c>
      <c r="S770" s="31"/>
    </row>
    <row r="771" spans="1:19" x14ac:dyDescent="0.2">
      <c r="F771" s="50"/>
      <c r="G771" s="50"/>
      <c r="S771" s="31"/>
    </row>
    <row r="772" spans="1:19" x14ac:dyDescent="0.2">
      <c r="A772" t="s">
        <v>305</v>
      </c>
      <c r="B772" t="s">
        <v>304</v>
      </c>
      <c r="F772" s="40">
        <f t="shared" ref="F772:N772" si="509">F766</f>
        <v>758.89184699999998</v>
      </c>
      <c r="G772" s="40">
        <f t="shared" si="509"/>
        <v>753.38322500000004</v>
      </c>
      <c r="H772" s="40">
        <f t="shared" si="509"/>
        <v>773.02901899999995</v>
      </c>
      <c r="I772" s="40">
        <f t="shared" si="509"/>
        <v>1044.411914</v>
      </c>
      <c r="J772" s="40">
        <f t="shared" si="509"/>
        <v>1290.9785420000001</v>
      </c>
      <c r="K772" s="40">
        <f t="shared" si="509"/>
        <v>1453.8150480000002</v>
      </c>
      <c r="L772" s="40">
        <f t="shared" si="509"/>
        <v>1483.5218090000001</v>
      </c>
      <c r="M772" s="40">
        <f t="shared" si="509"/>
        <v>1309.7762650000002</v>
      </c>
      <c r="N772" s="40">
        <f t="shared" si="509"/>
        <v>1302.134155</v>
      </c>
      <c r="O772" s="40">
        <f t="shared" ref="O772:Q772" si="510">O766</f>
        <v>1145.908316</v>
      </c>
      <c r="P772" s="40">
        <f t="shared" si="510"/>
        <v>971.79309499999988</v>
      </c>
      <c r="Q772" s="40">
        <f t="shared" si="510"/>
        <v>835.09156499999995</v>
      </c>
      <c r="R772" s="23">
        <f>SUM(F772:Q772)</f>
        <v>13122.734799999998</v>
      </c>
      <c r="S772" s="31"/>
    </row>
    <row r="773" spans="1:19" x14ac:dyDescent="0.2">
      <c r="S773" s="31"/>
    </row>
    <row r="774" spans="1:19" x14ac:dyDescent="0.2">
      <c r="B774" s="15" t="s">
        <v>234</v>
      </c>
      <c r="C774" s="15"/>
      <c r="F774" s="50"/>
      <c r="G774" s="50"/>
      <c r="S774" s="31"/>
    </row>
    <row r="775" spans="1:19" x14ac:dyDescent="0.2">
      <c r="B775" s="15" t="s">
        <v>7</v>
      </c>
      <c r="C775" s="15"/>
      <c r="F775" s="50"/>
      <c r="G775" s="50"/>
      <c r="S775" s="31"/>
    </row>
    <row r="776" spans="1:19" x14ac:dyDescent="0.2">
      <c r="B776" t="s">
        <v>282</v>
      </c>
      <c r="D776" s="21" t="s">
        <v>232</v>
      </c>
      <c r="E776" t="s">
        <v>5</v>
      </c>
      <c r="F776" s="17">
        <f t="shared" ref="F776:Q776" si="511">F730</f>
        <v>891.83</v>
      </c>
      <c r="G776" s="17">
        <f t="shared" si="511"/>
        <v>891.83</v>
      </c>
      <c r="H776" s="17">
        <f t="shared" si="511"/>
        <v>891.83</v>
      </c>
      <c r="I776" s="17">
        <f t="shared" si="511"/>
        <v>891.83</v>
      </c>
      <c r="J776" s="113">
        <f t="shared" si="511"/>
        <v>891.83</v>
      </c>
      <c r="K776" s="113">
        <f t="shared" si="511"/>
        <v>891.83</v>
      </c>
      <c r="L776" s="113">
        <f t="shared" si="511"/>
        <v>891.83</v>
      </c>
      <c r="M776" s="113">
        <f t="shared" si="511"/>
        <v>891.83</v>
      </c>
      <c r="N776" s="113">
        <f t="shared" si="511"/>
        <v>891.83</v>
      </c>
      <c r="O776" s="113">
        <f t="shared" si="511"/>
        <v>891.83</v>
      </c>
      <c r="P776" s="113">
        <f t="shared" si="511"/>
        <v>891.83</v>
      </c>
      <c r="Q776" s="113">
        <f t="shared" si="511"/>
        <v>891.83</v>
      </c>
      <c r="S776" s="31"/>
    </row>
    <row r="777" spans="1:19" x14ac:dyDescent="0.2">
      <c r="B777" t="s">
        <v>3</v>
      </c>
      <c r="F777" s="18"/>
      <c r="G777" s="18"/>
      <c r="H777" s="18"/>
      <c r="I777" s="18"/>
      <c r="J777" s="103"/>
      <c r="K777" s="103"/>
      <c r="L777" s="103"/>
      <c r="M777" s="103"/>
      <c r="N777" s="103"/>
      <c r="O777" s="103"/>
      <c r="P777" s="103"/>
      <c r="Q777" s="103"/>
      <c r="S777" s="31"/>
    </row>
    <row r="778" spans="1:19" x14ac:dyDescent="0.2">
      <c r="C778" t="s">
        <v>56</v>
      </c>
      <c r="D778" s="21" t="s">
        <v>232</v>
      </c>
      <c r="E778" t="s">
        <v>6</v>
      </c>
      <c r="F778" s="18">
        <f t="shared" ref="F778:Q778" si="512">F732</f>
        <v>0.1391</v>
      </c>
      <c r="G778" s="18">
        <f t="shared" si="512"/>
        <v>0.1391</v>
      </c>
      <c r="H778" s="18">
        <f t="shared" si="512"/>
        <v>0.1391</v>
      </c>
      <c r="I778" s="18">
        <f t="shared" si="512"/>
        <v>0.1391</v>
      </c>
      <c r="J778" s="103">
        <f t="shared" si="512"/>
        <v>0.1391</v>
      </c>
      <c r="K778" s="103">
        <f t="shared" si="512"/>
        <v>0.1391</v>
      </c>
      <c r="L778" s="103">
        <f t="shared" si="512"/>
        <v>0.1391</v>
      </c>
      <c r="M778" s="103">
        <f t="shared" si="512"/>
        <v>0.1391</v>
      </c>
      <c r="N778" s="103">
        <f t="shared" si="512"/>
        <v>0.1391</v>
      </c>
      <c r="O778" s="103">
        <f t="shared" si="512"/>
        <v>0.1391</v>
      </c>
      <c r="P778" s="103">
        <f t="shared" si="512"/>
        <v>0.1391</v>
      </c>
      <c r="Q778" s="103">
        <f t="shared" si="512"/>
        <v>0.1391</v>
      </c>
      <c r="S778" s="31"/>
    </row>
    <row r="779" spans="1:19" s="30" customFormat="1" x14ac:dyDescent="0.2">
      <c r="A779"/>
      <c r="B779"/>
      <c r="C779" t="s">
        <v>57</v>
      </c>
      <c r="D779" s="21" t="s">
        <v>232</v>
      </c>
      <c r="E779" t="s">
        <v>6</v>
      </c>
      <c r="F779" s="18">
        <f t="shared" ref="F779:Q779" si="513">F733</f>
        <v>8.4059999999999996E-2</v>
      </c>
      <c r="G779" s="18">
        <f t="shared" si="513"/>
        <v>8.4059999999999996E-2</v>
      </c>
      <c r="H779" s="18">
        <f t="shared" si="513"/>
        <v>8.4059999999999996E-2</v>
      </c>
      <c r="I779" s="18">
        <f t="shared" si="513"/>
        <v>8.4059999999999996E-2</v>
      </c>
      <c r="J779" s="103">
        <f t="shared" si="513"/>
        <v>8.4059999999999996E-2</v>
      </c>
      <c r="K779" s="103">
        <f t="shared" si="513"/>
        <v>8.4059999999999996E-2</v>
      </c>
      <c r="L779" s="103">
        <f t="shared" si="513"/>
        <v>8.4059999999999996E-2</v>
      </c>
      <c r="M779" s="103">
        <f t="shared" si="513"/>
        <v>8.4059999999999996E-2</v>
      </c>
      <c r="N779" s="103">
        <f t="shared" si="513"/>
        <v>8.4059999999999996E-2</v>
      </c>
      <c r="O779" s="103">
        <f t="shared" si="513"/>
        <v>8.4059999999999996E-2</v>
      </c>
      <c r="P779" s="103">
        <f t="shared" si="513"/>
        <v>8.4059999999999996E-2</v>
      </c>
      <c r="Q779" s="103">
        <f t="shared" si="513"/>
        <v>8.4059999999999996E-2</v>
      </c>
      <c r="R779"/>
      <c r="S779" s="31"/>
    </row>
    <row r="780" spans="1:19" s="30" customFormat="1" x14ac:dyDescent="0.2">
      <c r="A780"/>
      <c r="B780"/>
      <c r="C780" t="s">
        <v>62</v>
      </c>
      <c r="D780" s="21" t="s">
        <v>232</v>
      </c>
      <c r="E780" t="s">
        <v>6</v>
      </c>
      <c r="F780" s="18">
        <f t="shared" ref="F780:Q780" si="514">F734</f>
        <v>5.3490000000000003E-2</v>
      </c>
      <c r="G780" s="18">
        <f t="shared" si="514"/>
        <v>5.3490000000000003E-2</v>
      </c>
      <c r="H780" s="18">
        <f t="shared" si="514"/>
        <v>5.3490000000000003E-2</v>
      </c>
      <c r="I780" s="18">
        <f t="shared" si="514"/>
        <v>5.3490000000000003E-2</v>
      </c>
      <c r="J780" s="103">
        <f t="shared" si="514"/>
        <v>5.3490000000000003E-2</v>
      </c>
      <c r="K780" s="103">
        <f t="shared" si="514"/>
        <v>5.3490000000000003E-2</v>
      </c>
      <c r="L780" s="103">
        <f t="shared" si="514"/>
        <v>5.3490000000000003E-2</v>
      </c>
      <c r="M780" s="103">
        <f t="shared" si="514"/>
        <v>5.3490000000000003E-2</v>
      </c>
      <c r="N780" s="103">
        <f t="shared" si="514"/>
        <v>5.3490000000000003E-2</v>
      </c>
      <c r="O780" s="103">
        <f t="shared" si="514"/>
        <v>5.3490000000000003E-2</v>
      </c>
      <c r="P780" s="103">
        <f t="shared" si="514"/>
        <v>5.3490000000000003E-2</v>
      </c>
      <c r="Q780" s="103">
        <f t="shared" si="514"/>
        <v>5.3490000000000003E-2</v>
      </c>
      <c r="R780"/>
      <c r="S780" s="31"/>
    </row>
    <row r="781" spans="1:19" s="30" customFormat="1" x14ac:dyDescent="0.2">
      <c r="A781"/>
      <c r="B781"/>
      <c r="C781" t="s">
        <v>63</v>
      </c>
      <c r="D781" s="21" t="s">
        <v>232</v>
      </c>
      <c r="E781" t="s">
        <v>6</v>
      </c>
      <c r="F781" s="18">
        <f t="shared" ref="F781:Q781" si="515">F735</f>
        <v>3.4299999999999997E-2</v>
      </c>
      <c r="G781" s="18">
        <f t="shared" si="515"/>
        <v>3.4299999999999997E-2</v>
      </c>
      <c r="H781" s="18">
        <f t="shared" si="515"/>
        <v>3.4299999999999997E-2</v>
      </c>
      <c r="I781" s="18">
        <f t="shared" si="515"/>
        <v>3.4299999999999997E-2</v>
      </c>
      <c r="J781" s="103">
        <f t="shared" si="515"/>
        <v>3.4299999999999997E-2</v>
      </c>
      <c r="K781" s="103">
        <f t="shared" si="515"/>
        <v>3.4299999999999997E-2</v>
      </c>
      <c r="L781" s="103">
        <f t="shared" si="515"/>
        <v>3.4299999999999997E-2</v>
      </c>
      <c r="M781" s="103">
        <f t="shared" si="515"/>
        <v>3.4299999999999997E-2</v>
      </c>
      <c r="N781" s="103">
        <f t="shared" si="515"/>
        <v>3.4299999999999997E-2</v>
      </c>
      <c r="O781" s="103">
        <f t="shared" si="515"/>
        <v>3.4299999999999997E-2</v>
      </c>
      <c r="P781" s="103">
        <f t="shared" si="515"/>
        <v>3.4299999999999997E-2</v>
      </c>
      <c r="Q781" s="103">
        <f t="shared" si="515"/>
        <v>3.4299999999999997E-2</v>
      </c>
      <c r="R781"/>
      <c r="S781" s="31"/>
    </row>
    <row r="782" spans="1:19" s="30" customFormat="1" x14ac:dyDescent="0.2">
      <c r="A782"/>
      <c r="B782"/>
      <c r="C782" t="s">
        <v>64</v>
      </c>
      <c r="D782" s="21" t="s">
        <v>232</v>
      </c>
      <c r="E782" t="s">
        <v>6</v>
      </c>
      <c r="F782" s="18">
        <f t="shared" ref="F782:Q782" si="516">F736</f>
        <v>2.4680000000000001E-2</v>
      </c>
      <c r="G782" s="18">
        <f t="shared" si="516"/>
        <v>2.4680000000000001E-2</v>
      </c>
      <c r="H782" s="18">
        <f t="shared" si="516"/>
        <v>2.4680000000000001E-2</v>
      </c>
      <c r="I782" s="18">
        <f t="shared" si="516"/>
        <v>2.4680000000000001E-2</v>
      </c>
      <c r="J782" s="103">
        <f t="shared" si="516"/>
        <v>2.4680000000000001E-2</v>
      </c>
      <c r="K782" s="103">
        <f t="shared" si="516"/>
        <v>2.4680000000000001E-2</v>
      </c>
      <c r="L782" s="103">
        <f t="shared" si="516"/>
        <v>2.4680000000000001E-2</v>
      </c>
      <c r="M782" s="103">
        <f t="shared" si="516"/>
        <v>2.4680000000000001E-2</v>
      </c>
      <c r="N782" s="103">
        <f t="shared" si="516"/>
        <v>2.4680000000000001E-2</v>
      </c>
      <c r="O782" s="103">
        <f t="shared" si="516"/>
        <v>2.4680000000000001E-2</v>
      </c>
      <c r="P782" s="103">
        <f t="shared" si="516"/>
        <v>2.4680000000000001E-2</v>
      </c>
      <c r="Q782" s="103">
        <f t="shared" si="516"/>
        <v>2.4680000000000001E-2</v>
      </c>
      <c r="R782"/>
      <c r="S782" s="31"/>
    </row>
    <row r="783" spans="1:19" s="30" customFormat="1" x14ac:dyDescent="0.2">
      <c r="A783"/>
      <c r="B783"/>
      <c r="C783" t="s">
        <v>65</v>
      </c>
      <c r="D783" s="21" t="s">
        <v>232</v>
      </c>
      <c r="E783" t="s">
        <v>6</v>
      </c>
      <c r="F783" s="18">
        <f t="shared" ref="F783:Q783" si="517">F737</f>
        <v>1.9029999999999998E-2</v>
      </c>
      <c r="G783" s="18">
        <f t="shared" si="517"/>
        <v>1.9029999999999998E-2</v>
      </c>
      <c r="H783" s="18">
        <f t="shared" si="517"/>
        <v>1.9029999999999998E-2</v>
      </c>
      <c r="I783" s="18">
        <f t="shared" si="517"/>
        <v>1.9029999999999998E-2</v>
      </c>
      <c r="J783" s="103">
        <f t="shared" si="517"/>
        <v>1.9029999999999998E-2</v>
      </c>
      <c r="K783" s="103">
        <f t="shared" si="517"/>
        <v>1.9029999999999998E-2</v>
      </c>
      <c r="L783" s="103">
        <f t="shared" si="517"/>
        <v>1.9029999999999998E-2</v>
      </c>
      <c r="M783" s="103">
        <f t="shared" si="517"/>
        <v>1.9029999999999998E-2</v>
      </c>
      <c r="N783" s="103">
        <f t="shared" si="517"/>
        <v>1.9029999999999998E-2</v>
      </c>
      <c r="O783" s="103">
        <f t="shared" si="517"/>
        <v>1.9029999999999998E-2</v>
      </c>
      <c r="P783" s="103">
        <f t="shared" si="517"/>
        <v>1.9029999999999998E-2</v>
      </c>
      <c r="Q783" s="103">
        <f t="shared" si="517"/>
        <v>1.9029999999999998E-2</v>
      </c>
      <c r="R783"/>
      <c r="S783" s="31"/>
    </row>
    <row r="784" spans="1:19" s="30" customFormat="1" x14ac:dyDescent="0.2">
      <c r="A784"/>
      <c r="B784" s="30" t="s">
        <v>301</v>
      </c>
      <c r="C784"/>
      <c r="D784" s="47" t="s">
        <v>232</v>
      </c>
      <c r="E784" s="30" t="s">
        <v>6</v>
      </c>
      <c r="F784" s="18">
        <f t="shared" ref="F784:Q784" si="518">F738</f>
        <v>6.9999999999999999E-4</v>
      </c>
      <c r="G784" s="18">
        <f t="shared" si="518"/>
        <v>6.9999999999999999E-4</v>
      </c>
      <c r="H784" s="18">
        <f t="shared" si="518"/>
        <v>6.9999999999999999E-4</v>
      </c>
      <c r="I784" s="18">
        <f t="shared" si="518"/>
        <v>6.9999999999999999E-4</v>
      </c>
      <c r="J784" s="103">
        <f t="shared" si="518"/>
        <v>6.9999999999999999E-4</v>
      </c>
      <c r="K784" s="103">
        <f t="shared" si="518"/>
        <v>6.9999999999999999E-4</v>
      </c>
      <c r="L784" s="103">
        <f t="shared" si="518"/>
        <v>6.9999999999999999E-4</v>
      </c>
      <c r="M784" s="103">
        <f t="shared" si="518"/>
        <v>6.9999999999999999E-4</v>
      </c>
      <c r="N784" s="103">
        <f t="shared" si="518"/>
        <v>6.9999999999999999E-4</v>
      </c>
      <c r="O784" s="103">
        <f t="shared" si="518"/>
        <v>6.9999999999999999E-4</v>
      </c>
      <c r="P784" s="103">
        <f t="shared" si="518"/>
        <v>6.9999999999999999E-4</v>
      </c>
      <c r="Q784" s="103">
        <f t="shared" si="518"/>
        <v>6.9999999999999999E-4</v>
      </c>
      <c r="R784"/>
      <c r="S784" s="31"/>
    </row>
    <row r="785" spans="1:19" s="30" customFormat="1" x14ac:dyDescent="0.2">
      <c r="A785"/>
      <c r="B785" s="30" t="s">
        <v>550</v>
      </c>
      <c r="C785"/>
      <c r="D785" s="47">
        <v>149</v>
      </c>
      <c r="E785" s="30" t="s">
        <v>6</v>
      </c>
      <c r="F785" s="18">
        <f>F628</f>
        <v>2.0200000000000001E-3</v>
      </c>
      <c r="G785" s="18">
        <f t="shared" ref="G785:Q785" si="519">G628</f>
        <v>2.0200000000000001E-3</v>
      </c>
      <c r="H785" s="18">
        <f t="shared" si="519"/>
        <v>2.0200000000000001E-3</v>
      </c>
      <c r="I785" s="18">
        <f t="shared" si="519"/>
        <v>2.0200000000000001E-3</v>
      </c>
      <c r="J785" s="18">
        <f t="shared" si="519"/>
        <v>2.0200000000000001E-3</v>
      </c>
      <c r="K785" s="18">
        <f t="shared" si="519"/>
        <v>2.0200000000000001E-3</v>
      </c>
      <c r="L785" s="18">
        <f t="shared" si="519"/>
        <v>2.0200000000000001E-3</v>
      </c>
      <c r="M785" s="18">
        <f t="shared" si="519"/>
        <v>2.0200000000000001E-3</v>
      </c>
      <c r="N785" s="18">
        <f t="shared" si="519"/>
        <v>2.0200000000000001E-3</v>
      </c>
      <c r="O785" s="18">
        <f t="shared" si="519"/>
        <v>2.0200000000000001E-3</v>
      </c>
      <c r="P785" s="18">
        <f t="shared" si="519"/>
        <v>2.0200000000000001E-3</v>
      </c>
      <c r="Q785" s="18">
        <f t="shared" si="519"/>
        <v>2.0200000000000001E-3</v>
      </c>
      <c r="R785"/>
      <c r="S785" s="31"/>
    </row>
    <row r="786" spans="1:19" s="30" customFormat="1" x14ac:dyDescent="0.2">
      <c r="A786"/>
      <c r="B786" t="s">
        <v>19</v>
      </c>
      <c r="C786"/>
      <c r="D786" s="21" t="s">
        <v>232</v>
      </c>
      <c r="E786" t="s">
        <v>6</v>
      </c>
      <c r="F786" s="17">
        <f t="shared" ref="F786:Q786" si="520">F740</f>
        <v>1.38</v>
      </c>
      <c r="G786" s="17">
        <f t="shared" si="520"/>
        <v>1.38</v>
      </c>
      <c r="H786" s="17">
        <f t="shared" si="520"/>
        <v>1.38</v>
      </c>
      <c r="I786" s="17">
        <f t="shared" si="520"/>
        <v>1.38</v>
      </c>
      <c r="J786" s="113">
        <f t="shared" si="520"/>
        <v>1.38</v>
      </c>
      <c r="K786" s="113">
        <f t="shared" si="520"/>
        <v>1.38</v>
      </c>
      <c r="L786" s="113">
        <f t="shared" si="520"/>
        <v>1.38</v>
      </c>
      <c r="M786" s="113">
        <f t="shared" si="520"/>
        <v>1.38</v>
      </c>
      <c r="N786" s="113">
        <f t="shared" si="520"/>
        <v>1.38</v>
      </c>
      <c r="O786" s="113">
        <f t="shared" si="520"/>
        <v>1.38</v>
      </c>
      <c r="P786" s="113">
        <f t="shared" si="520"/>
        <v>1.38</v>
      </c>
      <c r="Q786" s="113">
        <f t="shared" si="520"/>
        <v>1.38</v>
      </c>
      <c r="R786"/>
      <c r="S786" s="31"/>
    </row>
    <row r="787" spans="1:19" s="30" customFormat="1" x14ac:dyDescent="0.2">
      <c r="B787" s="30" t="s">
        <v>21</v>
      </c>
      <c r="D787" s="21" t="s">
        <v>232</v>
      </c>
      <c r="E787" s="30" t="s">
        <v>22</v>
      </c>
      <c r="F787" s="48"/>
      <c r="G787" s="48"/>
      <c r="H787" s="48"/>
      <c r="I787" s="48"/>
      <c r="S787" s="31"/>
    </row>
    <row r="788" spans="1:19" s="30" customFormat="1" x14ac:dyDescent="0.2">
      <c r="F788" s="31"/>
      <c r="G788" s="31"/>
      <c r="S788" s="31"/>
    </row>
    <row r="789" spans="1:19" s="30" customFormat="1" x14ac:dyDescent="0.2">
      <c r="B789" s="29" t="s">
        <v>295</v>
      </c>
      <c r="F789" s="31"/>
      <c r="G789" s="31"/>
      <c r="S789" s="31"/>
    </row>
    <row r="790" spans="1:19" s="30" customFormat="1" x14ac:dyDescent="0.2">
      <c r="B790" s="30" t="s">
        <v>22</v>
      </c>
      <c r="D790" s="21" t="s">
        <v>232</v>
      </c>
      <c r="E790" s="30" t="s">
        <v>22</v>
      </c>
      <c r="F790" s="72">
        <f>'(R) Data'!C33</f>
        <v>5.9999999999999991</v>
      </c>
      <c r="G790" s="72">
        <f>'(R) Data'!D33</f>
        <v>5.9999999999999991</v>
      </c>
      <c r="H790" s="72">
        <f>'(R) Data'!E33</f>
        <v>5.9999999999999991</v>
      </c>
      <c r="I790" s="72">
        <f>'(R) Data'!F33</f>
        <v>5.9999999999999991</v>
      </c>
      <c r="J790" s="72">
        <f>'(R) Data'!G33</f>
        <v>5.9999999999999991</v>
      </c>
      <c r="K790" s="72">
        <f>'(R) Data'!H33</f>
        <v>6.0000255826549012</v>
      </c>
      <c r="L790" s="72">
        <f>'(R) Data'!I33</f>
        <v>6</v>
      </c>
      <c r="M790" s="72">
        <f>'(R) Data'!J33</f>
        <v>6.7666701791359323</v>
      </c>
      <c r="N790" s="72">
        <f>'(R) Data'!K33</f>
        <v>7</v>
      </c>
      <c r="O790" s="72">
        <f>'(R) Data'!L33</f>
        <v>7</v>
      </c>
      <c r="P790" s="72">
        <f>'(R) Data'!M33</f>
        <v>7</v>
      </c>
      <c r="Q790" s="72">
        <f>'(R) Data'!N33</f>
        <v>7</v>
      </c>
      <c r="R790" s="46">
        <f>SUM(F790:Q790)</f>
        <v>76.766695761790828</v>
      </c>
      <c r="S790" s="31"/>
    </row>
    <row r="791" spans="1:19" s="30" customFormat="1" x14ac:dyDescent="0.2">
      <c r="B791" s="30" t="s">
        <v>30</v>
      </c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S791" s="31"/>
    </row>
    <row r="792" spans="1:19" s="30" customFormat="1" x14ac:dyDescent="0.2">
      <c r="C792" s="30" t="s">
        <v>56</v>
      </c>
      <c r="D792" s="21" t="s">
        <v>232</v>
      </c>
      <c r="E792" s="30" t="s">
        <v>10</v>
      </c>
      <c r="F792" s="161">
        <f>'(R) Therms By Block'!B112</f>
        <v>175000</v>
      </c>
      <c r="G792" s="170">
        <f>'(R) Therms By Block'!C112</f>
        <v>175000</v>
      </c>
      <c r="H792" s="170">
        <f>'(R) Therms By Block'!D112</f>
        <v>175000</v>
      </c>
      <c r="I792" s="170">
        <f>'(R) Therms By Block'!E112</f>
        <v>175000</v>
      </c>
      <c r="J792" s="170">
        <f>'(R) Therms By Block'!F112</f>
        <v>175000</v>
      </c>
      <c r="K792" s="170">
        <f>'(R) Therms By Block'!G112</f>
        <v>175000</v>
      </c>
      <c r="L792" s="170">
        <f>'(R) Therms By Block'!H112</f>
        <v>175000</v>
      </c>
      <c r="M792" s="170">
        <f>'(R) Therms By Block'!I112</f>
        <v>175000</v>
      </c>
      <c r="N792" s="170">
        <f>'(R) Therms By Block'!J112</f>
        <v>175000</v>
      </c>
      <c r="O792" s="170">
        <f>'(R) Therms By Block'!K112</f>
        <v>175000</v>
      </c>
      <c r="P792" s="170">
        <f>'(R) Therms By Block'!L112</f>
        <v>175000</v>
      </c>
      <c r="Q792" s="170">
        <f>'(R) Therms By Block'!M112</f>
        <v>175000</v>
      </c>
      <c r="R792" s="46">
        <f t="shared" ref="R792:R799" si="521">SUM(F792:Q792)</f>
        <v>2100000</v>
      </c>
      <c r="S792" s="31"/>
    </row>
    <row r="793" spans="1:19" s="30" customFormat="1" x14ac:dyDescent="0.2">
      <c r="C793" s="30" t="s">
        <v>57</v>
      </c>
      <c r="D793" s="21" t="s">
        <v>232</v>
      </c>
      <c r="E793" s="30" t="s">
        <v>10</v>
      </c>
      <c r="F793" s="170">
        <f>'(R) Therms By Block'!B113</f>
        <v>175000</v>
      </c>
      <c r="G793" s="170">
        <f>'(R) Therms By Block'!C113</f>
        <v>175000</v>
      </c>
      <c r="H793" s="170">
        <f>'(R) Therms By Block'!D113</f>
        <v>175000</v>
      </c>
      <c r="I793" s="170">
        <f>'(R) Therms By Block'!E113</f>
        <v>175000</v>
      </c>
      <c r="J793" s="170">
        <f>'(R) Therms By Block'!F113</f>
        <v>175000</v>
      </c>
      <c r="K793" s="170">
        <f>'(R) Therms By Block'!G113</f>
        <v>175000</v>
      </c>
      <c r="L793" s="170">
        <f>'(R) Therms By Block'!H113</f>
        <v>175000</v>
      </c>
      <c r="M793" s="170">
        <f>'(R) Therms By Block'!I113</f>
        <v>175000</v>
      </c>
      <c r="N793" s="170">
        <f>'(R) Therms By Block'!J113</f>
        <v>175000</v>
      </c>
      <c r="O793" s="170">
        <f>'(R) Therms By Block'!K113</f>
        <v>175000</v>
      </c>
      <c r="P793" s="170">
        <f>'(R) Therms By Block'!L113</f>
        <v>175000</v>
      </c>
      <c r="Q793" s="170">
        <f>'(R) Therms By Block'!M113</f>
        <v>175000</v>
      </c>
      <c r="R793" s="46">
        <f t="shared" si="521"/>
        <v>2100000</v>
      </c>
      <c r="S793" s="31"/>
    </row>
    <row r="794" spans="1:19" s="30" customFormat="1" x14ac:dyDescent="0.2">
      <c r="C794" s="30" t="s">
        <v>62</v>
      </c>
      <c r="D794" s="21" t="s">
        <v>232</v>
      </c>
      <c r="E794" s="30" t="s">
        <v>10</v>
      </c>
      <c r="F794" s="170">
        <f>'(R) Therms By Block'!B114</f>
        <v>350000</v>
      </c>
      <c r="G794" s="170">
        <f>'(R) Therms By Block'!C114</f>
        <v>350000</v>
      </c>
      <c r="H794" s="170">
        <f>'(R) Therms By Block'!D114</f>
        <v>350000</v>
      </c>
      <c r="I794" s="170">
        <f>'(R) Therms By Block'!E114</f>
        <v>350000</v>
      </c>
      <c r="J794" s="170">
        <f>'(R) Therms By Block'!F114</f>
        <v>350000</v>
      </c>
      <c r="K794" s="170">
        <f>'(R) Therms By Block'!G114</f>
        <v>350000</v>
      </c>
      <c r="L794" s="170">
        <f>'(R) Therms By Block'!H114</f>
        <v>350000</v>
      </c>
      <c r="M794" s="170">
        <f>'(R) Therms By Block'!I114</f>
        <v>350000</v>
      </c>
      <c r="N794" s="170">
        <f>'(R) Therms By Block'!J114</f>
        <v>350000</v>
      </c>
      <c r="O794" s="170">
        <f>'(R) Therms By Block'!K114</f>
        <v>350000</v>
      </c>
      <c r="P794" s="170">
        <f>'(R) Therms By Block'!L114</f>
        <v>350000</v>
      </c>
      <c r="Q794" s="170">
        <f>'(R) Therms By Block'!M114</f>
        <v>350000</v>
      </c>
      <c r="R794" s="46">
        <f t="shared" si="521"/>
        <v>4200000</v>
      </c>
      <c r="S794" s="31"/>
    </row>
    <row r="795" spans="1:19" s="30" customFormat="1" x14ac:dyDescent="0.2">
      <c r="C795" s="30" t="s">
        <v>63</v>
      </c>
      <c r="D795" s="21" t="s">
        <v>232</v>
      </c>
      <c r="E795" s="30" t="s">
        <v>10</v>
      </c>
      <c r="F795" s="170">
        <f>'(R) Therms By Block'!B115</f>
        <v>700000</v>
      </c>
      <c r="G795" s="170">
        <f>'(R) Therms By Block'!C115</f>
        <v>700000</v>
      </c>
      <c r="H795" s="170">
        <f>'(R) Therms By Block'!D115</f>
        <v>700000</v>
      </c>
      <c r="I795" s="170">
        <f>'(R) Therms By Block'!E115</f>
        <v>700000</v>
      </c>
      <c r="J795" s="170">
        <f>'(R) Therms By Block'!F115</f>
        <v>700000</v>
      </c>
      <c r="K795" s="170">
        <f>'(R) Therms By Block'!G115</f>
        <v>700000</v>
      </c>
      <c r="L795" s="170">
        <f>'(R) Therms By Block'!H115</f>
        <v>700000</v>
      </c>
      <c r="M795" s="170">
        <f>'(R) Therms By Block'!I115</f>
        <v>700000</v>
      </c>
      <c r="N795" s="170">
        <f>'(R) Therms By Block'!J115</f>
        <v>700000</v>
      </c>
      <c r="O795" s="170">
        <f>'(R) Therms By Block'!K115</f>
        <v>700000</v>
      </c>
      <c r="P795" s="170">
        <f>'(R) Therms By Block'!L115</f>
        <v>700000</v>
      </c>
      <c r="Q795" s="170">
        <f>'(R) Therms By Block'!M115</f>
        <v>700000</v>
      </c>
      <c r="R795" s="46">
        <f t="shared" si="521"/>
        <v>8400000</v>
      </c>
      <c r="S795" s="31"/>
    </row>
    <row r="796" spans="1:19" s="30" customFormat="1" x14ac:dyDescent="0.2">
      <c r="C796" s="30" t="s">
        <v>64</v>
      </c>
      <c r="D796" s="21" t="s">
        <v>232</v>
      </c>
      <c r="E796" s="30" t="s">
        <v>10</v>
      </c>
      <c r="F796" s="170">
        <f>'(R) Therms By Block'!B116</f>
        <v>1847549.08</v>
      </c>
      <c r="G796" s="170">
        <f>'(R) Therms By Block'!C116</f>
        <v>1847484.84</v>
      </c>
      <c r="H796" s="170">
        <f>'(R) Therms By Block'!D116</f>
        <v>1807222.67</v>
      </c>
      <c r="I796" s="170">
        <f>'(R) Therms By Block'!E116</f>
        <v>1852951.76</v>
      </c>
      <c r="J796" s="170">
        <f>'(R) Therms By Block'!F116</f>
        <v>1687800.15</v>
      </c>
      <c r="K796" s="170">
        <f>'(R) Therms By Block'!G116</f>
        <v>1869013.47</v>
      </c>
      <c r="L796" s="170">
        <f>'(R) Therms By Block'!H116</f>
        <v>1870856.82</v>
      </c>
      <c r="M796" s="170">
        <f>'(R) Therms By Block'!I116</f>
        <v>1835996.53</v>
      </c>
      <c r="N796" s="170">
        <f>'(R) Therms By Block'!J116</f>
        <v>1852529.04</v>
      </c>
      <c r="O796" s="170">
        <f>'(R) Therms By Block'!K116</f>
        <v>1849111.29</v>
      </c>
      <c r="P796" s="170">
        <f>'(R) Therms By Block'!L116</f>
        <v>1838962.32</v>
      </c>
      <c r="Q796" s="170">
        <f>'(R) Therms By Block'!M116</f>
        <v>1829849.35</v>
      </c>
      <c r="R796" s="46">
        <f t="shared" si="521"/>
        <v>21989327.32</v>
      </c>
      <c r="S796" s="31"/>
    </row>
    <row r="797" spans="1:19" s="30" customFormat="1" x14ac:dyDescent="0.2">
      <c r="C797" s="30" t="s">
        <v>65</v>
      </c>
      <c r="D797" s="21" t="s">
        <v>232</v>
      </c>
      <c r="E797" s="30" t="s">
        <v>10</v>
      </c>
      <c r="F797" s="107">
        <f t="shared" ref="F797:N797" si="522">F798-SUM(F792:F796)</f>
        <v>4350747.05</v>
      </c>
      <c r="G797" s="107">
        <f t="shared" si="522"/>
        <v>4487450.4800000004</v>
      </c>
      <c r="H797" s="107">
        <f t="shared" si="522"/>
        <v>4157595.49</v>
      </c>
      <c r="I797" s="107">
        <f t="shared" si="522"/>
        <v>4192031.6400000006</v>
      </c>
      <c r="J797" s="107">
        <f t="shared" si="522"/>
        <v>3179512.3300000005</v>
      </c>
      <c r="K797" s="107">
        <f t="shared" si="522"/>
        <v>4497983.88</v>
      </c>
      <c r="L797" s="107">
        <f t="shared" si="522"/>
        <v>3046424.83</v>
      </c>
      <c r="M797" s="107">
        <f t="shared" si="522"/>
        <v>3670249.91</v>
      </c>
      <c r="N797" s="107">
        <f t="shared" si="522"/>
        <v>4432642.47</v>
      </c>
      <c r="O797" s="107">
        <f t="shared" ref="O797:Q797" si="523">O798-SUM(O792:O796)</f>
        <v>3366516.3099999996</v>
      </c>
      <c r="P797" s="107">
        <f t="shared" si="523"/>
        <v>3714551.6899999995</v>
      </c>
      <c r="Q797" s="107">
        <f t="shared" si="523"/>
        <v>3252523.85</v>
      </c>
      <c r="R797" s="46">
        <f t="shared" si="521"/>
        <v>46348229.930000007</v>
      </c>
      <c r="S797" s="31"/>
    </row>
    <row r="798" spans="1:19" s="30" customFormat="1" x14ac:dyDescent="0.2">
      <c r="C798" s="30" t="s">
        <v>17</v>
      </c>
      <c r="D798" s="21" t="s">
        <v>232</v>
      </c>
      <c r="E798" s="30" t="s">
        <v>10</v>
      </c>
      <c r="F798" s="111">
        <f>'Weather Adj'!D194</f>
        <v>7598296.1299999999</v>
      </c>
      <c r="G798" s="111">
        <f>'Weather Adj'!E194</f>
        <v>7734935.3200000003</v>
      </c>
      <c r="H798" s="111">
        <f>'Weather Adj'!F194</f>
        <v>7364818.1600000001</v>
      </c>
      <c r="I798" s="111">
        <f>'Weather Adj'!G194</f>
        <v>7444983.4000000004</v>
      </c>
      <c r="J798" s="111">
        <f>'Weather Adj'!H194</f>
        <v>6267312.4800000004</v>
      </c>
      <c r="K798" s="111">
        <f>'Weather Adj'!I194</f>
        <v>7766997.3499999996</v>
      </c>
      <c r="L798" s="111">
        <f>'Weather Adj'!J194</f>
        <v>6317281.6500000004</v>
      </c>
      <c r="M798" s="111">
        <f>'Weather Adj'!K194</f>
        <v>6906246.4400000004</v>
      </c>
      <c r="N798" s="111">
        <f>'Weather Adj'!L194</f>
        <v>7685171.5099999998</v>
      </c>
      <c r="O798" s="111">
        <f>'Weather Adj'!M194</f>
        <v>6615627.5999999996</v>
      </c>
      <c r="P798" s="111">
        <f>'Weather Adj'!N194</f>
        <v>6953514.0099999998</v>
      </c>
      <c r="Q798" s="111">
        <f>'Weather Adj'!O194</f>
        <v>6482373.2000000002</v>
      </c>
      <c r="R798" s="109">
        <f t="shared" si="521"/>
        <v>85137557.25</v>
      </c>
      <c r="S798" s="31"/>
    </row>
    <row r="799" spans="1:19" s="30" customFormat="1" x14ac:dyDescent="0.2">
      <c r="B799" s="30" t="s">
        <v>29</v>
      </c>
      <c r="D799" s="21" t="s">
        <v>232</v>
      </c>
      <c r="E799" s="30" t="s">
        <v>100</v>
      </c>
      <c r="F799" s="72">
        <f>'(R) Data'!C53</f>
        <v>23930</v>
      </c>
      <c r="G799" s="72">
        <f>'(R) Data'!D53</f>
        <v>23930</v>
      </c>
      <c r="H799" s="72">
        <f>'(R) Data'!E53</f>
        <v>23930</v>
      </c>
      <c r="I799" s="72">
        <f>'(R) Data'!F53</f>
        <v>24030</v>
      </c>
      <c r="J799" s="72">
        <f>'(R) Data'!G53</f>
        <v>24030</v>
      </c>
      <c r="K799" s="72">
        <f>'(R) Data'!H53</f>
        <v>23930</v>
      </c>
      <c r="L799" s="72">
        <f>'(R) Data'!I53</f>
        <v>23930</v>
      </c>
      <c r="M799" s="72">
        <f>'(R) Data'!J53</f>
        <v>23930</v>
      </c>
      <c r="N799" s="72">
        <f>'(R) Data'!K53</f>
        <v>23930</v>
      </c>
      <c r="O799" s="72">
        <f>'(R) Data'!L53</f>
        <v>23930</v>
      </c>
      <c r="P799" s="72">
        <f>'(R) Data'!M53</f>
        <v>23930</v>
      </c>
      <c r="Q799" s="72">
        <f>'(R) Data'!N53</f>
        <v>23930</v>
      </c>
      <c r="R799" s="46">
        <f t="shared" si="521"/>
        <v>287360</v>
      </c>
      <c r="S799" s="31"/>
    </row>
    <row r="800" spans="1:19" x14ac:dyDescent="0.2">
      <c r="A800" s="30"/>
      <c r="B800" s="30" t="s">
        <v>21</v>
      </c>
      <c r="C800" s="30"/>
      <c r="D800" s="30"/>
      <c r="E800" s="30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30"/>
      <c r="S800" s="31"/>
    </row>
    <row r="801" spans="1:19" x14ac:dyDescent="0.2">
      <c r="A801" s="30"/>
      <c r="B801" s="30"/>
      <c r="C801" s="30"/>
      <c r="D801" s="30"/>
      <c r="E801" s="30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49"/>
      <c r="S801" s="31"/>
    </row>
    <row r="802" spans="1:19" x14ac:dyDescent="0.2">
      <c r="A802" s="30"/>
      <c r="B802" s="29" t="s">
        <v>9</v>
      </c>
      <c r="C802" s="30"/>
      <c r="D802" s="30"/>
      <c r="E802" s="30"/>
      <c r="F802" s="31"/>
      <c r="G802" s="31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1"/>
    </row>
    <row r="803" spans="1:19" x14ac:dyDescent="0.2">
      <c r="A803" s="30" t="s">
        <v>147</v>
      </c>
      <c r="B803" s="30" t="s">
        <v>282</v>
      </c>
      <c r="C803" s="30"/>
      <c r="D803" s="21" t="s">
        <v>232</v>
      </c>
      <c r="E803" s="30"/>
      <c r="F803" s="34">
        <f t="shared" ref="F803:N803" si="524">F776*F790</f>
        <v>5350.98</v>
      </c>
      <c r="G803" s="34">
        <f t="shared" si="524"/>
        <v>5350.98</v>
      </c>
      <c r="H803" s="34">
        <f t="shared" si="524"/>
        <v>5350.98</v>
      </c>
      <c r="I803" s="34">
        <f t="shared" si="524"/>
        <v>5350.98</v>
      </c>
      <c r="J803" s="34">
        <f t="shared" si="524"/>
        <v>5350.98</v>
      </c>
      <c r="K803" s="34">
        <f t="shared" si="524"/>
        <v>5351.0028153791209</v>
      </c>
      <c r="L803" s="34">
        <f t="shared" si="524"/>
        <v>5350.9800000000005</v>
      </c>
      <c r="M803" s="34">
        <f t="shared" si="524"/>
        <v>6034.7194658587987</v>
      </c>
      <c r="N803" s="34">
        <f t="shared" si="524"/>
        <v>6242.81</v>
      </c>
      <c r="O803" s="34">
        <f t="shared" ref="O803:Q803" si="525">O776*O790</f>
        <v>6242.81</v>
      </c>
      <c r="P803" s="34">
        <f t="shared" si="525"/>
        <v>6242.81</v>
      </c>
      <c r="Q803" s="34">
        <f t="shared" si="525"/>
        <v>6242.81</v>
      </c>
      <c r="R803" s="34">
        <f>SUM(F803:Q803)</f>
        <v>68462.842281237914</v>
      </c>
      <c r="S803" s="31"/>
    </row>
    <row r="804" spans="1:19" x14ac:dyDescent="0.2">
      <c r="A804" s="30"/>
      <c r="B804" s="30" t="s">
        <v>3</v>
      </c>
      <c r="C804" s="30"/>
      <c r="D804" s="30"/>
      <c r="E804" s="30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1"/>
    </row>
    <row r="805" spans="1:19" x14ac:dyDescent="0.2">
      <c r="C805" t="s">
        <v>56</v>
      </c>
      <c r="D805" s="21" t="s">
        <v>232</v>
      </c>
      <c r="F805" s="23">
        <f t="shared" ref="F805:N805" si="526">F778*F792</f>
        <v>24342.5</v>
      </c>
      <c r="G805" s="23">
        <f t="shared" si="526"/>
        <v>24342.5</v>
      </c>
      <c r="H805" s="23">
        <f t="shared" si="526"/>
        <v>24342.5</v>
      </c>
      <c r="I805" s="23">
        <f t="shared" si="526"/>
        <v>24342.5</v>
      </c>
      <c r="J805" s="23">
        <f t="shared" si="526"/>
        <v>24342.5</v>
      </c>
      <c r="K805" s="23">
        <f t="shared" si="526"/>
        <v>24342.5</v>
      </c>
      <c r="L805" s="23">
        <f t="shared" si="526"/>
        <v>24342.5</v>
      </c>
      <c r="M805" s="23">
        <f t="shared" si="526"/>
        <v>24342.5</v>
      </c>
      <c r="N805" s="23">
        <f t="shared" si="526"/>
        <v>24342.5</v>
      </c>
      <c r="O805" s="23">
        <f t="shared" ref="O805:Q805" si="527">O778*O792</f>
        <v>24342.5</v>
      </c>
      <c r="P805" s="23">
        <f t="shared" si="527"/>
        <v>24342.5</v>
      </c>
      <c r="Q805" s="23">
        <f t="shared" si="527"/>
        <v>24342.5</v>
      </c>
      <c r="R805" s="23">
        <f t="shared" ref="R805:R815" si="528">SUM(F805:Q805)</f>
        <v>292110</v>
      </c>
      <c r="S805" s="31"/>
    </row>
    <row r="806" spans="1:19" x14ac:dyDescent="0.2">
      <c r="C806" t="s">
        <v>57</v>
      </c>
      <c r="D806" s="21" t="s">
        <v>232</v>
      </c>
      <c r="F806" s="23">
        <f t="shared" ref="F806:N806" si="529">F779*F793</f>
        <v>14710.5</v>
      </c>
      <c r="G806" s="23">
        <f t="shared" si="529"/>
        <v>14710.5</v>
      </c>
      <c r="H806" s="23">
        <f t="shared" si="529"/>
        <v>14710.5</v>
      </c>
      <c r="I806" s="23">
        <f t="shared" si="529"/>
        <v>14710.5</v>
      </c>
      <c r="J806" s="23">
        <f t="shared" si="529"/>
        <v>14710.5</v>
      </c>
      <c r="K806" s="23">
        <f t="shared" si="529"/>
        <v>14710.5</v>
      </c>
      <c r="L806" s="23">
        <f t="shared" si="529"/>
        <v>14710.5</v>
      </c>
      <c r="M806" s="23">
        <f t="shared" si="529"/>
        <v>14710.5</v>
      </c>
      <c r="N806" s="23">
        <f t="shared" si="529"/>
        <v>14710.5</v>
      </c>
      <c r="O806" s="23">
        <f t="shared" ref="O806:Q806" si="530">O779*O793</f>
        <v>14710.5</v>
      </c>
      <c r="P806" s="23">
        <f t="shared" si="530"/>
        <v>14710.5</v>
      </c>
      <c r="Q806" s="23">
        <f t="shared" si="530"/>
        <v>14710.5</v>
      </c>
      <c r="R806" s="23">
        <f t="shared" si="528"/>
        <v>176526</v>
      </c>
      <c r="S806" s="31"/>
    </row>
    <row r="807" spans="1:19" x14ac:dyDescent="0.2">
      <c r="C807" t="s">
        <v>62</v>
      </c>
      <c r="D807" s="21" t="s">
        <v>232</v>
      </c>
      <c r="F807" s="23">
        <f t="shared" ref="F807:N807" si="531">F780*F794</f>
        <v>18721.5</v>
      </c>
      <c r="G807" s="23">
        <f t="shared" si="531"/>
        <v>18721.5</v>
      </c>
      <c r="H807" s="23">
        <f t="shared" si="531"/>
        <v>18721.5</v>
      </c>
      <c r="I807" s="23">
        <f t="shared" si="531"/>
        <v>18721.5</v>
      </c>
      <c r="J807" s="23">
        <f t="shared" si="531"/>
        <v>18721.5</v>
      </c>
      <c r="K807" s="23">
        <f t="shared" si="531"/>
        <v>18721.5</v>
      </c>
      <c r="L807" s="23">
        <f t="shared" si="531"/>
        <v>18721.5</v>
      </c>
      <c r="M807" s="23">
        <f t="shared" si="531"/>
        <v>18721.5</v>
      </c>
      <c r="N807" s="23">
        <f t="shared" si="531"/>
        <v>18721.5</v>
      </c>
      <c r="O807" s="23">
        <f t="shared" ref="O807:Q807" si="532">O780*O794</f>
        <v>18721.5</v>
      </c>
      <c r="P807" s="23">
        <f t="shared" si="532"/>
        <v>18721.5</v>
      </c>
      <c r="Q807" s="23">
        <f t="shared" si="532"/>
        <v>18721.5</v>
      </c>
      <c r="R807" s="23">
        <f t="shared" si="528"/>
        <v>224658</v>
      </c>
      <c r="S807" s="31"/>
    </row>
    <row r="808" spans="1:19" x14ac:dyDescent="0.2">
      <c r="C808" t="s">
        <v>63</v>
      </c>
      <c r="D808" s="21" t="s">
        <v>232</v>
      </c>
      <c r="F808" s="23">
        <f t="shared" ref="F808:N808" si="533">F781*F795</f>
        <v>24009.999999999996</v>
      </c>
      <c r="G808" s="23">
        <f t="shared" si="533"/>
        <v>24009.999999999996</v>
      </c>
      <c r="H808" s="23">
        <f t="shared" si="533"/>
        <v>24009.999999999996</v>
      </c>
      <c r="I808" s="23">
        <f t="shared" si="533"/>
        <v>24009.999999999996</v>
      </c>
      <c r="J808" s="23">
        <f t="shared" si="533"/>
        <v>24009.999999999996</v>
      </c>
      <c r="K808" s="23">
        <f t="shared" si="533"/>
        <v>24009.999999999996</v>
      </c>
      <c r="L808" s="23">
        <f t="shared" si="533"/>
        <v>24009.999999999996</v>
      </c>
      <c r="M808" s="23">
        <f t="shared" si="533"/>
        <v>24009.999999999996</v>
      </c>
      <c r="N808" s="23">
        <f t="shared" si="533"/>
        <v>24009.999999999996</v>
      </c>
      <c r="O808" s="23">
        <f t="shared" ref="O808:Q808" si="534">O781*O795</f>
        <v>24009.999999999996</v>
      </c>
      <c r="P808" s="23">
        <f t="shared" si="534"/>
        <v>24009.999999999996</v>
      </c>
      <c r="Q808" s="23">
        <f t="shared" si="534"/>
        <v>24009.999999999996</v>
      </c>
      <c r="R808" s="23">
        <f t="shared" si="528"/>
        <v>288119.99999999994</v>
      </c>
      <c r="S808" s="31"/>
    </row>
    <row r="809" spans="1:19" x14ac:dyDescent="0.2">
      <c r="C809" t="s">
        <v>64</v>
      </c>
      <c r="D809" s="21" t="s">
        <v>232</v>
      </c>
      <c r="F809" s="23">
        <f t="shared" ref="F809:N809" si="535">F782*F796</f>
        <v>45597.511294399999</v>
      </c>
      <c r="G809" s="23">
        <f t="shared" si="535"/>
        <v>45595.925851200001</v>
      </c>
      <c r="H809" s="23">
        <f t="shared" si="535"/>
        <v>44602.255495600002</v>
      </c>
      <c r="I809" s="23">
        <f t="shared" si="535"/>
        <v>45730.849436800003</v>
      </c>
      <c r="J809" s="23">
        <f t="shared" si="535"/>
        <v>41654.907701999997</v>
      </c>
      <c r="K809" s="23">
        <f t="shared" si="535"/>
        <v>46127.252439600001</v>
      </c>
      <c r="L809" s="23">
        <f t="shared" si="535"/>
        <v>46172.746317600002</v>
      </c>
      <c r="M809" s="23">
        <f t="shared" si="535"/>
        <v>45312.394360400001</v>
      </c>
      <c r="N809" s="23">
        <f t="shared" si="535"/>
        <v>45720.416707200005</v>
      </c>
      <c r="O809" s="23">
        <f t="shared" ref="O809:Q809" si="536">O782*O796</f>
        <v>45636.066637200005</v>
      </c>
      <c r="P809" s="23">
        <f t="shared" si="536"/>
        <v>45385.590057600006</v>
      </c>
      <c r="Q809" s="23">
        <f t="shared" si="536"/>
        <v>45160.681958000001</v>
      </c>
      <c r="R809" s="23">
        <f t="shared" si="528"/>
        <v>542696.59825759998</v>
      </c>
      <c r="S809" s="31"/>
    </row>
    <row r="810" spans="1:19" x14ac:dyDescent="0.2">
      <c r="C810" t="s">
        <v>65</v>
      </c>
      <c r="D810" s="21" t="s">
        <v>232</v>
      </c>
      <c r="F810" s="23">
        <f t="shared" ref="F810:N810" si="537">F783*F797</f>
        <v>82794.716361499988</v>
      </c>
      <c r="G810" s="23">
        <f t="shared" si="537"/>
        <v>85396.1826344</v>
      </c>
      <c r="H810" s="23">
        <f t="shared" si="537"/>
        <v>79119.042174699993</v>
      </c>
      <c r="I810" s="23">
        <f t="shared" si="537"/>
        <v>79774.36210920001</v>
      </c>
      <c r="J810" s="23">
        <f t="shared" si="537"/>
        <v>60506.119639900004</v>
      </c>
      <c r="K810" s="23">
        <f t="shared" si="537"/>
        <v>85596.633236399997</v>
      </c>
      <c r="L810" s="23">
        <f t="shared" si="537"/>
        <v>57973.464514899999</v>
      </c>
      <c r="M810" s="23">
        <f t="shared" si="537"/>
        <v>69844.855787299995</v>
      </c>
      <c r="N810" s="23">
        <f t="shared" si="537"/>
        <v>84353.186204099984</v>
      </c>
      <c r="O810" s="23">
        <f t="shared" ref="O810:Q810" si="538">O783*O797</f>
        <v>64064.805379299985</v>
      </c>
      <c r="P810" s="23">
        <f t="shared" si="538"/>
        <v>70687.918660699987</v>
      </c>
      <c r="Q810" s="23">
        <f t="shared" si="538"/>
        <v>61895.528865499997</v>
      </c>
      <c r="R810" s="23">
        <f t="shared" si="528"/>
        <v>882006.81556790008</v>
      </c>
      <c r="S810" s="31"/>
    </row>
    <row r="811" spans="1:19" x14ac:dyDescent="0.2">
      <c r="A811" t="s">
        <v>147</v>
      </c>
      <c r="C811" t="s">
        <v>26</v>
      </c>
      <c r="F811" s="24">
        <f t="shared" ref="F811:N811" si="539">SUM(F805:F810)</f>
        <v>210176.7276559</v>
      </c>
      <c r="G811" s="24">
        <f t="shared" si="539"/>
        <v>212776.60848560001</v>
      </c>
      <c r="H811" s="24">
        <f t="shared" si="539"/>
        <v>205505.7976703</v>
      </c>
      <c r="I811" s="24">
        <f t="shared" si="539"/>
        <v>207289.71154600001</v>
      </c>
      <c r="J811" s="24">
        <f t="shared" si="539"/>
        <v>183945.52734189999</v>
      </c>
      <c r="K811" s="24">
        <f t="shared" si="539"/>
        <v>213508.38567600001</v>
      </c>
      <c r="L811" s="24">
        <f t="shared" si="539"/>
        <v>185930.71083250002</v>
      </c>
      <c r="M811" s="24">
        <f t="shared" si="539"/>
        <v>196941.75014770002</v>
      </c>
      <c r="N811" s="24">
        <f t="shared" si="539"/>
        <v>211858.10291129997</v>
      </c>
      <c r="O811" s="24">
        <f t="shared" ref="O811:Q811" si="540">SUM(O805:O810)</f>
        <v>191485.37201649998</v>
      </c>
      <c r="P811" s="24">
        <f t="shared" si="540"/>
        <v>197858.00871829997</v>
      </c>
      <c r="Q811" s="24">
        <f t="shared" si="540"/>
        <v>188840.71082350001</v>
      </c>
      <c r="R811" s="24">
        <f t="shared" si="528"/>
        <v>2406117.4138255003</v>
      </c>
      <c r="S811" s="31"/>
    </row>
    <row r="812" spans="1:19" x14ac:dyDescent="0.2">
      <c r="A812" t="s">
        <v>130</v>
      </c>
      <c r="B812" s="30" t="s">
        <v>301</v>
      </c>
      <c r="D812" s="21" t="s">
        <v>232</v>
      </c>
      <c r="F812" s="40">
        <f t="shared" ref="F812:N812" si="541">F784*F798</f>
        <v>5318.8072910000001</v>
      </c>
      <c r="G812" s="40">
        <f t="shared" si="541"/>
        <v>5414.4547240000002</v>
      </c>
      <c r="H812" s="40">
        <f t="shared" si="541"/>
        <v>5155.3727120000003</v>
      </c>
      <c r="I812" s="40">
        <f t="shared" si="541"/>
        <v>5211.4883799999998</v>
      </c>
      <c r="J812" s="40">
        <f t="shared" si="541"/>
        <v>4387.1187360000004</v>
      </c>
      <c r="K812" s="40">
        <f t="shared" si="541"/>
        <v>5436.8981450000001</v>
      </c>
      <c r="L812" s="40">
        <f t="shared" si="541"/>
        <v>4422.0971550000004</v>
      </c>
      <c r="M812" s="40">
        <f t="shared" si="541"/>
        <v>4834.3725080000004</v>
      </c>
      <c r="N812" s="40">
        <f t="shared" si="541"/>
        <v>5379.6200570000001</v>
      </c>
      <c r="O812" s="40">
        <f t="shared" ref="O812:Q812" si="542">O784*O798</f>
        <v>4630.9393199999995</v>
      </c>
      <c r="P812" s="40">
        <f t="shared" si="542"/>
        <v>4867.4598070000002</v>
      </c>
      <c r="Q812" s="40">
        <f t="shared" si="542"/>
        <v>4537.6612400000004</v>
      </c>
      <c r="R812" s="40">
        <f t="shared" si="528"/>
        <v>59596.290074999997</v>
      </c>
      <c r="S812" s="31"/>
    </row>
    <row r="813" spans="1:19" x14ac:dyDescent="0.2">
      <c r="A813" t="s">
        <v>551</v>
      </c>
      <c r="B813" s="30" t="s">
        <v>552</v>
      </c>
      <c r="D813" s="21">
        <v>149</v>
      </c>
      <c r="F813" s="40">
        <f>F785*F798</f>
        <v>15348.5581826</v>
      </c>
      <c r="G813" s="40">
        <f t="shared" ref="G813:Q813" si="543">G785*G798</f>
        <v>15624.569346400001</v>
      </c>
      <c r="H813" s="40">
        <f t="shared" si="543"/>
        <v>14876.932683200001</v>
      </c>
      <c r="I813" s="40">
        <f t="shared" si="543"/>
        <v>15038.866468000002</v>
      </c>
      <c r="J813" s="40">
        <f t="shared" si="543"/>
        <v>12659.971209600002</v>
      </c>
      <c r="K813" s="40">
        <f t="shared" si="543"/>
        <v>15689.334647</v>
      </c>
      <c r="L813" s="40">
        <f t="shared" si="543"/>
        <v>12760.908933000001</v>
      </c>
      <c r="M813" s="40">
        <f t="shared" si="543"/>
        <v>13950.617808800002</v>
      </c>
      <c r="N813" s="40">
        <f t="shared" si="543"/>
        <v>15524.0464502</v>
      </c>
      <c r="O813" s="40">
        <f t="shared" si="543"/>
        <v>13363.567751999999</v>
      </c>
      <c r="P813" s="40">
        <f t="shared" si="543"/>
        <v>14046.098300199999</v>
      </c>
      <c r="Q813" s="40">
        <f t="shared" si="543"/>
        <v>13094.393864000001</v>
      </c>
      <c r="R813" s="40">
        <f t="shared" si="528"/>
        <v>171977.86564500004</v>
      </c>
      <c r="S813" s="31"/>
    </row>
    <row r="814" spans="1:19" s="30" customFormat="1" x14ac:dyDescent="0.2">
      <c r="A814" t="s">
        <v>147</v>
      </c>
      <c r="B814" t="s">
        <v>19</v>
      </c>
      <c r="C814"/>
      <c r="D814" s="21" t="s">
        <v>232</v>
      </c>
      <c r="E814"/>
      <c r="F814" s="23">
        <f t="shared" ref="F814:N814" si="544">F786*F799</f>
        <v>33023.399999999994</v>
      </c>
      <c r="G814" s="23">
        <f t="shared" si="544"/>
        <v>33023.399999999994</v>
      </c>
      <c r="H814" s="23">
        <f t="shared" si="544"/>
        <v>33023.399999999994</v>
      </c>
      <c r="I814" s="23">
        <f t="shared" si="544"/>
        <v>33161.399999999994</v>
      </c>
      <c r="J814" s="23">
        <f t="shared" si="544"/>
        <v>33161.399999999994</v>
      </c>
      <c r="K814" s="23">
        <f t="shared" si="544"/>
        <v>33023.399999999994</v>
      </c>
      <c r="L814" s="23">
        <f t="shared" si="544"/>
        <v>33023.399999999994</v>
      </c>
      <c r="M814" s="23">
        <f t="shared" si="544"/>
        <v>33023.399999999994</v>
      </c>
      <c r="N814" s="23">
        <f t="shared" si="544"/>
        <v>33023.399999999994</v>
      </c>
      <c r="O814" s="23">
        <f t="shared" ref="O814:Q814" si="545">O786*O799</f>
        <v>33023.399999999994</v>
      </c>
      <c r="P814" s="23">
        <f t="shared" si="545"/>
        <v>33023.399999999994</v>
      </c>
      <c r="Q814" s="23">
        <f t="shared" si="545"/>
        <v>33023.399999999994</v>
      </c>
      <c r="R814" s="23">
        <f t="shared" si="528"/>
        <v>396556.80000000005</v>
      </c>
      <c r="S814" s="31"/>
    </row>
    <row r="815" spans="1:19" x14ac:dyDescent="0.2">
      <c r="A815" s="30" t="s">
        <v>147</v>
      </c>
      <c r="B815" s="30" t="s">
        <v>21</v>
      </c>
      <c r="C815" s="30"/>
      <c r="D815" s="21" t="s">
        <v>232</v>
      </c>
      <c r="E815" s="30"/>
      <c r="F815" s="74">
        <f>'(R) Data'!C68</f>
        <v>0</v>
      </c>
      <c r="G815" s="74">
        <f>'(R) Data'!D68</f>
        <v>0</v>
      </c>
      <c r="H815" s="74">
        <f>'(R) Data'!E68</f>
        <v>0</v>
      </c>
      <c r="I815" s="74">
        <f>'(R) Data'!F68</f>
        <v>0</v>
      </c>
      <c r="J815" s="74">
        <f>'(R) Data'!G68</f>
        <v>0</v>
      </c>
      <c r="K815" s="74">
        <f>'(R) Data'!H68</f>
        <v>0</v>
      </c>
      <c r="L815" s="74">
        <f>'(R) Data'!I68</f>
        <v>0</v>
      </c>
      <c r="M815" s="74">
        <f>'(R) Data'!J68</f>
        <v>0</v>
      </c>
      <c r="N815" s="74">
        <f>'(R) Data'!K68</f>
        <v>0</v>
      </c>
      <c r="O815" s="74">
        <f>'(R) Data'!L68</f>
        <v>0</v>
      </c>
      <c r="P815" s="74">
        <f>'(R) Data'!M68</f>
        <v>0</v>
      </c>
      <c r="Q815" s="74">
        <f>'(R) Data'!N68</f>
        <v>0</v>
      </c>
      <c r="R815" s="70">
        <f t="shared" si="528"/>
        <v>0</v>
      </c>
      <c r="S815" s="31"/>
    </row>
    <row r="816" spans="1:19" x14ac:dyDescent="0.2">
      <c r="B816" t="s">
        <v>24</v>
      </c>
      <c r="F816" s="24">
        <f>F803+F811+F812+F813+F814+F815</f>
        <v>269218.47312950005</v>
      </c>
      <c r="G816" s="24">
        <f t="shared" ref="G816:R816" si="546">G803+G811+G812+G813+G814+G815</f>
        <v>272190.01255600003</v>
      </c>
      <c r="H816" s="24">
        <f t="shared" si="546"/>
        <v>263912.48306550004</v>
      </c>
      <c r="I816" s="24">
        <f t="shared" si="546"/>
        <v>266052.44639399997</v>
      </c>
      <c r="J816" s="24">
        <f t="shared" si="546"/>
        <v>239504.99728750001</v>
      </c>
      <c r="K816" s="24">
        <f t="shared" si="546"/>
        <v>273009.02128337917</v>
      </c>
      <c r="L816" s="24">
        <f t="shared" si="546"/>
        <v>241488.09692050001</v>
      </c>
      <c r="M816" s="24">
        <f t="shared" si="546"/>
        <v>254784.8599303588</v>
      </c>
      <c r="N816" s="24">
        <f t="shared" si="546"/>
        <v>272027.97941849998</v>
      </c>
      <c r="O816" s="24">
        <f t="shared" si="546"/>
        <v>248746.08908849998</v>
      </c>
      <c r="P816" s="24">
        <f t="shared" si="546"/>
        <v>256037.77682549998</v>
      </c>
      <c r="Q816" s="24">
        <f t="shared" si="546"/>
        <v>245738.9759275</v>
      </c>
      <c r="R816" s="24">
        <f t="shared" si="546"/>
        <v>3102711.211826738</v>
      </c>
      <c r="S816" s="31"/>
    </row>
    <row r="817" spans="1:19" x14ac:dyDescent="0.2">
      <c r="C817" s="61"/>
      <c r="F817" s="50"/>
      <c r="G817" s="50"/>
      <c r="S817" s="31"/>
    </row>
    <row r="818" spans="1:19" x14ac:dyDescent="0.2">
      <c r="A818" t="s">
        <v>305</v>
      </c>
      <c r="B818" t="s">
        <v>304</v>
      </c>
      <c r="C818" s="61"/>
      <c r="F818" s="40">
        <f t="shared" ref="F818:N818" si="547">F812</f>
        <v>5318.8072910000001</v>
      </c>
      <c r="G818" s="40">
        <f t="shared" si="547"/>
        <v>5414.4547240000002</v>
      </c>
      <c r="H818" s="40">
        <f t="shared" si="547"/>
        <v>5155.3727120000003</v>
      </c>
      <c r="I818" s="40">
        <f t="shared" si="547"/>
        <v>5211.4883799999998</v>
      </c>
      <c r="J818" s="40">
        <f t="shared" si="547"/>
        <v>4387.1187360000004</v>
      </c>
      <c r="K818" s="40">
        <f t="shared" si="547"/>
        <v>5436.8981450000001</v>
      </c>
      <c r="L818" s="40">
        <f t="shared" si="547"/>
        <v>4422.0971550000004</v>
      </c>
      <c r="M818" s="40">
        <f t="shared" si="547"/>
        <v>4834.3725080000004</v>
      </c>
      <c r="N818" s="40">
        <f t="shared" si="547"/>
        <v>5379.6200570000001</v>
      </c>
      <c r="O818" s="40">
        <f t="shared" ref="O818:Q818" si="548">O812</f>
        <v>4630.9393199999995</v>
      </c>
      <c r="P818" s="40">
        <f t="shared" si="548"/>
        <v>4867.4598070000002</v>
      </c>
      <c r="Q818" s="40">
        <f t="shared" si="548"/>
        <v>4537.6612400000004</v>
      </c>
      <c r="R818" s="23">
        <f>SUM(F818:Q818)</f>
        <v>59596.290074999997</v>
      </c>
      <c r="S818" s="31"/>
    </row>
    <row r="819" spans="1:19" x14ac:dyDescent="0.2">
      <c r="C819" s="61"/>
      <c r="F819" s="23"/>
      <c r="G819" s="23"/>
      <c r="H819" s="23"/>
      <c r="I819" s="23"/>
      <c r="K819" s="23"/>
      <c r="L819" s="23"/>
      <c r="M819" s="23"/>
      <c r="N819" s="23"/>
      <c r="O819" s="23"/>
      <c r="P819" s="23"/>
      <c r="Q819" s="23"/>
      <c r="R819" s="100"/>
      <c r="S819" s="31"/>
    </row>
    <row r="820" spans="1:19" ht="15.75" x14ac:dyDescent="0.25">
      <c r="B820" s="15" t="s">
        <v>145</v>
      </c>
      <c r="H820" s="701" t="s">
        <v>591</v>
      </c>
      <c r="J820" s="15"/>
      <c r="S820" s="31"/>
    </row>
    <row r="821" spans="1:19" x14ac:dyDescent="0.2">
      <c r="B821" s="172" t="s">
        <v>7</v>
      </c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31"/>
    </row>
    <row r="822" spans="1:19" x14ac:dyDescent="0.2">
      <c r="B822" s="868"/>
      <c r="C822" s="869"/>
      <c r="D822" s="869"/>
      <c r="E822" s="869"/>
      <c r="F822" s="870"/>
      <c r="G822" s="870"/>
      <c r="H822" s="870"/>
      <c r="I822" s="870"/>
      <c r="J822" s="870"/>
      <c r="K822" s="870"/>
      <c r="L822" s="870"/>
      <c r="M822" s="870"/>
      <c r="N822" s="870"/>
      <c r="O822" s="870"/>
      <c r="P822" s="870"/>
      <c r="Q822" s="871"/>
      <c r="R822" s="26"/>
      <c r="S822" s="31"/>
    </row>
    <row r="823" spans="1:19" x14ac:dyDescent="0.2">
      <c r="B823" s="872"/>
      <c r="C823" s="873"/>
      <c r="D823" s="873"/>
      <c r="E823" s="873"/>
      <c r="F823" s="874"/>
      <c r="G823" s="874"/>
      <c r="H823" s="874"/>
      <c r="I823" s="874"/>
      <c r="J823" s="874"/>
      <c r="K823" s="874"/>
      <c r="L823" s="874"/>
      <c r="M823" s="874"/>
      <c r="N823" s="874"/>
      <c r="O823" s="874"/>
      <c r="P823" s="874"/>
      <c r="Q823" s="875"/>
      <c r="R823" s="50"/>
      <c r="S823" s="31"/>
    </row>
    <row r="824" spans="1:19" x14ac:dyDescent="0.2">
      <c r="B824" s="872"/>
      <c r="C824" s="873"/>
      <c r="D824" s="873"/>
      <c r="E824" s="873"/>
      <c r="F824" s="876"/>
      <c r="G824" s="876"/>
      <c r="H824" s="876"/>
      <c r="I824" s="876"/>
      <c r="J824" s="876"/>
      <c r="K824" s="876"/>
      <c r="L824" s="876"/>
      <c r="M824" s="876"/>
      <c r="N824" s="876"/>
      <c r="O824" s="876"/>
      <c r="P824" s="876"/>
      <c r="Q824" s="877"/>
      <c r="R824" s="20"/>
      <c r="S824" s="31"/>
    </row>
    <row r="825" spans="1:19" x14ac:dyDescent="0.2">
      <c r="B825" s="872"/>
      <c r="C825" s="873"/>
      <c r="D825" s="873"/>
      <c r="E825" s="873"/>
      <c r="F825" s="876"/>
      <c r="G825" s="876"/>
      <c r="H825" s="876"/>
      <c r="I825" s="876"/>
      <c r="J825" s="876"/>
      <c r="K825" s="876"/>
      <c r="L825" s="876"/>
      <c r="M825" s="876"/>
      <c r="N825" s="876"/>
      <c r="O825" s="876"/>
      <c r="P825" s="876"/>
      <c r="Q825" s="877"/>
      <c r="R825" s="20"/>
      <c r="S825" s="31"/>
    </row>
    <row r="826" spans="1:19" ht="20.25" x14ac:dyDescent="0.3">
      <c r="B826" s="872"/>
      <c r="C826" s="873"/>
      <c r="D826" s="873"/>
      <c r="E826" s="873"/>
      <c r="F826" s="876"/>
      <c r="G826" s="876"/>
      <c r="H826" s="876"/>
      <c r="I826" s="901" t="s">
        <v>600</v>
      </c>
      <c r="J826" s="876"/>
      <c r="K826" s="876"/>
      <c r="L826" s="876"/>
      <c r="M826" s="876"/>
      <c r="N826" s="876"/>
      <c r="O826" s="876"/>
      <c r="P826" s="876"/>
      <c r="Q826" s="877"/>
      <c r="R826" s="20"/>
      <c r="S826" s="31"/>
    </row>
    <row r="827" spans="1:19" x14ac:dyDescent="0.2">
      <c r="B827" s="872"/>
      <c r="C827" s="873"/>
      <c r="D827" s="873"/>
      <c r="E827" s="873"/>
      <c r="F827" s="876"/>
      <c r="G827" s="876"/>
      <c r="H827" s="876"/>
      <c r="I827" s="876"/>
      <c r="J827" s="876"/>
      <c r="K827" s="876"/>
      <c r="L827" s="876"/>
      <c r="M827" s="876"/>
      <c r="N827" s="876"/>
      <c r="O827" s="876"/>
      <c r="P827" s="876"/>
      <c r="Q827" s="877"/>
      <c r="R827" s="20"/>
      <c r="S827" s="31"/>
    </row>
    <row r="828" spans="1:19" x14ac:dyDescent="0.2">
      <c r="B828" s="872"/>
      <c r="C828" s="873"/>
      <c r="D828" s="873"/>
      <c r="E828" s="873"/>
      <c r="F828" s="876"/>
      <c r="G828" s="876"/>
      <c r="H828" s="876"/>
      <c r="I828" s="876"/>
      <c r="J828" s="876"/>
      <c r="K828" s="876"/>
      <c r="L828" s="876"/>
      <c r="M828" s="876"/>
      <c r="N828" s="876"/>
      <c r="O828" s="876"/>
      <c r="P828" s="876"/>
      <c r="Q828" s="877"/>
      <c r="R828" s="20"/>
      <c r="S828" s="31"/>
    </row>
    <row r="829" spans="1:19" x14ac:dyDescent="0.2">
      <c r="B829" s="872"/>
      <c r="C829" s="873"/>
      <c r="D829" s="873"/>
      <c r="E829" s="873"/>
      <c r="F829" s="876"/>
      <c r="G829" s="876"/>
      <c r="H829" s="876"/>
      <c r="I829" s="876"/>
      <c r="J829" s="876"/>
      <c r="K829" s="876"/>
      <c r="L829" s="876"/>
      <c r="M829" s="876"/>
      <c r="N829" s="876"/>
      <c r="O829" s="876"/>
      <c r="P829" s="876"/>
      <c r="Q829" s="877"/>
      <c r="R829" s="20"/>
      <c r="S829" s="31"/>
    </row>
    <row r="830" spans="1:19" x14ac:dyDescent="0.2">
      <c r="B830" s="872"/>
      <c r="C830" s="873"/>
      <c r="D830" s="873"/>
      <c r="E830" s="873"/>
      <c r="F830" s="876"/>
      <c r="G830" s="876"/>
      <c r="H830" s="876"/>
      <c r="I830" s="876"/>
      <c r="J830" s="876"/>
      <c r="K830" s="876"/>
      <c r="L830" s="876"/>
      <c r="M830" s="876"/>
      <c r="N830" s="876"/>
      <c r="O830" s="876"/>
      <c r="P830" s="876"/>
      <c r="Q830" s="877"/>
      <c r="R830" s="20"/>
      <c r="S830" s="31"/>
    </row>
    <row r="831" spans="1:19" x14ac:dyDescent="0.2">
      <c r="B831" s="878"/>
      <c r="C831" s="879"/>
      <c r="D831" s="879"/>
      <c r="E831" s="879"/>
      <c r="F831" s="880"/>
      <c r="G831" s="880"/>
      <c r="H831" s="880"/>
      <c r="I831" s="880"/>
      <c r="J831" s="880"/>
      <c r="K831" s="880"/>
      <c r="L831" s="880"/>
      <c r="M831" s="880"/>
      <c r="N831" s="880"/>
      <c r="O831" s="880"/>
      <c r="P831" s="880"/>
      <c r="Q831" s="881"/>
      <c r="R831" s="26"/>
      <c r="S831" s="31"/>
    </row>
    <row r="832" spans="1:19" x14ac:dyDescent="0.2"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31"/>
    </row>
    <row r="833" spans="1:19" x14ac:dyDescent="0.2">
      <c r="B833" s="172" t="s">
        <v>8</v>
      </c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31"/>
    </row>
    <row r="834" spans="1:19" x14ac:dyDescent="0.2">
      <c r="B834" s="868"/>
      <c r="C834" s="869"/>
      <c r="D834" s="869"/>
      <c r="E834" s="869"/>
      <c r="F834" s="882"/>
      <c r="G834" s="882"/>
      <c r="H834" s="882"/>
      <c r="I834" s="882"/>
      <c r="J834" s="882"/>
      <c r="K834" s="882"/>
      <c r="L834" s="882"/>
      <c r="M834" s="882"/>
      <c r="N834" s="882"/>
      <c r="O834" s="882"/>
      <c r="P834" s="882"/>
      <c r="Q834" s="882"/>
      <c r="R834" s="883"/>
      <c r="S834" s="31"/>
    </row>
    <row r="835" spans="1:19" s="30" customFormat="1" x14ac:dyDescent="0.2">
      <c r="B835" s="872"/>
      <c r="C835" s="873"/>
      <c r="D835" s="873"/>
      <c r="E835" s="873"/>
      <c r="F835" s="884"/>
      <c r="G835" s="884"/>
      <c r="H835" s="884"/>
      <c r="I835" s="884"/>
      <c r="J835" s="884"/>
      <c r="K835" s="884"/>
      <c r="L835" s="884"/>
      <c r="M835" s="884"/>
      <c r="N835" s="884"/>
      <c r="O835" s="884"/>
      <c r="P835" s="884"/>
      <c r="Q835" s="884"/>
      <c r="R835" s="885"/>
      <c r="S835" s="31"/>
    </row>
    <row r="836" spans="1:19" s="30" customFormat="1" x14ac:dyDescent="0.2">
      <c r="B836" s="872"/>
      <c r="C836" s="873"/>
      <c r="D836" s="873"/>
      <c r="E836" s="873"/>
      <c r="F836" s="886"/>
      <c r="G836" s="886"/>
      <c r="H836" s="886"/>
      <c r="I836" s="886"/>
      <c r="J836" s="886"/>
      <c r="K836" s="886"/>
      <c r="L836" s="886"/>
      <c r="M836" s="886"/>
      <c r="N836" s="886"/>
      <c r="O836" s="886"/>
      <c r="P836" s="886"/>
      <c r="Q836" s="886"/>
      <c r="R836" s="885"/>
      <c r="S836" s="31"/>
    </row>
    <row r="837" spans="1:19" s="30" customFormat="1" ht="20.25" x14ac:dyDescent="0.3">
      <c r="B837" s="872"/>
      <c r="C837" s="873"/>
      <c r="D837" s="873"/>
      <c r="E837" s="873"/>
      <c r="F837" s="886"/>
      <c r="G837" s="886"/>
      <c r="H837" s="886"/>
      <c r="I837" s="902" t="s">
        <v>600</v>
      </c>
      <c r="J837" s="886"/>
      <c r="K837" s="886"/>
      <c r="L837" s="886"/>
      <c r="M837" s="886"/>
      <c r="N837" s="886"/>
      <c r="O837" s="886"/>
      <c r="P837" s="886"/>
      <c r="Q837" s="886"/>
      <c r="R837" s="885"/>
      <c r="S837" s="31"/>
    </row>
    <row r="838" spans="1:19" s="30" customFormat="1" x14ac:dyDescent="0.2">
      <c r="B838" s="872"/>
      <c r="C838" s="873"/>
      <c r="D838" s="873"/>
      <c r="E838" s="873"/>
      <c r="F838" s="886"/>
      <c r="G838" s="886"/>
      <c r="H838" s="886"/>
      <c r="I838" s="886"/>
      <c r="J838" s="886"/>
      <c r="K838" s="886"/>
      <c r="L838" s="886"/>
      <c r="M838" s="886"/>
      <c r="N838" s="886"/>
      <c r="O838" s="886"/>
      <c r="P838" s="886"/>
      <c r="Q838" s="886"/>
      <c r="R838" s="885"/>
      <c r="S838" s="31"/>
    </row>
    <row r="839" spans="1:19" s="30" customFormat="1" x14ac:dyDescent="0.2">
      <c r="B839" s="872"/>
      <c r="C839" s="873"/>
      <c r="D839" s="873"/>
      <c r="E839" s="873"/>
      <c r="F839" s="886"/>
      <c r="G839" s="886"/>
      <c r="H839" s="886"/>
      <c r="I839" s="886"/>
      <c r="J839" s="886"/>
      <c r="K839" s="886"/>
      <c r="L839" s="886"/>
      <c r="M839" s="886"/>
      <c r="N839" s="886"/>
      <c r="O839" s="886"/>
      <c r="P839" s="886"/>
      <c r="Q839" s="886"/>
      <c r="R839" s="885"/>
      <c r="S839" s="31"/>
    </row>
    <row r="840" spans="1:19" s="30" customFormat="1" x14ac:dyDescent="0.2">
      <c r="B840" s="872"/>
      <c r="C840" s="873"/>
      <c r="D840" s="873"/>
      <c r="E840" s="873"/>
      <c r="F840" s="886"/>
      <c r="G840" s="886"/>
      <c r="H840" s="886"/>
      <c r="I840" s="886"/>
      <c r="J840" s="886"/>
      <c r="K840" s="886"/>
      <c r="L840" s="886"/>
      <c r="M840" s="886"/>
      <c r="N840" s="886"/>
      <c r="O840" s="886"/>
      <c r="P840" s="886"/>
      <c r="Q840" s="886"/>
      <c r="R840" s="885"/>
      <c r="S840" s="31"/>
    </row>
    <row r="841" spans="1:19" s="30" customFormat="1" x14ac:dyDescent="0.2">
      <c r="B841" s="878"/>
      <c r="C841" s="879"/>
      <c r="D841" s="879"/>
      <c r="E841" s="879"/>
      <c r="F841" s="887"/>
      <c r="G841" s="887"/>
      <c r="H841" s="887"/>
      <c r="I841" s="887"/>
      <c r="J841" s="887"/>
      <c r="K841" s="887"/>
      <c r="L841" s="887"/>
      <c r="M841" s="887"/>
      <c r="N841" s="887"/>
      <c r="O841" s="887"/>
      <c r="P841" s="887"/>
      <c r="Q841" s="887"/>
      <c r="R841" s="888"/>
      <c r="S841" s="31"/>
    </row>
    <row r="842" spans="1:19" s="30" customFormat="1" x14ac:dyDescent="0.2">
      <c r="B842" s="31"/>
      <c r="C842" s="31" t="s">
        <v>450</v>
      </c>
      <c r="D842" s="31"/>
      <c r="E842" s="31" t="s">
        <v>10</v>
      </c>
      <c r="F842" s="123">
        <f>'Weather Adj'!D182</f>
        <v>1921334.9100000001</v>
      </c>
      <c r="G842" s="169">
        <f>'Weather Adj'!E182</f>
        <v>1869187.75</v>
      </c>
      <c r="H842" s="169">
        <f>'Weather Adj'!F182</f>
        <v>2068982.99</v>
      </c>
      <c r="I842" s="169">
        <f>'Weather Adj'!G182</f>
        <v>3006871.56</v>
      </c>
      <c r="J842" s="169">
        <f>'Weather Adj'!H182</f>
        <v>3833917.62</v>
      </c>
      <c r="K842" s="169">
        <f>'Weather Adj'!I182</f>
        <v>4352917.41</v>
      </c>
      <c r="L842" s="169">
        <f>'Weather Adj'!J182</f>
        <v>4443467.74</v>
      </c>
      <c r="M842" s="169">
        <f>'Weather Adj'!K182</f>
        <v>3867486.2699999996</v>
      </c>
      <c r="N842" s="169">
        <f>'Weather Adj'!L182</f>
        <v>3813818.93</v>
      </c>
      <c r="O842" s="169">
        <f>'Weather Adj'!M182</f>
        <v>3266173.4099999997</v>
      </c>
      <c r="P842" s="169">
        <f>'Weather Adj'!N182</f>
        <v>2607580.04</v>
      </c>
      <c r="Q842" s="169">
        <f>'Weather Adj'!O182</f>
        <v>2223953.0499999998</v>
      </c>
      <c r="R842" s="124">
        <f>SUM(R836:R841)</f>
        <v>0</v>
      </c>
      <c r="S842" s="31"/>
    </row>
    <row r="843" spans="1:19" s="30" customFormat="1" x14ac:dyDescent="0.2">
      <c r="B843" s="889"/>
      <c r="C843" s="890"/>
      <c r="D843" s="890"/>
      <c r="E843" s="890"/>
      <c r="F843" s="891"/>
      <c r="G843" s="891"/>
      <c r="H843" s="891"/>
      <c r="I843" s="891"/>
      <c r="J843" s="891"/>
      <c r="K843" s="891"/>
      <c r="L843" s="891"/>
      <c r="M843" s="891"/>
      <c r="N843" s="891"/>
      <c r="O843" s="891"/>
      <c r="P843" s="891"/>
      <c r="Q843" s="891"/>
      <c r="R843" s="892"/>
      <c r="S843" s="31"/>
    </row>
    <row r="844" spans="1:19" x14ac:dyDescent="0.2"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31"/>
    </row>
    <row r="845" spans="1:19" ht="15.75" x14ac:dyDescent="0.25">
      <c r="D845" s="50"/>
      <c r="E845" s="50"/>
      <c r="F845" s="50"/>
      <c r="G845" s="50"/>
      <c r="H845" s="701" t="s">
        <v>591</v>
      </c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31"/>
    </row>
    <row r="846" spans="1:19" ht="15.75" x14ac:dyDescent="0.25">
      <c r="B846" s="172" t="s">
        <v>9</v>
      </c>
      <c r="C846" s="50"/>
      <c r="D846" s="50"/>
      <c r="E846" s="50"/>
      <c r="F846" s="50"/>
      <c r="G846" s="50"/>
      <c r="H846" s="701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31"/>
    </row>
    <row r="847" spans="1:19" x14ac:dyDescent="0.2">
      <c r="A847" t="s">
        <v>147</v>
      </c>
      <c r="B847" s="868"/>
      <c r="C847" s="869"/>
      <c r="D847" s="869"/>
      <c r="E847" s="869"/>
      <c r="F847" s="893"/>
      <c r="G847" s="893"/>
      <c r="H847" s="893"/>
      <c r="I847" s="893"/>
      <c r="J847" s="893"/>
      <c r="K847" s="893"/>
      <c r="L847" s="893"/>
      <c r="M847" s="893"/>
      <c r="N847" s="893"/>
      <c r="O847" s="893"/>
      <c r="P847" s="893"/>
      <c r="Q847" s="893"/>
      <c r="R847" s="898"/>
      <c r="S847" s="31"/>
    </row>
    <row r="848" spans="1:19" x14ac:dyDescent="0.2">
      <c r="B848" s="872"/>
      <c r="C848" s="873"/>
      <c r="D848" s="873"/>
      <c r="E848" s="873"/>
      <c r="F848" s="894"/>
      <c r="G848" s="894"/>
      <c r="H848" s="894"/>
      <c r="I848" s="894"/>
      <c r="J848" s="894"/>
      <c r="K848" s="894"/>
      <c r="L848" s="894"/>
      <c r="M848" s="894"/>
      <c r="N848" s="894"/>
      <c r="O848" s="894"/>
      <c r="P848" s="894"/>
      <c r="Q848" s="894"/>
      <c r="R848" s="899"/>
      <c r="S848" s="31"/>
    </row>
    <row r="849" spans="1:19" x14ac:dyDescent="0.2">
      <c r="B849" s="872"/>
      <c r="C849" s="873"/>
      <c r="D849" s="873"/>
      <c r="E849" s="873"/>
      <c r="F849" s="894"/>
      <c r="G849" s="894"/>
      <c r="H849" s="894"/>
      <c r="I849" s="894"/>
      <c r="J849" s="894"/>
      <c r="K849" s="894"/>
      <c r="L849" s="894"/>
      <c r="M849" s="894"/>
      <c r="N849" s="894"/>
      <c r="O849" s="894"/>
      <c r="P849" s="894"/>
      <c r="Q849" s="894"/>
      <c r="R849" s="899"/>
      <c r="S849" s="31"/>
    </row>
    <row r="850" spans="1:19" x14ac:dyDescent="0.2">
      <c r="B850" s="872"/>
      <c r="C850" s="873"/>
      <c r="D850" s="873"/>
      <c r="E850" s="873"/>
      <c r="F850" s="894"/>
      <c r="G850" s="894"/>
      <c r="H850" s="894"/>
      <c r="I850" s="894"/>
      <c r="J850" s="894"/>
      <c r="K850" s="894"/>
      <c r="L850" s="894"/>
      <c r="M850" s="894"/>
      <c r="N850" s="894"/>
      <c r="O850" s="894"/>
      <c r="P850" s="894"/>
      <c r="Q850" s="894"/>
      <c r="R850" s="899"/>
      <c r="S850" s="31"/>
    </row>
    <row r="851" spans="1:19" x14ac:dyDescent="0.2">
      <c r="B851" s="872"/>
      <c r="C851" s="873"/>
      <c r="D851" s="873"/>
      <c r="E851" s="873"/>
      <c r="F851" s="894"/>
      <c r="G851" s="894"/>
      <c r="H851" s="894"/>
      <c r="I851" s="894"/>
      <c r="J851" s="894"/>
      <c r="K851" s="894"/>
      <c r="L851" s="894"/>
      <c r="M851" s="894"/>
      <c r="N851" s="894"/>
      <c r="O851" s="894"/>
      <c r="P851" s="894"/>
      <c r="Q851" s="894"/>
      <c r="R851" s="899"/>
      <c r="S851" s="31"/>
    </row>
    <row r="852" spans="1:19" ht="20.25" x14ac:dyDescent="0.3">
      <c r="B852" s="872"/>
      <c r="C852" s="873"/>
      <c r="D852" s="873"/>
      <c r="E852" s="873"/>
      <c r="F852" s="894"/>
      <c r="G852" s="894"/>
      <c r="H852" s="894"/>
      <c r="I852" s="903" t="s">
        <v>600</v>
      </c>
      <c r="J852" s="894"/>
      <c r="K852" s="894"/>
      <c r="L852" s="894"/>
      <c r="M852" s="894"/>
      <c r="N852" s="894"/>
      <c r="O852" s="894"/>
      <c r="P852" s="894"/>
      <c r="Q852" s="894"/>
      <c r="R852" s="899"/>
      <c r="S852" s="31"/>
    </row>
    <row r="853" spans="1:19" x14ac:dyDescent="0.2">
      <c r="B853" s="872"/>
      <c r="C853" s="873"/>
      <c r="D853" s="873"/>
      <c r="E853" s="873"/>
      <c r="F853" s="894"/>
      <c r="G853" s="894"/>
      <c r="H853" s="894"/>
      <c r="I853" s="894"/>
      <c r="J853" s="894"/>
      <c r="K853" s="894"/>
      <c r="L853" s="894"/>
      <c r="M853" s="894"/>
      <c r="N853" s="894"/>
      <c r="O853" s="894"/>
      <c r="P853" s="894"/>
      <c r="Q853" s="894"/>
      <c r="R853" s="899"/>
      <c r="S853" s="31"/>
    </row>
    <row r="854" spans="1:19" x14ac:dyDescent="0.2">
      <c r="B854" s="872"/>
      <c r="C854" s="873"/>
      <c r="D854" s="873"/>
      <c r="E854" s="873"/>
      <c r="F854" s="895"/>
      <c r="G854" s="895"/>
      <c r="H854" s="895"/>
      <c r="I854" s="895"/>
      <c r="J854" s="895"/>
      <c r="K854" s="895"/>
      <c r="L854" s="895"/>
      <c r="M854" s="895"/>
      <c r="N854" s="895"/>
      <c r="O854" s="895"/>
      <c r="P854" s="895"/>
      <c r="Q854" s="895"/>
      <c r="R854" s="900"/>
      <c r="S854" s="31"/>
    </row>
    <row r="855" spans="1:19" x14ac:dyDescent="0.2">
      <c r="A855" t="s">
        <v>147</v>
      </c>
      <c r="B855" s="872"/>
      <c r="C855" s="873"/>
      <c r="D855" s="873"/>
      <c r="E855" s="873"/>
      <c r="F855" s="894"/>
      <c r="G855" s="894"/>
      <c r="H855" s="894"/>
      <c r="I855" s="894"/>
      <c r="J855" s="894"/>
      <c r="K855" s="894"/>
      <c r="L855" s="894"/>
      <c r="M855" s="894"/>
      <c r="N855" s="894"/>
      <c r="O855" s="894"/>
      <c r="P855" s="894"/>
      <c r="Q855" s="894"/>
      <c r="R855" s="899"/>
      <c r="S855" s="31"/>
    </row>
    <row r="856" spans="1:19" x14ac:dyDescent="0.2">
      <c r="A856" t="s">
        <v>551</v>
      </c>
      <c r="B856" s="872"/>
      <c r="C856" s="873"/>
      <c r="D856" s="873"/>
      <c r="E856" s="873"/>
      <c r="F856" s="894"/>
      <c r="G856" s="894"/>
      <c r="H856" s="894"/>
      <c r="I856" s="894"/>
      <c r="J856" s="894"/>
      <c r="K856" s="894"/>
      <c r="L856" s="894"/>
      <c r="M856" s="894"/>
      <c r="N856" s="894"/>
      <c r="O856" s="894"/>
      <c r="P856" s="894"/>
      <c r="Q856" s="894"/>
      <c r="R856" s="899"/>
      <c r="S856" s="31"/>
    </row>
    <row r="857" spans="1:19" x14ac:dyDescent="0.2">
      <c r="A857" t="s">
        <v>147</v>
      </c>
      <c r="B857" s="872"/>
      <c r="C857" s="873"/>
      <c r="D857" s="873"/>
      <c r="E857" s="873"/>
      <c r="F857" s="895"/>
      <c r="G857" s="895"/>
      <c r="H857" s="895"/>
      <c r="I857" s="895"/>
      <c r="J857" s="895"/>
      <c r="K857" s="895"/>
      <c r="L857" s="895"/>
      <c r="M857" s="895"/>
      <c r="N857" s="895"/>
      <c r="O857" s="895"/>
      <c r="P857" s="895"/>
      <c r="Q857" s="895"/>
      <c r="R857" s="897"/>
      <c r="S857" s="31"/>
    </row>
    <row r="858" spans="1:19" x14ac:dyDescent="0.2">
      <c r="B858" s="878"/>
      <c r="C858" s="879"/>
      <c r="D858" s="879"/>
      <c r="E858" s="879"/>
      <c r="F858" s="896"/>
      <c r="G858" s="896"/>
      <c r="H858" s="896"/>
      <c r="I858" s="896"/>
      <c r="J858" s="896"/>
      <c r="K858" s="896"/>
      <c r="L858" s="896"/>
      <c r="M858" s="896"/>
      <c r="N858" s="896"/>
      <c r="O858" s="896"/>
      <c r="P858" s="896"/>
      <c r="Q858" s="897"/>
      <c r="R858" s="40"/>
      <c r="S858" s="31"/>
    </row>
    <row r="859" spans="1:19" x14ac:dyDescent="0.2"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31"/>
    </row>
    <row r="860" spans="1:19" x14ac:dyDescent="0.2">
      <c r="B860" s="15" t="s">
        <v>77</v>
      </c>
      <c r="S860" s="31"/>
    </row>
    <row r="861" spans="1:19" x14ac:dyDescent="0.2">
      <c r="B861" s="15" t="s">
        <v>66</v>
      </c>
      <c r="S861" s="31"/>
    </row>
    <row r="862" spans="1:19" x14ac:dyDescent="0.2">
      <c r="B862" s="102" t="s">
        <v>11</v>
      </c>
      <c r="D862">
        <v>16</v>
      </c>
      <c r="F862" s="22">
        <f t="shared" ref="F862:Q862" si="549">F15</f>
        <v>43.47768421052632</v>
      </c>
      <c r="G862" s="22">
        <f t="shared" si="549"/>
        <v>43.206684210526319</v>
      </c>
      <c r="H862" s="22">
        <f t="shared" si="549"/>
        <v>40.764105263157894</v>
      </c>
      <c r="I862" s="22">
        <f t="shared" si="549"/>
        <v>43.372736842105262</v>
      </c>
      <c r="J862" s="22">
        <f t="shared" si="549"/>
        <v>41.239421052631577</v>
      </c>
      <c r="K862" s="22">
        <f t="shared" si="549"/>
        <v>42.110894736842106</v>
      </c>
      <c r="L862" s="22">
        <f t="shared" si="549"/>
        <v>41.98047368421053</v>
      </c>
      <c r="M862" s="22">
        <f t="shared" si="549"/>
        <v>38.085421052631581</v>
      </c>
      <c r="N862" s="22">
        <f t="shared" si="549"/>
        <v>43.992421052631578</v>
      </c>
      <c r="O862" s="22">
        <f t="shared" si="549"/>
        <v>43.244789473684207</v>
      </c>
      <c r="P862" s="22">
        <f t="shared" si="549"/>
        <v>43.088157894736838</v>
      </c>
      <c r="Q862" s="22">
        <f t="shared" si="549"/>
        <v>40.281684210526315</v>
      </c>
      <c r="R862" s="107">
        <f>SUM(F862:Q862)</f>
        <v>504.84447368421053</v>
      </c>
      <c r="S862" s="62"/>
    </row>
    <row r="863" spans="1:19" x14ac:dyDescent="0.2">
      <c r="B863" s="10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31"/>
    </row>
    <row r="864" spans="1:19" x14ac:dyDescent="0.2">
      <c r="B864" t="s">
        <v>316</v>
      </c>
      <c r="S864" s="31"/>
    </row>
    <row r="865" spans="3:19" x14ac:dyDescent="0.2">
      <c r="C865" t="s">
        <v>72</v>
      </c>
      <c r="D865">
        <v>23</v>
      </c>
      <c r="E865" s="22"/>
      <c r="F865" s="22">
        <f t="shared" ref="F865:Q865" si="550">F36</f>
        <v>791033.10106899915</v>
      </c>
      <c r="G865" s="22">
        <f t="shared" si="550"/>
        <v>799125.72983479116</v>
      </c>
      <c r="H865" s="22">
        <f t="shared" si="550"/>
        <v>753288.30126336252</v>
      </c>
      <c r="I865" s="22">
        <f t="shared" si="550"/>
        <v>788504.85519922257</v>
      </c>
      <c r="J865" s="22">
        <f t="shared" si="550"/>
        <v>754044.3041788144</v>
      </c>
      <c r="K865" s="22">
        <f t="shared" si="550"/>
        <v>778711.52441646787</v>
      </c>
      <c r="L865" s="22">
        <f t="shared" si="550"/>
        <v>781852.52976234653</v>
      </c>
      <c r="M865" s="22">
        <f t="shared" si="550"/>
        <v>710122.15909090906</v>
      </c>
      <c r="N865" s="22">
        <f t="shared" si="550"/>
        <v>810554.56545454555</v>
      </c>
      <c r="O865" s="22">
        <f t="shared" si="550"/>
        <v>796412.53272727272</v>
      </c>
      <c r="P865" s="22">
        <f t="shared" si="550"/>
        <v>800300.15272727271</v>
      </c>
      <c r="Q865" s="22">
        <f t="shared" si="550"/>
        <v>765726.25818181818</v>
      </c>
      <c r="R865" s="107">
        <f>SUM(F865:Q865)</f>
        <v>9329676.0139058214</v>
      </c>
      <c r="S865" s="62"/>
    </row>
    <row r="866" spans="3:19" x14ac:dyDescent="0.2">
      <c r="C866" t="s">
        <v>75</v>
      </c>
      <c r="D866">
        <v>53</v>
      </c>
      <c r="E866" s="22"/>
      <c r="F866" s="22">
        <f t="shared" ref="F866:Q866" si="551">F56</f>
        <v>1.0145772594752187</v>
      </c>
      <c r="G866" s="22">
        <f t="shared" si="551"/>
        <v>1.0505344995140915</v>
      </c>
      <c r="H866" s="22">
        <f t="shared" si="551"/>
        <v>0.9659863945578232</v>
      </c>
      <c r="I866" s="22">
        <f t="shared" si="551"/>
        <v>1.0174927113702625</v>
      </c>
      <c r="J866" s="22">
        <f t="shared" si="551"/>
        <v>1.0165208940719146</v>
      </c>
      <c r="K866" s="22">
        <f t="shared" si="551"/>
        <v>0.98158582913684955</v>
      </c>
      <c r="L866" s="22">
        <f t="shared" si="551"/>
        <v>1.2354545454545454</v>
      </c>
      <c r="M866" s="22">
        <f t="shared" si="551"/>
        <v>0.25</v>
      </c>
      <c r="N866" s="22">
        <f t="shared" si="551"/>
        <v>0</v>
      </c>
      <c r="O866" s="22">
        <f t="shared" si="551"/>
        <v>0</v>
      </c>
      <c r="P866" s="22">
        <f t="shared" si="551"/>
        <v>0</v>
      </c>
      <c r="Q866" s="22">
        <f t="shared" si="551"/>
        <v>0</v>
      </c>
      <c r="R866" s="107">
        <f>SUM(F866:Q866)</f>
        <v>7.5321521335807056</v>
      </c>
      <c r="S866" s="62"/>
    </row>
    <row r="867" spans="3:19" x14ac:dyDescent="0.2">
      <c r="C867" t="s">
        <v>101</v>
      </c>
      <c r="D867">
        <v>31</v>
      </c>
      <c r="E867" s="22"/>
      <c r="F867" s="22">
        <f t="shared" ref="F867:Q867" si="552">F78</f>
        <v>55936.156343956711</v>
      </c>
      <c r="G867" s="22">
        <f t="shared" si="552"/>
        <v>56724.969933854481</v>
      </c>
      <c r="H867" s="22">
        <f t="shared" si="552"/>
        <v>53454.891160553219</v>
      </c>
      <c r="I867" s="22">
        <f t="shared" si="552"/>
        <v>55802.520745640417</v>
      </c>
      <c r="J867" s="22">
        <f t="shared" si="552"/>
        <v>53601.754359591105</v>
      </c>
      <c r="K867" s="22">
        <f t="shared" si="552"/>
        <v>55562.214992229521</v>
      </c>
      <c r="L867" s="22">
        <f t="shared" si="552"/>
        <v>55587.03296056504</v>
      </c>
      <c r="M867" s="22">
        <f t="shared" si="552"/>
        <v>50550.286933490293</v>
      </c>
      <c r="N867" s="22">
        <f t="shared" si="552"/>
        <v>57714.630076515597</v>
      </c>
      <c r="O867" s="22">
        <f t="shared" si="552"/>
        <v>56418.82960565039</v>
      </c>
      <c r="P867" s="22">
        <f t="shared" si="552"/>
        <v>56698.709888059711</v>
      </c>
      <c r="Q867" s="22">
        <f t="shared" si="552"/>
        <v>54030.333644278617</v>
      </c>
      <c r="R867" s="107">
        <f>SUM(F867:Q867)</f>
        <v>662082.33064438507</v>
      </c>
      <c r="S867" s="62"/>
    </row>
    <row r="868" spans="3:19" x14ac:dyDescent="0.2">
      <c r="C868" t="s">
        <v>538</v>
      </c>
      <c r="D868" s="21" t="s">
        <v>387</v>
      </c>
      <c r="E868" s="22"/>
      <c r="F868" s="22">
        <f t="shared" ref="F868:R868" si="553">F123</f>
        <v>2</v>
      </c>
      <c r="G868" s="22">
        <f t="shared" si="553"/>
        <v>2</v>
      </c>
      <c r="H868" s="22">
        <f t="shared" si="553"/>
        <v>2.9999999999999996</v>
      </c>
      <c r="I868" s="22">
        <f t="shared" si="553"/>
        <v>2</v>
      </c>
      <c r="J868" s="22">
        <f t="shared" si="553"/>
        <v>2</v>
      </c>
      <c r="K868" s="22">
        <f t="shared" si="553"/>
        <v>2.000020827694831</v>
      </c>
      <c r="L868" s="22">
        <f t="shared" si="553"/>
        <v>2</v>
      </c>
      <c r="M868" s="22">
        <f t="shared" si="553"/>
        <v>2</v>
      </c>
      <c r="N868" s="22">
        <f t="shared" si="553"/>
        <v>2</v>
      </c>
      <c r="O868" s="22">
        <f t="shared" si="553"/>
        <v>2</v>
      </c>
      <c r="P868" s="22">
        <f t="shared" si="553"/>
        <v>2</v>
      </c>
      <c r="Q868" s="22">
        <f t="shared" si="553"/>
        <v>2</v>
      </c>
      <c r="R868" s="22">
        <f t="shared" si="553"/>
        <v>25.000020827694833</v>
      </c>
      <c r="S868" s="62"/>
    </row>
    <row r="869" spans="3:19" x14ac:dyDescent="0.2">
      <c r="C869" t="s">
        <v>102</v>
      </c>
      <c r="D869">
        <v>41</v>
      </c>
      <c r="E869" s="22"/>
      <c r="F869" s="22">
        <f t="shared" ref="F869:Q869" si="554">F175</f>
        <v>1287.9778656126482</v>
      </c>
      <c r="G869" s="22">
        <f t="shared" si="554"/>
        <v>1316.455248133509</v>
      </c>
      <c r="H869" s="22">
        <f t="shared" si="554"/>
        <v>1244.5072463768115</v>
      </c>
      <c r="I869" s="22">
        <f t="shared" si="554"/>
        <v>1291.2735177865613</v>
      </c>
      <c r="J869" s="22">
        <f t="shared" si="554"/>
        <v>1236.0861660079051</v>
      </c>
      <c r="K869" s="22">
        <f t="shared" si="554"/>
        <v>1293.4686895375128</v>
      </c>
      <c r="L869" s="22">
        <f t="shared" si="554"/>
        <v>1289.8973869259485</v>
      </c>
      <c r="M869" s="22">
        <f t="shared" si="554"/>
        <v>1185.0315131521834</v>
      </c>
      <c r="N869" s="22">
        <f t="shared" si="554"/>
        <v>1331.4759093671325</v>
      </c>
      <c r="O869" s="22">
        <f t="shared" si="554"/>
        <v>1305.7300112857019</v>
      </c>
      <c r="P869" s="22">
        <f t="shared" si="554"/>
        <v>1296.0508315324626</v>
      </c>
      <c r="Q869" s="22">
        <f t="shared" si="554"/>
        <v>817.19421215822592</v>
      </c>
      <c r="R869" s="107">
        <f t="shared" ref="R869:R886" si="555">SUM(F869:Q869)</f>
        <v>14895.148597876603</v>
      </c>
      <c r="S869" s="62"/>
    </row>
    <row r="870" spans="3:19" x14ac:dyDescent="0.2">
      <c r="C870" t="s">
        <v>277</v>
      </c>
      <c r="D870" s="21" t="s">
        <v>236</v>
      </c>
      <c r="E870" s="22"/>
      <c r="F870" s="22">
        <f t="shared" ref="F870:Q870" si="556">F263</f>
        <v>72</v>
      </c>
      <c r="G870" s="22">
        <f t="shared" si="556"/>
        <v>73</v>
      </c>
      <c r="H870" s="22">
        <f t="shared" si="556"/>
        <v>73</v>
      </c>
      <c r="I870" s="22">
        <f t="shared" si="556"/>
        <v>74</v>
      </c>
      <c r="J870" s="22">
        <f t="shared" si="556"/>
        <v>75</v>
      </c>
      <c r="K870" s="22">
        <f t="shared" si="556"/>
        <v>74.999888514211207</v>
      </c>
      <c r="L870" s="22">
        <f t="shared" si="556"/>
        <v>77</v>
      </c>
      <c r="M870" s="22">
        <f t="shared" si="556"/>
        <v>78.999999999999986</v>
      </c>
      <c r="N870" s="22">
        <f t="shared" si="556"/>
        <v>78.999999999999986</v>
      </c>
      <c r="O870" s="22">
        <f t="shared" si="556"/>
        <v>81</v>
      </c>
      <c r="P870" s="22">
        <f t="shared" si="556"/>
        <v>81</v>
      </c>
      <c r="Q870" s="22">
        <f t="shared" si="556"/>
        <v>83</v>
      </c>
      <c r="R870" s="107">
        <f t="shared" si="555"/>
        <v>921.99988851421119</v>
      </c>
      <c r="S870" s="62"/>
    </row>
    <row r="871" spans="3:19" x14ac:dyDescent="0.2">
      <c r="C871" t="s">
        <v>278</v>
      </c>
      <c r="D871" s="21" t="s">
        <v>231</v>
      </c>
      <c r="E871" s="22"/>
      <c r="F871" s="22">
        <f t="shared" ref="F871:Q871" si="557">F433</f>
        <v>33</v>
      </c>
      <c r="G871" s="22">
        <f t="shared" si="557"/>
        <v>33</v>
      </c>
      <c r="H871" s="22">
        <f t="shared" si="557"/>
        <v>33</v>
      </c>
      <c r="I871" s="22">
        <f t="shared" si="557"/>
        <v>33</v>
      </c>
      <c r="J871" s="22">
        <f t="shared" si="557"/>
        <v>33</v>
      </c>
      <c r="K871" s="22">
        <f t="shared" si="557"/>
        <v>32.999880693439685</v>
      </c>
      <c r="L871" s="22">
        <f t="shared" si="557"/>
        <v>33</v>
      </c>
      <c r="M871" s="22">
        <f t="shared" si="557"/>
        <v>33</v>
      </c>
      <c r="N871" s="22">
        <f t="shared" si="557"/>
        <v>33</v>
      </c>
      <c r="O871" s="22">
        <f t="shared" si="557"/>
        <v>33.00002141855061</v>
      </c>
      <c r="P871" s="22">
        <f t="shared" si="557"/>
        <v>33</v>
      </c>
      <c r="Q871" s="22">
        <f t="shared" si="557"/>
        <v>33</v>
      </c>
      <c r="R871" s="107">
        <f t="shared" si="555"/>
        <v>395.99990211199025</v>
      </c>
      <c r="S871" s="62"/>
    </row>
    <row r="872" spans="3:19" x14ac:dyDescent="0.2">
      <c r="C872" t="s">
        <v>312</v>
      </c>
      <c r="D872" s="21" t="s">
        <v>232</v>
      </c>
      <c r="E872" s="22"/>
      <c r="F872" s="22">
        <f t="shared" ref="F872:Q872" si="558">F744</f>
        <v>2.9999999999999996</v>
      </c>
      <c r="G872" s="22">
        <f t="shared" si="558"/>
        <v>2.9999999999999996</v>
      </c>
      <c r="H872" s="22">
        <f t="shared" si="558"/>
        <v>2.9999999999999996</v>
      </c>
      <c r="I872" s="22">
        <f t="shared" si="558"/>
        <v>2.9999999999999996</v>
      </c>
      <c r="J872" s="22">
        <f t="shared" si="558"/>
        <v>2.9999999999999996</v>
      </c>
      <c r="K872" s="22">
        <f t="shared" si="558"/>
        <v>3.0000127913274506</v>
      </c>
      <c r="L872" s="22">
        <f t="shared" si="558"/>
        <v>3</v>
      </c>
      <c r="M872" s="22">
        <f t="shared" si="558"/>
        <v>3</v>
      </c>
      <c r="N872" s="22">
        <f t="shared" si="558"/>
        <v>3</v>
      </c>
      <c r="O872" s="22">
        <f t="shared" si="558"/>
        <v>3</v>
      </c>
      <c r="P872" s="22">
        <f t="shared" si="558"/>
        <v>2.9999999999999996</v>
      </c>
      <c r="Q872" s="22">
        <f t="shared" si="558"/>
        <v>2.9999999999999996</v>
      </c>
      <c r="R872" s="107">
        <f t="shared" si="555"/>
        <v>36.00001279132745</v>
      </c>
      <c r="S872" s="62"/>
    </row>
    <row r="873" spans="3:19" x14ac:dyDescent="0.2">
      <c r="C873" t="s">
        <v>134</v>
      </c>
      <c r="D873">
        <v>85</v>
      </c>
      <c r="E873" s="22"/>
      <c r="F873" s="22">
        <f t="shared" ref="F873:Q873" si="559">F344</f>
        <v>22.642907679399361</v>
      </c>
      <c r="G873" s="22">
        <f t="shared" si="559"/>
        <v>23.143396991165101</v>
      </c>
      <c r="H873" s="22">
        <f t="shared" si="559"/>
        <v>22.896424270523134</v>
      </c>
      <c r="I873" s="22">
        <f t="shared" si="559"/>
        <v>24.089516671707617</v>
      </c>
      <c r="J873" s="22">
        <f t="shared" si="559"/>
        <v>23.905858893995589</v>
      </c>
      <c r="K873" s="22">
        <f t="shared" si="559"/>
        <v>25.340302967426002</v>
      </c>
      <c r="L873" s="22">
        <f t="shared" si="559"/>
        <v>24.117983299847172</v>
      </c>
      <c r="M873" s="22">
        <f t="shared" si="559"/>
        <v>23.37605519083894</v>
      </c>
      <c r="N873" s="22">
        <f t="shared" si="559"/>
        <v>24.507833165654986</v>
      </c>
      <c r="O873" s="22">
        <f t="shared" si="559"/>
        <v>24.002119284044948</v>
      </c>
      <c r="P873" s="22">
        <f t="shared" si="559"/>
        <v>24.086570537944109</v>
      </c>
      <c r="Q873" s="22">
        <f t="shared" si="559"/>
        <v>21.373717119054994</v>
      </c>
      <c r="R873" s="107">
        <f t="shared" si="555"/>
        <v>283.4826860716019</v>
      </c>
      <c r="S873" s="62"/>
    </row>
    <row r="874" spans="3:19" x14ac:dyDescent="0.2">
      <c r="C874" t="s">
        <v>133</v>
      </c>
      <c r="D874">
        <v>86</v>
      </c>
      <c r="E874" s="22"/>
      <c r="F874" s="22">
        <f t="shared" ref="F874:Q874" si="560">F511</f>
        <v>225.0993511477011</v>
      </c>
      <c r="G874" s="22">
        <f t="shared" si="560"/>
        <v>225.46549919765576</v>
      </c>
      <c r="H874" s="22">
        <f t="shared" si="560"/>
        <v>215.11086304332656</v>
      </c>
      <c r="I874" s="22">
        <f t="shared" si="560"/>
        <v>223.09404869880692</v>
      </c>
      <c r="J874" s="22">
        <f t="shared" si="560"/>
        <v>212.5506174562199</v>
      </c>
      <c r="K874" s="22">
        <f t="shared" si="560"/>
        <v>220.54810202637975</v>
      </c>
      <c r="L874" s="22">
        <f t="shared" si="560"/>
        <v>221.02480064873632</v>
      </c>
      <c r="M874" s="22">
        <f t="shared" si="560"/>
        <v>202.04635761589404</v>
      </c>
      <c r="N874" s="22">
        <f t="shared" si="560"/>
        <v>229.08034869576969</v>
      </c>
      <c r="O874" s="22">
        <f t="shared" si="560"/>
        <v>223.33720773077445</v>
      </c>
      <c r="P874" s="22">
        <f t="shared" si="560"/>
        <v>221.29097301951776</v>
      </c>
      <c r="Q874" s="22">
        <f t="shared" si="560"/>
        <v>210.97079506314577</v>
      </c>
      <c r="R874" s="107">
        <f t="shared" si="555"/>
        <v>2629.6189643439284</v>
      </c>
      <c r="S874" s="62"/>
    </row>
    <row r="875" spans="3:19" x14ac:dyDescent="0.2">
      <c r="C875" t="s">
        <v>138</v>
      </c>
      <c r="D875">
        <v>87</v>
      </c>
      <c r="E875" s="22"/>
      <c r="F875" s="22">
        <f t="shared" ref="F875:Q875" si="561">F637</f>
        <v>5.0130693501152717</v>
      </c>
      <c r="G875" s="22">
        <f t="shared" si="561"/>
        <v>5.1748862857498912</v>
      </c>
      <c r="H875" s="22">
        <f t="shared" si="561"/>
        <v>4.901177643466883</v>
      </c>
      <c r="I875" s="22">
        <f t="shared" si="561"/>
        <v>4.975668265935572</v>
      </c>
      <c r="J875" s="22">
        <f t="shared" si="561"/>
        <v>5.1083556607888339</v>
      </c>
      <c r="K875" s="22">
        <f t="shared" si="561"/>
        <v>5.1238280397033344</v>
      </c>
      <c r="L875" s="22">
        <f t="shared" si="561"/>
        <v>5.0417959266253032</v>
      </c>
      <c r="M875" s="22">
        <f t="shared" si="561"/>
        <v>4.8582074453736173</v>
      </c>
      <c r="N875" s="22">
        <f t="shared" si="561"/>
        <v>5</v>
      </c>
      <c r="O875" s="22">
        <f t="shared" si="561"/>
        <v>4.9655044510385755</v>
      </c>
      <c r="P875" s="22">
        <f t="shared" si="561"/>
        <v>5.101185884210337</v>
      </c>
      <c r="Q875" s="22">
        <f t="shared" si="561"/>
        <v>4.8688171657187969</v>
      </c>
      <c r="R875" s="107">
        <f t="shared" si="555"/>
        <v>60.132496118726415</v>
      </c>
      <c r="S875" s="62"/>
    </row>
    <row r="876" spans="3:19" x14ac:dyDescent="0.2">
      <c r="C876" t="s">
        <v>104</v>
      </c>
      <c r="D876">
        <v>31</v>
      </c>
      <c r="E876" s="22"/>
      <c r="F876" s="22">
        <f t="shared" ref="F876:Q876" si="562">F101</f>
        <v>2342.3767288033673</v>
      </c>
      <c r="G876" s="22">
        <f t="shared" si="562"/>
        <v>2373.6885147324115</v>
      </c>
      <c r="H876" s="22">
        <f t="shared" si="562"/>
        <v>2229.5706554419726</v>
      </c>
      <c r="I876" s="22">
        <f t="shared" si="562"/>
        <v>2333.3463619963923</v>
      </c>
      <c r="J876" s="22">
        <f t="shared" si="562"/>
        <v>2250.1939266386048</v>
      </c>
      <c r="K876" s="22">
        <f t="shared" si="562"/>
        <v>2314.2957372611745</v>
      </c>
      <c r="L876" s="22">
        <f t="shared" si="562"/>
        <v>2323.4841082989997</v>
      </c>
      <c r="M876" s="22">
        <f t="shared" si="562"/>
        <v>2108.1477339611538</v>
      </c>
      <c r="N876" s="22">
        <f t="shared" si="562"/>
        <v>2392.2798705120663</v>
      </c>
      <c r="O876" s="22">
        <f t="shared" si="562"/>
        <v>2357.4690994702769</v>
      </c>
      <c r="P876" s="22">
        <f t="shared" si="562"/>
        <v>2366.1710199004979</v>
      </c>
      <c r="Q876" s="22">
        <f t="shared" si="562"/>
        <v>2225.5973258706472</v>
      </c>
      <c r="R876" s="107">
        <f t="shared" si="555"/>
        <v>27616.621082887563</v>
      </c>
      <c r="S876" s="62"/>
    </row>
    <row r="877" spans="3:19" x14ac:dyDescent="0.2">
      <c r="C877" t="s">
        <v>537</v>
      </c>
      <c r="D877" s="21" t="s">
        <v>387</v>
      </c>
      <c r="E877" s="22"/>
      <c r="F877" s="22">
        <f t="shared" ref="F877:Q877" si="563">F145</f>
        <v>1</v>
      </c>
      <c r="G877" s="22">
        <f t="shared" si="563"/>
        <v>1</v>
      </c>
      <c r="H877" s="22">
        <f t="shared" si="563"/>
        <v>1</v>
      </c>
      <c r="I877" s="22">
        <f t="shared" si="563"/>
        <v>1</v>
      </c>
      <c r="J877" s="22">
        <f t="shared" si="563"/>
        <v>1</v>
      </c>
      <c r="K877" s="22">
        <f t="shared" si="563"/>
        <v>1.0000104138474155</v>
      </c>
      <c r="L877" s="22">
        <f t="shared" si="563"/>
        <v>1</v>
      </c>
      <c r="M877" s="22">
        <f t="shared" si="563"/>
        <v>1</v>
      </c>
      <c r="N877" s="22">
        <f t="shared" si="563"/>
        <v>1</v>
      </c>
      <c r="O877" s="22">
        <f t="shared" si="563"/>
        <v>1</v>
      </c>
      <c r="P877" s="22">
        <f t="shared" si="563"/>
        <v>1</v>
      </c>
      <c r="Q877" s="22">
        <f t="shared" si="563"/>
        <v>1</v>
      </c>
      <c r="R877" s="649">
        <f t="shared" si="555"/>
        <v>12.000010413847416</v>
      </c>
      <c r="S877" s="62"/>
    </row>
    <row r="878" spans="3:19" x14ac:dyDescent="0.2">
      <c r="C878" t="s">
        <v>105</v>
      </c>
      <c r="D878">
        <v>41</v>
      </c>
      <c r="E878" s="22"/>
      <c r="F878" s="22">
        <f t="shared" ref="F878:Q878" si="564">F221</f>
        <v>80.497848045674132</v>
      </c>
      <c r="G878" s="22">
        <f t="shared" si="564"/>
        <v>80.037417654808962</v>
      </c>
      <c r="H878" s="22">
        <f t="shared" si="564"/>
        <v>76.810803689064556</v>
      </c>
      <c r="I878" s="22">
        <f t="shared" si="564"/>
        <v>78.018093983311388</v>
      </c>
      <c r="J878" s="22">
        <f t="shared" si="564"/>
        <v>73.751075977162927</v>
      </c>
      <c r="K878" s="22">
        <f t="shared" si="564"/>
        <v>76.034583865049214</v>
      </c>
      <c r="L878" s="22">
        <f t="shared" si="564"/>
        <v>73.09532077437278</v>
      </c>
      <c r="M878" s="22">
        <f t="shared" si="564"/>
        <v>69.06155048181266</v>
      </c>
      <c r="N878" s="22">
        <f t="shared" si="564"/>
        <v>74.83974303324942</v>
      </c>
      <c r="O878" s="22">
        <f t="shared" si="564"/>
        <v>74.071099921868225</v>
      </c>
      <c r="P878" s="22">
        <f t="shared" si="564"/>
        <v>74.148642300103347</v>
      </c>
      <c r="Q878" s="22">
        <f t="shared" si="564"/>
        <v>31.613924645306774</v>
      </c>
      <c r="R878" s="107">
        <f t="shared" si="555"/>
        <v>861.98010437178436</v>
      </c>
      <c r="S878" s="62"/>
    </row>
    <row r="879" spans="3:19" x14ac:dyDescent="0.2">
      <c r="C879" t="s">
        <v>313</v>
      </c>
      <c r="D879" s="21" t="s">
        <v>236</v>
      </c>
      <c r="E879" s="22"/>
      <c r="F879" s="22">
        <f t="shared" ref="F879:Q879" si="565">F301</f>
        <v>27</v>
      </c>
      <c r="G879" s="22">
        <f t="shared" si="565"/>
        <v>25.033340924618535</v>
      </c>
      <c r="H879" s="22">
        <f t="shared" si="565"/>
        <v>25</v>
      </c>
      <c r="I879" s="22">
        <f t="shared" si="565"/>
        <v>25</v>
      </c>
      <c r="J879" s="22">
        <f t="shared" si="565"/>
        <v>25</v>
      </c>
      <c r="K879" s="22">
        <f t="shared" si="565"/>
        <v>24.999962838070402</v>
      </c>
      <c r="L879" s="22">
        <f t="shared" si="565"/>
        <v>25</v>
      </c>
      <c r="M879" s="22">
        <f t="shared" si="565"/>
        <v>25.035719108710332</v>
      </c>
      <c r="N879" s="22">
        <f t="shared" si="565"/>
        <v>25</v>
      </c>
      <c r="O879" s="22">
        <f t="shared" si="565"/>
        <v>24</v>
      </c>
      <c r="P879" s="22">
        <f t="shared" si="565"/>
        <v>22</v>
      </c>
      <c r="Q879" s="22">
        <f t="shared" si="565"/>
        <v>22</v>
      </c>
      <c r="R879" s="107">
        <f t="shared" si="555"/>
        <v>295.06902287139928</v>
      </c>
      <c r="S879" s="62"/>
    </row>
    <row r="880" spans="3:19" x14ac:dyDescent="0.2">
      <c r="C880" t="s">
        <v>314</v>
      </c>
      <c r="D880" s="21" t="s">
        <v>231</v>
      </c>
      <c r="E880" s="22"/>
      <c r="F880" s="22">
        <f t="shared" ref="F880:Q880" si="566">F470</f>
        <v>69.033338330085456</v>
      </c>
      <c r="G880" s="22">
        <f t="shared" si="566"/>
        <v>69.033328336581221</v>
      </c>
      <c r="H880" s="22">
        <f t="shared" si="566"/>
        <v>68.937500624594009</v>
      </c>
      <c r="I880" s="22">
        <f t="shared" si="566"/>
        <v>68.362504372158099</v>
      </c>
      <c r="J880" s="22">
        <f t="shared" si="566"/>
        <v>69.000000000000014</v>
      </c>
      <c r="K880" s="22">
        <f t="shared" si="566"/>
        <v>68.999750540828444</v>
      </c>
      <c r="L880" s="22">
        <f t="shared" si="566"/>
        <v>69</v>
      </c>
      <c r="M880" s="22">
        <f t="shared" si="566"/>
        <v>69</v>
      </c>
      <c r="N880" s="22">
        <f t="shared" si="566"/>
        <v>69</v>
      </c>
      <c r="O880" s="22">
        <f t="shared" si="566"/>
        <v>69.000032127825918</v>
      </c>
      <c r="P880" s="22">
        <f t="shared" si="566"/>
        <v>70</v>
      </c>
      <c r="Q880" s="22">
        <f t="shared" si="566"/>
        <v>71</v>
      </c>
      <c r="R880" s="107">
        <f t="shared" si="555"/>
        <v>830.36645433207309</v>
      </c>
      <c r="S880" s="62"/>
    </row>
    <row r="881" spans="2:19" x14ac:dyDescent="0.2">
      <c r="C881" t="s">
        <v>329</v>
      </c>
      <c r="D881" s="21" t="s">
        <v>298</v>
      </c>
      <c r="E881" s="22"/>
      <c r="F881" s="22">
        <f t="shared" ref="F881:Q881" si="567">F594</f>
        <v>4</v>
      </c>
      <c r="G881" s="22">
        <f t="shared" si="567"/>
        <v>4</v>
      </c>
      <c r="H881" s="22">
        <f t="shared" si="567"/>
        <v>4</v>
      </c>
      <c r="I881" s="22">
        <f t="shared" si="567"/>
        <v>4</v>
      </c>
      <c r="J881" s="22">
        <f t="shared" si="567"/>
        <v>2</v>
      </c>
      <c r="K881" s="22">
        <f t="shared" si="567"/>
        <v>1.9999719301096293</v>
      </c>
      <c r="L881" s="22">
        <f t="shared" si="567"/>
        <v>2</v>
      </c>
      <c r="M881" s="22">
        <f t="shared" si="567"/>
        <v>2</v>
      </c>
      <c r="N881" s="22">
        <f t="shared" si="567"/>
        <v>2</v>
      </c>
      <c r="O881" s="22">
        <f t="shared" si="567"/>
        <v>2</v>
      </c>
      <c r="P881" s="22">
        <f t="shared" si="567"/>
        <v>2</v>
      </c>
      <c r="Q881" s="22">
        <f t="shared" si="567"/>
        <v>2</v>
      </c>
      <c r="R881" s="107">
        <f t="shared" si="555"/>
        <v>31.999971930109631</v>
      </c>
      <c r="S881" s="62"/>
    </row>
    <row r="882" spans="2:19" x14ac:dyDescent="0.2">
      <c r="C882" t="s">
        <v>315</v>
      </c>
      <c r="D882" s="21" t="s">
        <v>232</v>
      </c>
      <c r="E882" s="22"/>
      <c r="F882" s="22">
        <f t="shared" ref="F882:Q882" si="568">F790</f>
        <v>5.9999999999999991</v>
      </c>
      <c r="G882" s="22">
        <f t="shared" si="568"/>
        <v>5.9999999999999991</v>
      </c>
      <c r="H882" s="22">
        <f t="shared" si="568"/>
        <v>5.9999999999999991</v>
      </c>
      <c r="I882" s="22">
        <f t="shared" si="568"/>
        <v>5.9999999999999991</v>
      </c>
      <c r="J882" s="22">
        <f t="shared" si="568"/>
        <v>5.9999999999999991</v>
      </c>
      <c r="K882" s="22">
        <f t="shared" si="568"/>
        <v>6.0000255826549012</v>
      </c>
      <c r="L882" s="22">
        <f t="shared" si="568"/>
        <v>6</v>
      </c>
      <c r="M882" s="22">
        <f t="shared" si="568"/>
        <v>6.7666701791359323</v>
      </c>
      <c r="N882" s="22">
        <f t="shared" si="568"/>
        <v>7</v>
      </c>
      <c r="O882" s="22">
        <f t="shared" si="568"/>
        <v>7</v>
      </c>
      <c r="P882" s="22">
        <f t="shared" si="568"/>
        <v>7</v>
      </c>
      <c r="Q882" s="22">
        <f t="shared" si="568"/>
        <v>7</v>
      </c>
      <c r="R882" s="107">
        <f t="shared" si="555"/>
        <v>76.766695761790828</v>
      </c>
      <c r="S882" s="62"/>
    </row>
    <row r="883" spans="2:19" x14ac:dyDescent="0.2">
      <c r="C883" t="s">
        <v>135</v>
      </c>
      <c r="D883">
        <v>85</v>
      </c>
      <c r="E883" s="22"/>
      <c r="F883" s="22">
        <f t="shared" ref="F883:Q883" si="569">F391</f>
        <v>4.0689467709182781</v>
      </c>
      <c r="G883" s="22">
        <f t="shared" si="569"/>
        <v>4.04005372475656</v>
      </c>
      <c r="H883" s="22">
        <f t="shared" si="569"/>
        <v>3.967749156553301</v>
      </c>
      <c r="I883" s="22">
        <f t="shared" si="569"/>
        <v>4.1100078348603315</v>
      </c>
      <c r="J883" s="22">
        <f t="shared" si="569"/>
        <v>3.9844102268911592</v>
      </c>
      <c r="K883" s="22">
        <f t="shared" si="569"/>
        <v>3.9576420884246191</v>
      </c>
      <c r="L883" s="22">
        <f t="shared" si="569"/>
        <v>4.0277920564751035</v>
      </c>
      <c r="M883" s="22">
        <f t="shared" si="569"/>
        <v>3.8663685274665016</v>
      </c>
      <c r="N883" s="22">
        <f t="shared" si="569"/>
        <v>4.0635687604948423</v>
      </c>
      <c r="O883" s="22">
        <f t="shared" si="569"/>
        <v>4.0043178780713475</v>
      </c>
      <c r="P883" s="22">
        <f t="shared" si="569"/>
        <v>4.0188672366334286</v>
      </c>
      <c r="Q883" s="22">
        <f t="shared" si="569"/>
        <v>3.9250961591045805</v>
      </c>
      <c r="R883" s="107">
        <f t="shared" si="555"/>
        <v>48.03482042065005</v>
      </c>
      <c r="S883" s="62"/>
    </row>
    <row r="884" spans="2:19" x14ac:dyDescent="0.2">
      <c r="C884" t="s">
        <v>136</v>
      </c>
      <c r="D884">
        <v>86</v>
      </c>
      <c r="E884" s="22"/>
      <c r="F884" s="22">
        <f t="shared" ref="F884:Q884" si="570">F555</f>
        <v>4.1890043954510565</v>
      </c>
      <c r="G884" s="22">
        <f t="shared" si="570"/>
        <v>4.0010465359659522</v>
      </c>
      <c r="H884" s="22">
        <f t="shared" si="570"/>
        <v>3.9609990930021626</v>
      </c>
      <c r="I884" s="22">
        <f t="shared" si="570"/>
        <v>4.0724202888439267</v>
      </c>
      <c r="J884" s="22">
        <f t="shared" si="570"/>
        <v>3.9504639642782391</v>
      </c>
      <c r="K884" s="22">
        <f t="shared" si="570"/>
        <v>4.0265456061345182</v>
      </c>
      <c r="L884" s="22">
        <f t="shared" si="570"/>
        <v>4.0333153128801191</v>
      </c>
      <c r="M884" s="22">
        <f t="shared" si="570"/>
        <v>3.8418705230436547</v>
      </c>
      <c r="N884" s="22">
        <f t="shared" si="570"/>
        <v>4.0787944316799569</v>
      </c>
      <c r="O884" s="22">
        <f t="shared" si="570"/>
        <v>4.0183808622786863</v>
      </c>
      <c r="P884" s="22">
        <f t="shared" si="570"/>
        <v>4.0172933409873703</v>
      </c>
      <c r="Q884" s="22">
        <f t="shared" si="570"/>
        <v>3.8964552238805967</v>
      </c>
      <c r="R884" s="107">
        <f t="shared" si="555"/>
        <v>48.086589578426235</v>
      </c>
      <c r="S884" s="62"/>
    </row>
    <row r="885" spans="2:19" x14ac:dyDescent="0.2">
      <c r="C885" t="s">
        <v>137</v>
      </c>
      <c r="D885">
        <v>87</v>
      </c>
      <c r="E885" s="22"/>
      <c r="F885" s="22">
        <f t="shared" ref="F885:Q885" si="571">F693</f>
        <v>0</v>
      </c>
      <c r="G885" s="22">
        <f t="shared" si="571"/>
        <v>0</v>
      </c>
      <c r="H885" s="22">
        <f t="shared" si="571"/>
        <v>0</v>
      </c>
      <c r="I885" s="22">
        <f t="shared" si="571"/>
        <v>0</v>
      </c>
      <c r="J885" s="22">
        <f t="shared" si="571"/>
        <v>0</v>
      </c>
      <c r="K885" s="22">
        <f t="shared" si="571"/>
        <v>0</v>
      </c>
      <c r="L885" s="22">
        <f t="shared" si="571"/>
        <v>0</v>
      </c>
      <c r="M885" s="22">
        <f t="shared" si="571"/>
        <v>0</v>
      </c>
      <c r="N885" s="22">
        <f t="shared" si="571"/>
        <v>0</v>
      </c>
      <c r="O885" s="22">
        <f t="shared" si="571"/>
        <v>0</v>
      </c>
      <c r="P885" s="22">
        <f t="shared" si="571"/>
        <v>0</v>
      </c>
      <c r="Q885" s="22">
        <f t="shared" si="571"/>
        <v>0</v>
      </c>
      <c r="R885" s="107">
        <f t="shared" si="555"/>
        <v>0</v>
      </c>
      <c r="S885" s="62"/>
    </row>
    <row r="886" spans="2:19" x14ac:dyDescent="0.2">
      <c r="C886" t="s">
        <v>146</v>
      </c>
      <c r="F886" s="22">
        <f t="shared" ref="F886:N886" si="572">F834</f>
        <v>0</v>
      </c>
      <c r="G886" s="22">
        <f t="shared" si="572"/>
        <v>0</v>
      </c>
      <c r="H886" s="22">
        <f t="shared" si="572"/>
        <v>0</v>
      </c>
      <c r="I886" s="22">
        <f t="shared" si="572"/>
        <v>0</v>
      </c>
      <c r="J886" s="22">
        <f t="shared" si="572"/>
        <v>0</v>
      </c>
      <c r="K886" s="22">
        <f t="shared" si="572"/>
        <v>0</v>
      </c>
      <c r="L886" s="22">
        <f t="shared" si="572"/>
        <v>0</v>
      </c>
      <c r="M886" s="22">
        <f t="shared" si="572"/>
        <v>0</v>
      </c>
      <c r="N886" s="22">
        <f t="shared" si="572"/>
        <v>0</v>
      </c>
      <c r="O886" s="22">
        <f t="shared" ref="O886:Q886" si="573">O834</f>
        <v>0</v>
      </c>
      <c r="P886" s="22">
        <f t="shared" si="573"/>
        <v>0</v>
      </c>
      <c r="Q886" s="22">
        <f t="shared" si="573"/>
        <v>0</v>
      </c>
      <c r="R886" s="107">
        <f t="shared" si="555"/>
        <v>0</v>
      </c>
      <c r="S886" s="62"/>
    </row>
    <row r="887" spans="2:19" x14ac:dyDescent="0.2">
      <c r="C887" t="s">
        <v>283</v>
      </c>
      <c r="F887" s="39">
        <f t="shared" ref="F887:R887" si="574">SUM(F865:F886)</f>
        <v>851159.17105035076</v>
      </c>
      <c r="G887" s="39">
        <f t="shared" si="574"/>
        <v>860099.8230356623</v>
      </c>
      <c r="H887" s="39">
        <f t="shared" si="574"/>
        <v>810762.8218296495</v>
      </c>
      <c r="I887" s="39">
        <f t="shared" si="574"/>
        <v>848487.73557747283</v>
      </c>
      <c r="J887" s="39">
        <f t="shared" si="574"/>
        <v>811672.60593412525</v>
      </c>
      <c r="K887" s="39">
        <f t="shared" si="574"/>
        <v>838433.51595005032</v>
      </c>
      <c r="L887" s="39">
        <f t="shared" si="574"/>
        <v>841603.52068070101</v>
      </c>
      <c r="M887" s="39">
        <f t="shared" si="574"/>
        <v>764493.72807058494</v>
      </c>
      <c r="N887" s="39">
        <f t="shared" si="574"/>
        <v>872555.52159902721</v>
      </c>
      <c r="O887" s="39">
        <f t="shared" ref="O887:Q887" si="575">SUM(O865:O886)</f>
        <v>857050.96012735355</v>
      </c>
      <c r="P887" s="39">
        <f t="shared" si="575"/>
        <v>861214.74799908488</v>
      </c>
      <c r="Q887" s="39">
        <f t="shared" si="575"/>
        <v>823300.032169502</v>
      </c>
      <c r="R887" s="129">
        <f t="shared" si="574"/>
        <v>10040834.184023565</v>
      </c>
      <c r="S887" s="62"/>
    </row>
    <row r="888" spans="2:19" x14ac:dyDescent="0.2"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62"/>
    </row>
    <row r="889" spans="2:19" x14ac:dyDescent="0.2">
      <c r="B889" t="s">
        <v>317</v>
      </c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62"/>
    </row>
    <row r="890" spans="2:19" x14ac:dyDescent="0.2">
      <c r="C890" s="80" t="s">
        <v>284</v>
      </c>
      <c r="D890">
        <v>23</v>
      </c>
      <c r="F890" s="43">
        <f t="shared" ref="F890:N890" si="576">F865</f>
        <v>791033.10106899915</v>
      </c>
      <c r="G890" s="43">
        <f t="shared" si="576"/>
        <v>799125.72983479116</v>
      </c>
      <c r="H890" s="43">
        <f t="shared" si="576"/>
        <v>753288.30126336252</v>
      </c>
      <c r="I890" s="43">
        <f t="shared" si="576"/>
        <v>788504.85519922257</v>
      </c>
      <c r="J890" s="43">
        <f t="shared" si="576"/>
        <v>754044.3041788144</v>
      </c>
      <c r="K890" s="43">
        <f t="shared" si="576"/>
        <v>778711.52441646787</v>
      </c>
      <c r="L890" s="43">
        <f t="shared" si="576"/>
        <v>781852.52976234653</v>
      </c>
      <c r="M890" s="43">
        <f t="shared" si="576"/>
        <v>710122.15909090906</v>
      </c>
      <c r="N890" s="43">
        <f t="shared" si="576"/>
        <v>810554.56545454555</v>
      </c>
      <c r="O890" s="43">
        <f t="shared" ref="O890:Q890" si="577">O865</f>
        <v>796412.53272727272</v>
      </c>
      <c r="P890" s="43">
        <f t="shared" si="577"/>
        <v>800300.15272727271</v>
      </c>
      <c r="Q890" s="43">
        <f t="shared" si="577"/>
        <v>765726.25818181818</v>
      </c>
      <c r="R890" s="107">
        <f t="shared" ref="R890:R902" si="578">SUM(F890:Q890)</f>
        <v>9329676.0139058214</v>
      </c>
      <c r="S890" s="62"/>
    </row>
    <row r="891" spans="2:19" x14ac:dyDescent="0.2">
      <c r="C891" s="80" t="s">
        <v>72</v>
      </c>
      <c r="D891">
        <v>53</v>
      </c>
      <c r="F891" s="43">
        <f t="shared" ref="F891:N891" si="579">F866</f>
        <v>1.0145772594752187</v>
      </c>
      <c r="G891" s="43">
        <f t="shared" si="579"/>
        <v>1.0505344995140915</v>
      </c>
      <c r="H891" s="43">
        <f t="shared" si="579"/>
        <v>0.9659863945578232</v>
      </c>
      <c r="I891" s="43">
        <f t="shared" si="579"/>
        <v>1.0174927113702625</v>
      </c>
      <c r="J891" s="43">
        <f t="shared" si="579"/>
        <v>1.0165208940719146</v>
      </c>
      <c r="K891" s="43">
        <f t="shared" si="579"/>
        <v>0.98158582913684955</v>
      </c>
      <c r="L891" s="43">
        <f t="shared" si="579"/>
        <v>1.2354545454545454</v>
      </c>
      <c r="M891" s="43">
        <f t="shared" si="579"/>
        <v>0.25</v>
      </c>
      <c r="N891" s="43">
        <f t="shared" si="579"/>
        <v>0</v>
      </c>
      <c r="O891" s="43">
        <f t="shared" ref="O891:Q891" si="580">O866</f>
        <v>0</v>
      </c>
      <c r="P891" s="43">
        <f t="shared" si="580"/>
        <v>0</v>
      </c>
      <c r="Q891" s="43">
        <f t="shared" si="580"/>
        <v>0</v>
      </c>
      <c r="R891" s="107">
        <f t="shared" si="578"/>
        <v>7.5321521335807056</v>
      </c>
      <c r="S891" s="62"/>
    </row>
    <row r="892" spans="2:19" x14ac:dyDescent="0.2">
      <c r="C892" s="81" t="s">
        <v>73</v>
      </c>
      <c r="D892">
        <v>31</v>
      </c>
      <c r="F892" s="43">
        <f>F867+F876</f>
        <v>58278.533072760081</v>
      </c>
      <c r="G892" s="43">
        <f t="shared" ref="G892:N892" si="581">G867+G876</f>
        <v>59098.658448586895</v>
      </c>
      <c r="H892" s="43">
        <f t="shared" si="581"/>
        <v>55684.461815995193</v>
      </c>
      <c r="I892" s="43">
        <f t="shared" si="581"/>
        <v>58135.867107636812</v>
      </c>
      <c r="J892" s="43">
        <f t="shared" si="581"/>
        <v>55851.948286229708</v>
      </c>
      <c r="K892" s="43">
        <f t="shared" si="581"/>
        <v>57876.510729490692</v>
      </c>
      <c r="L892" s="43">
        <f t="shared" si="581"/>
        <v>57910.517068864043</v>
      </c>
      <c r="M892" s="43">
        <f t="shared" si="581"/>
        <v>52658.434667451445</v>
      </c>
      <c r="N892" s="43">
        <f t="shared" si="581"/>
        <v>60106.909947027663</v>
      </c>
      <c r="O892" s="43">
        <f t="shared" ref="O892:Q892" si="582">O867+O876</f>
        <v>58776.298705120666</v>
      </c>
      <c r="P892" s="43">
        <f t="shared" si="582"/>
        <v>59064.880907960207</v>
      </c>
      <c r="Q892" s="43">
        <f t="shared" si="582"/>
        <v>56255.93097014926</v>
      </c>
      <c r="R892" s="107">
        <f t="shared" si="578"/>
        <v>689698.95172727259</v>
      </c>
      <c r="S892" s="62"/>
    </row>
    <row r="893" spans="2:19" x14ac:dyDescent="0.2">
      <c r="C893" s="80" t="s">
        <v>74</v>
      </c>
      <c r="D893">
        <v>41</v>
      </c>
      <c r="F893" s="43">
        <f t="shared" ref="F893:N893" si="583">F869+F878</f>
        <v>1368.4757136583223</v>
      </c>
      <c r="G893" s="43">
        <f t="shared" si="583"/>
        <v>1396.4926657883179</v>
      </c>
      <c r="H893" s="43">
        <f t="shared" si="583"/>
        <v>1321.3180500658762</v>
      </c>
      <c r="I893" s="43">
        <f t="shared" si="583"/>
        <v>1369.2916117698728</v>
      </c>
      <c r="J893" s="43">
        <f t="shared" si="583"/>
        <v>1309.837241985068</v>
      </c>
      <c r="K893" s="43">
        <f t="shared" si="583"/>
        <v>1369.5032734025619</v>
      </c>
      <c r="L893" s="43">
        <f t="shared" si="583"/>
        <v>1362.9927077003213</v>
      </c>
      <c r="M893" s="43">
        <f t="shared" si="583"/>
        <v>1254.0930636339961</v>
      </c>
      <c r="N893" s="43">
        <f t="shared" si="583"/>
        <v>1406.3156524003821</v>
      </c>
      <c r="O893" s="43">
        <f t="shared" ref="O893:Q893" si="584">O869+O878</f>
        <v>1379.8011112075701</v>
      </c>
      <c r="P893" s="43">
        <f t="shared" si="584"/>
        <v>1370.1994738325659</v>
      </c>
      <c r="Q893" s="43">
        <f t="shared" si="584"/>
        <v>848.80813680353265</v>
      </c>
      <c r="R893" s="107">
        <f t="shared" si="578"/>
        <v>15757.12870224839</v>
      </c>
      <c r="S893" s="62"/>
    </row>
    <row r="894" spans="2:19" x14ac:dyDescent="0.2">
      <c r="C894" t="s">
        <v>388</v>
      </c>
      <c r="D894" s="21" t="s">
        <v>387</v>
      </c>
      <c r="F894" s="43">
        <f>F868+F877</f>
        <v>3</v>
      </c>
      <c r="G894" s="43">
        <f t="shared" ref="G894:Q894" si="585">G868+G877</f>
        <v>3</v>
      </c>
      <c r="H894" s="43">
        <f t="shared" si="585"/>
        <v>3.9999999999999996</v>
      </c>
      <c r="I894" s="43">
        <f t="shared" si="585"/>
        <v>3</v>
      </c>
      <c r="J894" s="43">
        <f t="shared" si="585"/>
        <v>3</v>
      </c>
      <c r="K894" s="43">
        <f t="shared" si="585"/>
        <v>3.0000312415422465</v>
      </c>
      <c r="L894" s="43">
        <f t="shared" si="585"/>
        <v>3</v>
      </c>
      <c r="M894" s="43">
        <f t="shared" si="585"/>
        <v>3</v>
      </c>
      <c r="N894" s="43">
        <f t="shared" si="585"/>
        <v>3</v>
      </c>
      <c r="O894" s="43">
        <f t="shared" si="585"/>
        <v>3</v>
      </c>
      <c r="P894" s="43">
        <f t="shared" si="585"/>
        <v>3</v>
      </c>
      <c r="Q894" s="43">
        <f t="shared" si="585"/>
        <v>3</v>
      </c>
      <c r="R894" s="107">
        <f t="shared" si="578"/>
        <v>37.000031241542246</v>
      </c>
      <c r="S894" s="62"/>
    </row>
    <row r="895" spans="2:19" x14ac:dyDescent="0.2">
      <c r="C895" s="80" t="s">
        <v>285</v>
      </c>
      <c r="D895">
        <v>85</v>
      </c>
      <c r="F895" s="43">
        <f t="shared" ref="F895:N895" si="586">F873+F883</f>
        <v>26.711854450317638</v>
      </c>
      <c r="G895" s="43">
        <f t="shared" si="586"/>
        <v>27.183450715921662</v>
      </c>
      <c r="H895" s="43">
        <f t="shared" si="586"/>
        <v>26.864173427076434</v>
      </c>
      <c r="I895" s="43">
        <f t="shared" si="586"/>
        <v>28.199524506567947</v>
      </c>
      <c r="J895" s="43">
        <f t="shared" si="586"/>
        <v>27.890269120886749</v>
      </c>
      <c r="K895" s="43">
        <f t="shared" si="586"/>
        <v>29.297945055850622</v>
      </c>
      <c r="L895" s="43">
        <f t="shared" si="586"/>
        <v>28.145775356322275</v>
      </c>
      <c r="M895" s="43">
        <f t="shared" si="586"/>
        <v>27.242423718305442</v>
      </c>
      <c r="N895" s="43">
        <f t="shared" si="586"/>
        <v>28.571401926149829</v>
      </c>
      <c r="O895" s="43">
        <f t="shared" ref="O895:Q895" si="587">O873+O883</f>
        <v>28.006437162116296</v>
      </c>
      <c r="P895" s="43">
        <f t="shared" si="587"/>
        <v>28.105437774577538</v>
      </c>
      <c r="Q895" s="43">
        <f t="shared" si="587"/>
        <v>25.298813278159574</v>
      </c>
      <c r="R895" s="107">
        <f t="shared" si="578"/>
        <v>331.51750649225198</v>
      </c>
      <c r="S895" s="62"/>
    </row>
    <row r="896" spans="2:19" x14ac:dyDescent="0.2">
      <c r="C896" s="80" t="s">
        <v>286</v>
      </c>
      <c r="D896">
        <v>86</v>
      </c>
      <c r="F896" s="43">
        <f t="shared" ref="F896:N896" si="588">F874+F884</f>
        <v>229.28835554315216</v>
      </c>
      <c r="G896" s="43">
        <f t="shared" si="588"/>
        <v>229.4665457336217</v>
      </c>
      <c r="H896" s="43">
        <f t="shared" si="588"/>
        <v>219.07186213632872</v>
      </c>
      <c r="I896" s="43">
        <f t="shared" si="588"/>
        <v>227.16646898765083</v>
      </c>
      <c r="J896" s="43">
        <f t="shared" si="588"/>
        <v>216.50108142049814</v>
      </c>
      <c r="K896" s="43">
        <f t="shared" si="588"/>
        <v>224.57464763251426</v>
      </c>
      <c r="L896" s="43">
        <f t="shared" si="588"/>
        <v>225.05811596161644</v>
      </c>
      <c r="M896" s="43">
        <f t="shared" si="588"/>
        <v>205.88822813893771</v>
      </c>
      <c r="N896" s="43">
        <f t="shared" si="588"/>
        <v>233.15914312744965</v>
      </c>
      <c r="O896" s="43">
        <f t="shared" ref="O896:Q896" si="589">O874+O884</f>
        <v>227.35558859305314</v>
      </c>
      <c r="P896" s="43">
        <f t="shared" si="589"/>
        <v>225.30826636050514</v>
      </c>
      <c r="Q896" s="43">
        <f t="shared" si="589"/>
        <v>214.86725028702637</v>
      </c>
      <c r="R896" s="107">
        <f t="shared" si="578"/>
        <v>2677.7055539223543</v>
      </c>
      <c r="S896" s="62"/>
    </row>
    <row r="897" spans="2:19" x14ac:dyDescent="0.2">
      <c r="C897" s="80" t="s">
        <v>287</v>
      </c>
      <c r="D897">
        <v>87</v>
      </c>
      <c r="F897" s="43">
        <f t="shared" ref="F897:N897" si="590">F875+F885</f>
        <v>5.0130693501152717</v>
      </c>
      <c r="G897" s="43">
        <f t="shared" si="590"/>
        <v>5.1748862857498912</v>
      </c>
      <c r="H897" s="43">
        <f t="shared" si="590"/>
        <v>4.901177643466883</v>
      </c>
      <c r="I897" s="43">
        <f t="shared" si="590"/>
        <v>4.975668265935572</v>
      </c>
      <c r="J897" s="43">
        <f t="shared" si="590"/>
        <v>5.1083556607888339</v>
      </c>
      <c r="K897" s="43">
        <f t="shared" si="590"/>
        <v>5.1238280397033344</v>
      </c>
      <c r="L897" s="43">
        <f t="shared" si="590"/>
        <v>5.0417959266253032</v>
      </c>
      <c r="M897" s="43">
        <f t="shared" si="590"/>
        <v>4.8582074453736173</v>
      </c>
      <c r="N897" s="43">
        <f t="shared" si="590"/>
        <v>5</v>
      </c>
      <c r="O897" s="43">
        <f t="shared" ref="O897:Q897" si="591">O875+O885</f>
        <v>4.9655044510385755</v>
      </c>
      <c r="P897" s="43">
        <f t="shared" si="591"/>
        <v>5.101185884210337</v>
      </c>
      <c r="Q897" s="43">
        <f t="shared" si="591"/>
        <v>4.8688171657187969</v>
      </c>
      <c r="R897" s="107">
        <f t="shared" si="578"/>
        <v>60.132496118726415</v>
      </c>
      <c r="S897" s="62"/>
    </row>
    <row r="898" spans="2:19" x14ac:dyDescent="0.2">
      <c r="C898" t="s">
        <v>288</v>
      </c>
      <c r="D898" s="21" t="s">
        <v>236</v>
      </c>
      <c r="F898" s="43">
        <f t="shared" ref="F898:N898" si="592">F870+F879</f>
        <v>99</v>
      </c>
      <c r="G898" s="43">
        <f t="shared" si="592"/>
        <v>98.033340924618528</v>
      </c>
      <c r="H898" s="43">
        <f t="shared" si="592"/>
        <v>98</v>
      </c>
      <c r="I898" s="43">
        <f t="shared" si="592"/>
        <v>99</v>
      </c>
      <c r="J898" s="43">
        <f t="shared" si="592"/>
        <v>100</v>
      </c>
      <c r="K898" s="43">
        <f t="shared" si="592"/>
        <v>99.99985135228161</v>
      </c>
      <c r="L898" s="43">
        <f t="shared" si="592"/>
        <v>102</v>
      </c>
      <c r="M898" s="43">
        <f t="shared" si="592"/>
        <v>104.03571910871031</v>
      </c>
      <c r="N898" s="43">
        <f t="shared" si="592"/>
        <v>103.99999999999999</v>
      </c>
      <c r="O898" s="43">
        <f t="shared" ref="O898:Q898" si="593">O870+O879</f>
        <v>105</v>
      </c>
      <c r="P898" s="43">
        <f t="shared" si="593"/>
        <v>103</v>
      </c>
      <c r="Q898" s="43">
        <f t="shared" si="593"/>
        <v>105</v>
      </c>
      <c r="R898" s="107">
        <f t="shared" si="578"/>
        <v>1217.0689113856104</v>
      </c>
      <c r="S898" s="62"/>
    </row>
    <row r="899" spans="2:19" x14ac:dyDescent="0.2">
      <c r="C899" t="s">
        <v>289</v>
      </c>
      <c r="D899" s="21" t="s">
        <v>231</v>
      </c>
      <c r="F899" s="43">
        <f t="shared" ref="F899:N899" si="594">F871+F880</f>
        <v>102.03333833008546</v>
      </c>
      <c r="G899" s="43">
        <f t="shared" si="594"/>
        <v>102.03332833658122</v>
      </c>
      <c r="H899" s="43">
        <f t="shared" si="594"/>
        <v>101.93750062459401</v>
      </c>
      <c r="I899" s="43">
        <f t="shared" si="594"/>
        <v>101.3625043721581</v>
      </c>
      <c r="J899" s="43">
        <f t="shared" si="594"/>
        <v>102.00000000000001</v>
      </c>
      <c r="K899" s="43">
        <f t="shared" si="594"/>
        <v>101.99963123426812</v>
      </c>
      <c r="L899" s="43">
        <f t="shared" si="594"/>
        <v>102</v>
      </c>
      <c r="M899" s="43">
        <f t="shared" si="594"/>
        <v>102</v>
      </c>
      <c r="N899" s="43">
        <f t="shared" si="594"/>
        <v>102</v>
      </c>
      <c r="O899" s="43">
        <f t="shared" ref="O899:Q899" si="595">O871+O880</f>
        <v>102.00005354637653</v>
      </c>
      <c r="P899" s="43">
        <f t="shared" si="595"/>
        <v>103</v>
      </c>
      <c r="Q899" s="43">
        <f t="shared" si="595"/>
        <v>104</v>
      </c>
      <c r="R899" s="107">
        <f t="shared" si="578"/>
        <v>1226.3663564440635</v>
      </c>
      <c r="S899" s="62"/>
    </row>
    <row r="900" spans="2:19" x14ac:dyDescent="0.2">
      <c r="C900" t="s">
        <v>325</v>
      </c>
      <c r="D900" s="21" t="s">
        <v>298</v>
      </c>
      <c r="F900" s="43">
        <f t="shared" ref="F900:N900" si="596">F881</f>
        <v>4</v>
      </c>
      <c r="G900" s="43">
        <f t="shared" si="596"/>
        <v>4</v>
      </c>
      <c r="H900" s="43">
        <f t="shared" si="596"/>
        <v>4</v>
      </c>
      <c r="I900" s="43">
        <f t="shared" si="596"/>
        <v>4</v>
      </c>
      <c r="J900" s="43">
        <f t="shared" si="596"/>
        <v>2</v>
      </c>
      <c r="K900" s="43">
        <f t="shared" si="596"/>
        <v>1.9999719301096293</v>
      </c>
      <c r="L900" s="43">
        <f t="shared" si="596"/>
        <v>2</v>
      </c>
      <c r="M900" s="43">
        <f t="shared" si="596"/>
        <v>2</v>
      </c>
      <c r="N900" s="43">
        <f t="shared" si="596"/>
        <v>2</v>
      </c>
      <c r="O900" s="43">
        <f t="shared" ref="O900:Q900" si="597">O881</f>
        <v>2</v>
      </c>
      <c r="P900" s="43">
        <f t="shared" si="597"/>
        <v>2</v>
      </c>
      <c r="Q900" s="43">
        <f t="shared" si="597"/>
        <v>2</v>
      </c>
      <c r="R900" s="107">
        <f t="shared" si="578"/>
        <v>31.999971930109631</v>
      </c>
      <c r="S900" s="62"/>
    </row>
    <row r="901" spans="2:19" x14ac:dyDescent="0.2">
      <c r="C901" t="s">
        <v>290</v>
      </c>
      <c r="D901" s="21" t="s">
        <v>232</v>
      </c>
      <c r="F901" s="43">
        <f t="shared" ref="F901:N901" si="598">F872+F882</f>
        <v>8.9999999999999982</v>
      </c>
      <c r="G901" s="43">
        <f t="shared" si="598"/>
        <v>8.9999999999999982</v>
      </c>
      <c r="H901" s="43">
        <f t="shared" si="598"/>
        <v>8.9999999999999982</v>
      </c>
      <c r="I901" s="43">
        <f t="shared" si="598"/>
        <v>8.9999999999999982</v>
      </c>
      <c r="J901" s="43">
        <f t="shared" si="598"/>
        <v>8.9999999999999982</v>
      </c>
      <c r="K901" s="43">
        <f t="shared" si="598"/>
        <v>9.0000383739823526</v>
      </c>
      <c r="L901" s="43">
        <f t="shared" si="598"/>
        <v>9</v>
      </c>
      <c r="M901" s="43">
        <f t="shared" si="598"/>
        <v>9.7666701791359323</v>
      </c>
      <c r="N901" s="43">
        <f t="shared" si="598"/>
        <v>10</v>
      </c>
      <c r="O901" s="43">
        <f t="shared" ref="O901:Q901" si="599">O872+O882</f>
        <v>10</v>
      </c>
      <c r="P901" s="43">
        <f t="shared" si="599"/>
        <v>10</v>
      </c>
      <c r="Q901" s="43">
        <f t="shared" si="599"/>
        <v>10</v>
      </c>
      <c r="R901" s="107">
        <f t="shared" si="578"/>
        <v>112.76670855311828</v>
      </c>
      <c r="S901" s="62"/>
    </row>
    <row r="902" spans="2:19" x14ac:dyDescent="0.2">
      <c r="C902" s="80" t="s">
        <v>238</v>
      </c>
      <c r="F902" s="43">
        <f t="shared" ref="F902:K902" si="600">F886</f>
        <v>0</v>
      </c>
      <c r="G902" s="43">
        <f t="shared" si="600"/>
        <v>0</v>
      </c>
      <c r="H902" s="43">
        <f t="shared" si="600"/>
        <v>0</v>
      </c>
      <c r="I902" s="43">
        <f t="shared" si="600"/>
        <v>0</v>
      </c>
      <c r="J902" s="43">
        <f t="shared" si="600"/>
        <v>0</v>
      </c>
      <c r="K902" s="43">
        <f t="shared" si="600"/>
        <v>0</v>
      </c>
      <c r="L902" s="43">
        <f>L886</f>
        <v>0</v>
      </c>
      <c r="M902" s="43">
        <f>M886</f>
        <v>0</v>
      </c>
      <c r="N902" s="43">
        <f>N886</f>
        <v>0</v>
      </c>
      <c r="O902" s="43">
        <f t="shared" ref="O902:Q902" si="601">O886</f>
        <v>0</v>
      </c>
      <c r="P902" s="43">
        <f t="shared" si="601"/>
        <v>0</v>
      </c>
      <c r="Q902" s="43">
        <f t="shared" si="601"/>
        <v>0</v>
      </c>
      <c r="R902" s="107">
        <f t="shared" si="578"/>
        <v>0</v>
      </c>
      <c r="S902" s="62"/>
    </row>
    <row r="903" spans="2:19" x14ac:dyDescent="0.2">
      <c r="C903" t="s">
        <v>283</v>
      </c>
      <c r="F903" s="39">
        <f t="shared" ref="F903:K903" si="602">SUM(F890:F902)</f>
        <v>851159.17105035076</v>
      </c>
      <c r="G903" s="39">
        <f t="shared" si="602"/>
        <v>860099.82303566241</v>
      </c>
      <c r="H903" s="39">
        <f t="shared" si="602"/>
        <v>810762.82182964962</v>
      </c>
      <c r="I903" s="39">
        <f t="shared" si="602"/>
        <v>848487.73557747295</v>
      </c>
      <c r="J903" s="39">
        <f t="shared" si="602"/>
        <v>811672.60593412537</v>
      </c>
      <c r="K903" s="39">
        <f t="shared" si="602"/>
        <v>838433.51595005055</v>
      </c>
      <c r="L903" s="39">
        <f>SUM(L890:L902)</f>
        <v>841603.52068070101</v>
      </c>
      <c r="M903" s="39">
        <f>SUM(M890:M902)</f>
        <v>764493.72807058494</v>
      </c>
      <c r="N903" s="39">
        <f>SUM(N890:N902)</f>
        <v>872555.52159902721</v>
      </c>
      <c r="O903" s="39">
        <f t="shared" ref="O903:Q903" si="603">SUM(O890:O902)</f>
        <v>857050.96012735367</v>
      </c>
      <c r="P903" s="39">
        <f t="shared" si="603"/>
        <v>861214.74799908488</v>
      </c>
      <c r="Q903" s="39">
        <f t="shared" si="603"/>
        <v>823300.03216950188</v>
      </c>
      <c r="R903" s="129">
        <f>SUM(R890:R902)</f>
        <v>10040834.184023561</v>
      </c>
      <c r="S903" s="62"/>
    </row>
    <row r="904" spans="2:19" x14ac:dyDescent="0.2">
      <c r="C904" t="s">
        <v>292</v>
      </c>
      <c r="F904" s="689">
        <f t="shared" ref="F904:R904" si="604">F903-F887</f>
        <v>0</v>
      </c>
      <c r="G904" s="689">
        <f t="shared" si="604"/>
        <v>0</v>
      </c>
      <c r="H904" s="689">
        <f t="shared" si="604"/>
        <v>0</v>
      </c>
      <c r="I904" s="689">
        <f t="shared" si="604"/>
        <v>0</v>
      </c>
      <c r="J904" s="689">
        <f t="shared" si="604"/>
        <v>0</v>
      </c>
      <c r="K904" s="689">
        <f t="shared" si="604"/>
        <v>0</v>
      </c>
      <c r="L904" s="689">
        <f t="shared" si="604"/>
        <v>0</v>
      </c>
      <c r="M904" s="689">
        <f t="shared" si="604"/>
        <v>0</v>
      </c>
      <c r="N904" s="689">
        <f t="shared" si="604"/>
        <v>0</v>
      </c>
      <c r="O904" s="689">
        <f t="shared" ref="O904:Q904" si="605">O903-O887</f>
        <v>0</v>
      </c>
      <c r="P904" s="689">
        <f t="shared" si="605"/>
        <v>0</v>
      </c>
      <c r="Q904" s="689">
        <f t="shared" si="605"/>
        <v>0</v>
      </c>
      <c r="R904" s="689">
        <f t="shared" si="604"/>
        <v>0</v>
      </c>
      <c r="S904" s="31"/>
    </row>
    <row r="905" spans="2:19" x14ac:dyDescent="0.2"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31"/>
    </row>
    <row r="906" spans="2:19" x14ac:dyDescent="0.2">
      <c r="B906" t="s">
        <v>84</v>
      </c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31"/>
    </row>
    <row r="907" spans="2:19" x14ac:dyDescent="0.2">
      <c r="C907" s="30" t="s">
        <v>71</v>
      </c>
      <c r="D907" s="30">
        <v>16</v>
      </c>
      <c r="F907" s="91">
        <f t="shared" ref="F907:Q907" si="606">F17</f>
        <v>826.07600000000002</v>
      </c>
      <c r="G907" s="91">
        <f t="shared" si="606"/>
        <v>820.92700000000002</v>
      </c>
      <c r="H907" s="91">
        <f t="shared" si="606"/>
        <v>774.51800000000003</v>
      </c>
      <c r="I907" s="91">
        <f t="shared" si="606"/>
        <v>824.08199999999999</v>
      </c>
      <c r="J907" s="91">
        <f t="shared" si="606"/>
        <v>783.54899999999998</v>
      </c>
      <c r="K907" s="91">
        <f t="shared" si="606"/>
        <v>800.10699999999997</v>
      </c>
      <c r="L907" s="91">
        <f t="shared" si="606"/>
        <v>797.62900000000002</v>
      </c>
      <c r="M907" s="91">
        <f t="shared" si="606"/>
        <v>723.62300000000005</v>
      </c>
      <c r="N907" s="91">
        <f t="shared" si="606"/>
        <v>835.85599999999999</v>
      </c>
      <c r="O907" s="91">
        <f t="shared" si="606"/>
        <v>821.65099999999995</v>
      </c>
      <c r="P907" s="91">
        <f t="shared" si="606"/>
        <v>818.67499999999995</v>
      </c>
      <c r="Q907" s="91">
        <f t="shared" si="606"/>
        <v>765.35199999999998</v>
      </c>
      <c r="R907" s="22">
        <f t="shared" ref="R907:R919" si="607">SUM(F907:Q907)</f>
        <v>9592.0450000000001</v>
      </c>
      <c r="S907" s="62"/>
    </row>
    <row r="908" spans="2:19" x14ac:dyDescent="0.2">
      <c r="C908" t="s">
        <v>72</v>
      </c>
      <c r="D908">
        <v>23</v>
      </c>
      <c r="F908" s="22">
        <f t="shared" ref="F908:Q908" si="608">F37</f>
        <v>13443846.632999999</v>
      </c>
      <c r="G908" s="22">
        <f t="shared" si="608"/>
        <v>12736009.979</v>
      </c>
      <c r="H908" s="22">
        <f t="shared" si="608"/>
        <v>21647719.936999999</v>
      </c>
      <c r="I908" s="22">
        <f t="shared" si="608"/>
        <v>46155974.25</v>
      </c>
      <c r="J908" s="22">
        <f t="shared" si="608"/>
        <v>73741897.160999998</v>
      </c>
      <c r="K908" s="22">
        <f t="shared" si="608"/>
        <v>88509622.627000004</v>
      </c>
      <c r="L908" s="22">
        <f t="shared" si="608"/>
        <v>97226692.343999997</v>
      </c>
      <c r="M908" s="22">
        <f t="shared" si="608"/>
        <v>73367926.152999997</v>
      </c>
      <c r="N908" s="22">
        <f t="shared" si="608"/>
        <v>75843560.385000005</v>
      </c>
      <c r="O908" s="22">
        <f t="shared" si="608"/>
        <v>50269722.055</v>
      </c>
      <c r="P908" s="22">
        <f t="shared" si="608"/>
        <v>30887232.546</v>
      </c>
      <c r="Q908" s="22">
        <f t="shared" si="608"/>
        <v>19275348.866999999</v>
      </c>
      <c r="R908" s="22">
        <f t="shared" si="607"/>
        <v>603105552.93699992</v>
      </c>
      <c r="S908" s="62"/>
    </row>
    <row r="909" spans="2:19" x14ac:dyDescent="0.2">
      <c r="C909" t="s">
        <v>75</v>
      </c>
      <c r="D909">
        <v>53</v>
      </c>
      <c r="F909" s="22">
        <f t="shared" ref="F909:Q909" si="609">F57</f>
        <v>9.0079999999999991</v>
      </c>
      <c r="G909" s="22">
        <f t="shared" si="609"/>
        <v>9.2899999999999991</v>
      </c>
      <c r="H909" s="22">
        <f t="shared" si="609"/>
        <v>23.614000000000001</v>
      </c>
      <c r="I909" s="22">
        <f t="shared" si="609"/>
        <v>52.81</v>
      </c>
      <c r="J909" s="22">
        <f t="shared" si="609"/>
        <v>67.945999999999998</v>
      </c>
      <c r="K909" s="22">
        <f t="shared" si="609"/>
        <v>68.12700000000001</v>
      </c>
      <c r="L909" s="22">
        <f t="shared" si="609"/>
        <v>56.914999999999999</v>
      </c>
      <c r="M909" s="22">
        <f t="shared" si="609"/>
        <v>7.5629999999999997</v>
      </c>
      <c r="N909" s="22">
        <f t="shared" si="609"/>
        <v>0</v>
      </c>
      <c r="O909" s="22">
        <f t="shared" si="609"/>
        <v>0</v>
      </c>
      <c r="P909" s="22">
        <f t="shared" si="609"/>
        <v>0</v>
      </c>
      <c r="Q909" s="22">
        <f t="shared" si="609"/>
        <v>0</v>
      </c>
      <c r="R909" s="22">
        <f t="shared" si="607"/>
        <v>295.27300000000002</v>
      </c>
      <c r="S909" s="62"/>
    </row>
    <row r="910" spans="2:19" x14ac:dyDescent="0.2">
      <c r="C910" t="s">
        <v>101</v>
      </c>
      <c r="D910">
        <v>31</v>
      </c>
      <c r="F910" s="22">
        <f t="shared" ref="F910:Q910" si="610">F79</f>
        <v>7628079.7920000004</v>
      </c>
      <c r="G910" s="22">
        <f t="shared" si="610"/>
        <v>7453085.6330000004</v>
      </c>
      <c r="H910" s="22">
        <f t="shared" si="610"/>
        <v>9048012.2430000007</v>
      </c>
      <c r="I910" s="22">
        <f t="shared" si="610"/>
        <v>15932676.433</v>
      </c>
      <c r="J910" s="22">
        <f t="shared" si="610"/>
        <v>23966771.149999999</v>
      </c>
      <c r="K910" s="22">
        <f t="shared" si="610"/>
        <v>29413050.791000001</v>
      </c>
      <c r="L910" s="22">
        <f t="shared" si="610"/>
        <v>31601920.164999999</v>
      </c>
      <c r="M910" s="22">
        <f t="shared" si="610"/>
        <v>25012454.664999999</v>
      </c>
      <c r="N910" s="22">
        <f t="shared" si="610"/>
        <v>25668437.872000001</v>
      </c>
      <c r="O910" s="22">
        <f t="shared" si="610"/>
        <v>18094159.793000001</v>
      </c>
      <c r="P910" s="22">
        <f t="shared" si="610"/>
        <v>12124126.560000001</v>
      </c>
      <c r="Q910" s="22">
        <f t="shared" si="610"/>
        <v>8894243.5490000006</v>
      </c>
      <c r="R910" s="22">
        <f t="shared" si="607"/>
        <v>214837018.646</v>
      </c>
      <c r="S910" s="62"/>
    </row>
    <row r="911" spans="2:19" x14ac:dyDescent="0.2">
      <c r="C911" t="s">
        <v>102</v>
      </c>
      <c r="D911">
        <v>41</v>
      </c>
      <c r="F911" s="22">
        <f t="shared" ref="F911:Q911" si="611">F180</f>
        <v>2436691.1039999998</v>
      </c>
      <c r="G911" s="22">
        <f t="shared" si="611"/>
        <v>2305053.4160000002</v>
      </c>
      <c r="H911" s="22">
        <f t="shared" si="611"/>
        <v>2868775.9019999998</v>
      </c>
      <c r="I911" s="22">
        <f t="shared" si="611"/>
        <v>4444093.4029999999</v>
      </c>
      <c r="J911" s="22">
        <f t="shared" si="611"/>
        <v>5802995.9620000003</v>
      </c>
      <c r="K911" s="22">
        <f t="shared" si="611"/>
        <v>6803789.2349999994</v>
      </c>
      <c r="L911" s="22">
        <f t="shared" si="611"/>
        <v>7214330.9359999998</v>
      </c>
      <c r="M911" s="22">
        <f t="shared" si="611"/>
        <v>5992951.0830000006</v>
      </c>
      <c r="N911" s="22">
        <f t="shared" si="611"/>
        <v>6261605.6830000002</v>
      </c>
      <c r="O911" s="22">
        <f t="shared" si="611"/>
        <v>4926100.1710000001</v>
      </c>
      <c r="P911" s="22">
        <f t="shared" si="611"/>
        <v>3756633.523</v>
      </c>
      <c r="Q911" s="22">
        <f t="shared" si="611"/>
        <v>1688485.8959999999</v>
      </c>
      <c r="R911" s="22">
        <f t="shared" si="607"/>
        <v>54501506.313999996</v>
      </c>
      <c r="S911" s="62"/>
    </row>
    <row r="912" spans="2:19" x14ac:dyDescent="0.2">
      <c r="C912" t="s">
        <v>134</v>
      </c>
      <c r="D912">
        <v>85</v>
      </c>
      <c r="F912" s="22">
        <f t="shared" ref="F912:Q912" si="612">F349</f>
        <v>718072.78200000001</v>
      </c>
      <c r="G912" s="22">
        <f t="shared" si="612"/>
        <v>664389.50499999989</v>
      </c>
      <c r="H912" s="22">
        <f t="shared" si="612"/>
        <v>792053.55200000003</v>
      </c>
      <c r="I912" s="22">
        <f t="shared" si="612"/>
        <v>1249577.3330000001</v>
      </c>
      <c r="J912" s="22">
        <f t="shared" si="612"/>
        <v>1554481.9750000001</v>
      </c>
      <c r="K912" s="22">
        <f t="shared" si="612"/>
        <v>1866442.2080000001</v>
      </c>
      <c r="L912" s="22">
        <f t="shared" si="612"/>
        <v>1780824.939</v>
      </c>
      <c r="M912" s="22">
        <f t="shared" si="612"/>
        <v>1536379.5380000002</v>
      </c>
      <c r="N912" s="22">
        <f t="shared" si="612"/>
        <v>1643991.1359999999</v>
      </c>
      <c r="O912" s="22">
        <f t="shared" si="612"/>
        <v>1250763.1359999999</v>
      </c>
      <c r="P912" s="22">
        <f t="shared" si="612"/>
        <v>920234.88600000006</v>
      </c>
      <c r="Q912" s="22">
        <f t="shared" si="612"/>
        <v>709740.74400000006</v>
      </c>
      <c r="R912" s="22">
        <f t="shared" si="607"/>
        <v>14686951.734000001</v>
      </c>
      <c r="S912" s="62"/>
    </row>
    <row r="913" spans="2:19" x14ac:dyDescent="0.2">
      <c r="C913" t="s">
        <v>133</v>
      </c>
      <c r="D913">
        <v>86</v>
      </c>
      <c r="F913" s="22">
        <f t="shared" ref="F913:Q913" si="613">F515</f>
        <v>208746.55599999998</v>
      </c>
      <c r="G913" s="22">
        <f t="shared" si="613"/>
        <v>193052.79699999999</v>
      </c>
      <c r="H913" s="22">
        <f t="shared" si="613"/>
        <v>320287.72700000001</v>
      </c>
      <c r="I913" s="22">
        <f t="shared" si="613"/>
        <v>750962.98400000005</v>
      </c>
      <c r="J913" s="22">
        <f t="shared" si="613"/>
        <v>1030574.388</v>
      </c>
      <c r="K913" s="22">
        <f t="shared" si="613"/>
        <v>1282526.0389999999</v>
      </c>
      <c r="L913" s="22">
        <f t="shared" si="613"/>
        <v>1258725.409</v>
      </c>
      <c r="M913" s="22">
        <f t="shared" si="613"/>
        <v>1049738.9580000001</v>
      </c>
      <c r="N913" s="22">
        <f t="shared" si="613"/>
        <v>1110593.162</v>
      </c>
      <c r="O913" s="22">
        <f t="shared" si="613"/>
        <v>846297.72800000012</v>
      </c>
      <c r="P913" s="22">
        <f t="shared" si="613"/>
        <v>477239.02300000004</v>
      </c>
      <c r="Q913" s="22">
        <f t="shared" si="613"/>
        <v>307851.304</v>
      </c>
      <c r="R913" s="22">
        <f t="shared" si="607"/>
        <v>8836596.0750000011</v>
      </c>
      <c r="S913" s="62"/>
    </row>
    <row r="914" spans="2:19" x14ac:dyDescent="0.2">
      <c r="C914" t="s">
        <v>138</v>
      </c>
      <c r="D914">
        <v>87</v>
      </c>
      <c r="F914" s="22">
        <f t="shared" ref="F914:Q914" si="614">F645</f>
        <v>1205163.1340000001</v>
      </c>
      <c r="G914" s="22">
        <f t="shared" si="614"/>
        <v>1191232.98</v>
      </c>
      <c r="H914" s="22">
        <f t="shared" si="614"/>
        <v>1297454.0249999999</v>
      </c>
      <c r="I914" s="22">
        <f t="shared" si="614"/>
        <v>1956862.8969999999</v>
      </c>
      <c r="J914" s="22">
        <f t="shared" si="614"/>
        <v>2346051.3509999998</v>
      </c>
      <c r="K914" s="22">
        <f t="shared" si="614"/>
        <v>2817477.4819999998</v>
      </c>
      <c r="L914" s="22">
        <f t="shared" si="614"/>
        <v>2582095.4070000001</v>
      </c>
      <c r="M914" s="22">
        <f t="shared" si="614"/>
        <v>2453869.7620000001</v>
      </c>
      <c r="N914" s="22">
        <f t="shared" si="614"/>
        <v>2432020.3769999999</v>
      </c>
      <c r="O914" s="22">
        <f t="shared" si="614"/>
        <v>2074669.916</v>
      </c>
      <c r="P914" s="22">
        <f t="shared" si="614"/>
        <v>1485710.202</v>
      </c>
      <c r="Q914" s="22">
        <f t="shared" si="614"/>
        <v>1430551.095</v>
      </c>
      <c r="R914" s="22">
        <f t="shared" si="607"/>
        <v>23273158.627999999</v>
      </c>
      <c r="S914" s="62"/>
    </row>
    <row r="915" spans="2:19" x14ac:dyDescent="0.2">
      <c r="C915" t="s">
        <v>104</v>
      </c>
      <c r="D915">
        <v>31</v>
      </c>
      <c r="F915" s="22">
        <f t="shared" ref="F915:Q915" si="615">F102</f>
        <v>395133.00599999999</v>
      </c>
      <c r="G915" s="22">
        <f t="shared" si="615"/>
        <v>415618.07</v>
      </c>
      <c r="H915" s="22">
        <f t="shared" si="615"/>
        <v>530299.97600000002</v>
      </c>
      <c r="I915" s="22">
        <f t="shared" si="615"/>
        <v>1002186.794</v>
      </c>
      <c r="J915" s="22">
        <f t="shared" si="615"/>
        <v>1580920.077</v>
      </c>
      <c r="K915" s="22">
        <f t="shared" si="615"/>
        <v>1965067.7910000002</v>
      </c>
      <c r="L915" s="22">
        <f t="shared" si="615"/>
        <v>2219846.37</v>
      </c>
      <c r="M915" s="22">
        <f t="shared" si="615"/>
        <v>1724909.0430000001</v>
      </c>
      <c r="N915" s="22">
        <f t="shared" si="615"/>
        <v>1692363.3740000001</v>
      </c>
      <c r="O915" s="22">
        <f t="shared" si="615"/>
        <v>1108860.2120000001</v>
      </c>
      <c r="P915" s="22">
        <f t="shared" si="615"/>
        <v>678225.22699999996</v>
      </c>
      <c r="Q915" s="22">
        <f t="shared" si="615"/>
        <v>454283.88400000002</v>
      </c>
      <c r="R915" s="22">
        <f t="shared" si="607"/>
        <v>13767713.823999999</v>
      </c>
      <c r="S915" s="62"/>
    </row>
    <row r="916" spans="2:19" x14ac:dyDescent="0.2">
      <c r="C916" t="s">
        <v>105</v>
      </c>
      <c r="D916">
        <v>41</v>
      </c>
      <c r="F916" s="22">
        <f t="shared" ref="F916:Q916" si="616">F226</f>
        <v>715686.64599999995</v>
      </c>
      <c r="G916" s="22">
        <f t="shared" si="616"/>
        <v>723322.54399999999</v>
      </c>
      <c r="H916" s="22">
        <f t="shared" si="616"/>
        <v>721587.85899999994</v>
      </c>
      <c r="I916" s="22">
        <f t="shared" si="616"/>
        <v>893700.30300000007</v>
      </c>
      <c r="J916" s="22">
        <f t="shared" si="616"/>
        <v>902546.43400000012</v>
      </c>
      <c r="K916" s="22">
        <f t="shared" si="616"/>
        <v>967290.95299999998</v>
      </c>
      <c r="L916" s="22">
        <f t="shared" si="616"/>
        <v>984923.92099999997</v>
      </c>
      <c r="M916" s="22">
        <f t="shared" si="616"/>
        <v>881329.02300000004</v>
      </c>
      <c r="N916" s="22">
        <f t="shared" si="616"/>
        <v>921278.62699999998</v>
      </c>
      <c r="O916" s="22">
        <f t="shared" si="616"/>
        <v>819888.06</v>
      </c>
      <c r="P916" s="22">
        <f t="shared" si="616"/>
        <v>725118.15899999999</v>
      </c>
      <c r="Q916" s="22">
        <f t="shared" si="616"/>
        <v>208689.174</v>
      </c>
      <c r="R916" s="22">
        <f t="shared" si="607"/>
        <v>9465361.7030000016</v>
      </c>
      <c r="S916" s="62"/>
    </row>
    <row r="917" spans="2:19" x14ac:dyDescent="0.2">
      <c r="C917" t="s">
        <v>135</v>
      </c>
      <c r="D917">
        <v>85</v>
      </c>
      <c r="F917" s="22">
        <f t="shared" ref="F917:Q917" si="617">F396</f>
        <v>118216.663</v>
      </c>
      <c r="G917" s="22">
        <f t="shared" si="617"/>
        <v>108078.61899999999</v>
      </c>
      <c r="H917" s="22">
        <f t="shared" si="617"/>
        <v>117621.26699999999</v>
      </c>
      <c r="I917" s="22">
        <f t="shared" si="617"/>
        <v>132658.54500000001</v>
      </c>
      <c r="J917" s="22">
        <f t="shared" si="617"/>
        <v>150576.024</v>
      </c>
      <c r="K917" s="22">
        <f t="shared" si="617"/>
        <v>162942.16400000002</v>
      </c>
      <c r="L917" s="22">
        <f t="shared" si="617"/>
        <v>152783.32999999999</v>
      </c>
      <c r="M917" s="22">
        <f t="shared" si="617"/>
        <v>144144.49599999998</v>
      </c>
      <c r="N917" s="22">
        <f t="shared" si="617"/>
        <v>145396.611</v>
      </c>
      <c r="O917" s="22">
        <f t="shared" si="617"/>
        <v>149688.77699999997</v>
      </c>
      <c r="P917" s="22">
        <f t="shared" si="617"/>
        <v>126713.5</v>
      </c>
      <c r="Q917" s="22">
        <f t="shared" si="617"/>
        <v>112017.696</v>
      </c>
      <c r="R917" s="22">
        <f t="shared" si="607"/>
        <v>1620837.692</v>
      </c>
      <c r="S917" s="62"/>
    </row>
    <row r="918" spans="2:19" x14ac:dyDescent="0.2">
      <c r="C918" t="s">
        <v>136</v>
      </c>
      <c r="D918">
        <v>86</v>
      </c>
      <c r="F918" s="22">
        <f t="shared" ref="F918:Q918" si="618">F559</f>
        <v>7050.719000000001</v>
      </c>
      <c r="G918" s="22">
        <f t="shared" si="618"/>
        <v>6990.4639999999999</v>
      </c>
      <c r="H918" s="22">
        <f t="shared" si="618"/>
        <v>59473.29</v>
      </c>
      <c r="I918" s="22">
        <f t="shared" si="618"/>
        <v>65278.603999999999</v>
      </c>
      <c r="J918" s="22">
        <f t="shared" si="618"/>
        <v>18252.848999999998</v>
      </c>
      <c r="K918" s="22">
        <f t="shared" si="618"/>
        <v>18496.313999999998</v>
      </c>
      <c r="L918" s="22">
        <f t="shared" si="618"/>
        <v>17702.267</v>
      </c>
      <c r="M918" s="22">
        <f t="shared" si="618"/>
        <v>18723.310999999998</v>
      </c>
      <c r="N918" s="22">
        <f t="shared" si="618"/>
        <v>17030.457000000002</v>
      </c>
      <c r="O918" s="22">
        <f t="shared" si="618"/>
        <v>21970.927</v>
      </c>
      <c r="P918" s="22">
        <f t="shared" si="618"/>
        <v>11131.916000000001</v>
      </c>
      <c r="Q918" s="22">
        <f t="shared" si="618"/>
        <v>8571.3490000000002</v>
      </c>
      <c r="R918" s="22">
        <f t="shared" si="607"/>
        <v>270672.46699999995</v>
      </c>
      <c r="S918" s="62"/>
    </row>
    <row r="919" spans="2:19" x14ac:dyDescent="0.2">
      <c r="C919" t="s">
        <v>137</v>
      </c>
      <c r="D919">
        <v>87</v>
      </c>
      <c r="F919" s="22">
        <f t="shared" ref="F919:Q919" si="619">F701</f>
        <v>0</v>
      </c>
      <c r="G919" s="22">
        <f t="shared" si="619"/>
        <v>0</v>
      </c>
      <c r="H919" s="22">
        <f t="shared" si="619"/>
        <v>0</v>
      </c>
      <c r="I919" s="22">
        <f t="shared" si="619"/>
        <v>0</v>
      </c>
      <c r="J919" s="22">
        <f t="shared" si="619"/>
        <v>0</v>
      </c>
      <c r="K919" s="22">
        <f t="shared" si="619"/>
        <v>0</v>
      </c>
      <c r="L919" s="22">
        <f t="shared" si="619"/>
        <v>0</v>
      </c>
      <c r="M919" s="22">
        <f t="shared" si="619"/>
        <v>0</v>
      </c>
      <c r="N919" s="22">
        <f t="shared" si="619"/>
        <v>0</v>
      </c>
      <c r="O919" s="22">
        <f t="shared" si="619"/>
        <v>0</v>
      </c>
      <c r="P919" s="22">
        <f t="shared" si="619"/>
        <v>0</v>
      </c>
      <c r="Q919" s="22">
        <f t="shared" si="619"/>
        <v>0</v>
      </c>
      <c r="R919" s="22">
        <f t="shared" si="607"/>
        <v>0</v>
      </c>
      <c r="S919" s="62"/>
    </row>
    <row r="920" spans="2:19" x14ac:dyDescent="0.2">
      <c r="C920" t="s">
        <v>86</v>
      </c>
      <c r="F920" s="39">
        <f t="shared" ref="F920:R920" si="620">SUM(F907:F919)</f>
        <v>26877522.119000003</v>
      </c>
      <c r="G920" s="39">
        <f t="shared" si="620"/>
        <v>25797664.223999999</v>
      </c>
      <c r="H920" s="39">
        <f t="shared" si="620"/>
        <v>37404083.909999996</v>
      </c>
      <c r="I920" s="39">
        <f t="shared" si="620"/>
        <v>72584848.438000008</v>
      </c>
      <c r="J920" s="39">
        <f t="shared" si="620"/>
        <v>111095918.866</v>
      </c>
      <c r="K920" s="39">
        <f t="shared" si="620"/>
        <v>133807573.838</v>
      </c>
      <c r="L920" s="39">
        <f t="shared" si="620"/>
        <v>145040699.63200003</v>
      </c>
      <c r="M920" s="39">
        <f t="shared" si="620"/>
        <v>112183157.21799999</v>
      </c>
      <c r="N920" s="39">
        <f t="shared" si="620"/>
        <v>115737113.54000002</v>
      </c>
      <c r="O920" s="39">
        <f t="shared" ref="O920:Q920" si="621">SUM(O907:O919)</f>
        <v>79562942.425999984</v>
      </c>
      <c r="P920" s="39">
        <f t="shared" si="621"/>
        <v>51193184.217000008</v>
      </c>
      <c r="Q920" s="39">
        <f t="shared" si="621"/>
        <v>33090548.909999996</v>
      </c>
      <c r="R920" s="129">
        <f t="shared" si="620"/>
        <v>944375257.33799994</v>
      </c>
      <c r="S920" s="62"/>
    </row>
    <row r="921" spans="2:19" x14ac:dyDescent="0.2">
      <c r="S921" s="31"/>
    </row>
    <row r="922" spans="2:19" x14ac:dyDescent="0.2">
      <c r="B922" t="s">
        <v>85</v>
      </c>
      <c r="S922" s="31"/>
    </row>
    <row r="923" spans="2:19" x14ac:dyDescent="0.2">
      <c r="C923" t="s">
        <v>388</v>
      </c>
      <c r="D923" s="21" t="s">
        <v>387</v>
      </c>
      <c r="F923" s="22">
        <f t="shared" ref="F923:R923" si="622">F124</f>
        <v>833.33</v>
      </c>
      <c r="G923" s="22">
        <f t="shared" si="622"/>
        <v>852.46</v>
      </c>
      <c r="H923" s="22">
        <f t="shared" si="622"/>
        <v>1004.34</v>
      </c>
      <c r="I923" s="22">
        <f t="shared" si="622"/>
        <v>1858.11</v>
      </c>
      <c r="J923" s="22">
        <f t="shared" si="622"/>
        <v>2420.34</v>
      </c>
      <c r="K923" s="22">
        <f t="shared" si="622"/>
        <v>3639.8599999999997</v>
      </c>
      <c r="L923" s="22">
        <f t="shared" si="622"/>
        <v>2356.8000000000002</v>
      </c>
      <c r="M923" s="22">
        <f t="shared" si="622"/>
        <v>2713.47</v>
      </c>
      <c r="N923" s="22">
        <f t="shared" si="622"/>
        <v>2240.84</v>
      </c>
      <c r="O923" s="22">
        <f t="shared" si="622"/>
        <v>1514.91</v>
      </c>
      <c r="P923" s="22">
        <f t="shared" si="622"/>
        <v>975.42</v>
      </c>
      <c r="Q923" s="22">
        <f t="shared" si="622"/>
        <v>955</v>
      </c>
      <c r="R923" s="22">
        <f t="shared" si="622"/>
        <v>21364.879999999994</v>
      </c>
      <c r="S923" s="686"/>
    </row>
    <row r="924" spans="2:19" x14ac:dyDescent="0.2">
      <c r="C924" t="s">
        <v>259</v>
      </c>
      <c r="D924" s="21" t="s">
        <v>236</v>
      </c>
      <c r="F924" s="22">
        <f t="shared" ref="F924:R924" si="623">F268</f>
        <v>842278.49</v>
      </c>
      <c r="G924" s="22">
        <f t="shared" si="623"/>
        <v>919204.60000000009</v>
      </c>
      <c r="H924" s="22">
        <f t="shared" si="623"/>
        <v>874618.36</v>
      </c>
      <c r="I924" s="22">
        <f t="shared" si="623"/>
        <v>1038625.68</v>
      </c>
      <c r="J924" s="22">
        <f t="shared" si="623"/>
        <v>1151459.2390000001</v>
      </c>
      <c r="K924" s="22">
        <f t="shared" si="623"/>
        <v>1237799.6400000001</v>
      </c>
      <c r="L924" s="22">
        <f t="shared" si="623"/>
        <v>1309932.3900000001</v>
      </c>
      <c r="M924" s="22">
        <f t="shared" si="623"/>
        <v>1187686.01</v>
      </c>
      <c r="N924" s="22">
        <f t="shared" si="623"/>
        <v>1250467.8599999999</v>
      </c>
      <c r="O924" s="22">
        <f t="shared" si="623"/>
        <v>1133840.93</v>
      </c>
      <c r="P924" s="22">
        <f t="shared" si="623"/>
        <v>1023426.22</v>
      </c>
      <c r="Q924" s="22">
        <f t="shared" si="623"/>
        <v>813156.53</v>
      </c>
      <c r="R924" s="22">
        <f t="shared" si="623"/>
        <v>12782495.949000001</v>
      </c>
      <c r="S924" s="686"/>
    </row>
    <row r="925" spans="2:19" x14ac:dyDescent="0.2">
      <c r="C925" t="s">
        <v>260</v>
      </c>
      <c r="D925" s="21" t="s">
        <v>231</v>
      </c>
      <c r="F925" s="22">
        <f t="shared" ref="F925:R925" si="624">F438</f>
        <v>1570935.13</v>
      </c>
      <c r="G925" s="22">
        <f t="shared" si="624"/>
        <v>1652500.78</v>
      </c>
      <c r="H925" s="22">
        <f t="shared" si="624"/>
        <v>1563451.74</v>
      </c>
      <c r="I925" s="22">
        <f t="shared" si="624"/>
        <v>1821545.78</v>
      </c>
      <c r="J925" s="22">
        <f t="shared" si="624"/>
        <v>1979027.12</v>
      </c>
      <c r="K925" s="22">
        <f t="shared" si="624"/>
        <v>2153272.2800000003</v>
      </c>
      <c r="L925" s="22">
        <f t="shared" si="624"/>
        <v>2213984.92</v>
      </c>
      <c r="M925" s="22">
        <f t="shared" si="624"/>
        <v>1964790.4500000002</v>
      </c>
      <c r="N925" s="22">
        <f t="shared" si="624"/>
        <v>2105813.58</v>
      </c>
      <c r="O925" s="22">
        <f t="shared" si="624"/>
        <v>1852946.1</v>
      </c>
      <c r="P925" s="22">
        <f t="shared" si="624"/>
        <v>1863363.12</v>
      </c>
      <c r="Q925" s="22">
        <f t="shared" si="624"/>
        <v>1750711.3499999999</v>
      </c>
      <c r="R925" s="22">
        <f t="shared" si="624"/>
        <v>22492342.350000001</v>
      </c>
      <c r="S925" s="686"/>
    </row>
    <row r="926" spans="2:19" x14ac:dyDescent="0.2">
      <c r="C926" t="s">
        <v>256</v>
      </c>
      <c r="D926" s="21" t="s">
        <v>232</v>
      </c>
      <c r="F926" s="22">
        <f t="shared" ref="F926:Q926" si="625">F752</f>
        <v>1084131.21</v>
      </c>
      <c r="G926" s="22">
        <f t="shared" si="625"/>
        <v>1076261.75</v>
      </c>
      <c r="H926" s="22">
        <f t="shared" si="625"/>
        <v>1104327.17</v>
      </c>
      <c r="I926" s="22">
        <f t="shared" si="625"/>
        <v>1492017.02</v>
      </c>
      <c r="J926" s="22">
        <f t="shared" si="625"/>
        <v>1844255.06</v>
      </c>
      <c r="K926" s="22">
        <f t="shared" si="625"/>
        <v>2076878.6400000001</v>
      </c>
      <c r="L926" s="22">
        <f t="shared" si="625"/>
        <v>2119316.87</v>
      </c>
      <c r="M926" s="22">
        <f t="shared" si="625"/>
        <v>1871108.9500000002</v>
      </c>
      <c r="N926" s="22">
        <f t="shared" si="625"/>
        <v>1860191.65</v>
      </c>
      <c r="O926" s="22">
        <f t="shared" si="625"/>
        <v>1637011.8800000001</v>
      </c>
      <c r="P926" s="22">
        <f t="shared" si="625"/>
        <v>1388275.8499999999</v>
      </c>
      <c r="Q926" s="22">
        <f t="shared" si="625"/>
        <v>1192987.95</v>
      </c>
      <c r="R926" s="22">
        <f t="shared" ref="R926:R932" si="626">SUM(F926:Q926)</f>
        <v>18746764.000000004</v>
      </c>
      <c r="S926" s="686"/>
    </row>
    <row r="927" spans="2:19" x14ac:dyDescent="0.2">
      <c r="C927" t="s">
        <v>388</v>
      </c>
      <c r="D927" s="21" t="s">
        <v>387</v>
      </c>
      <c r="F927" s="22">
        <f t="shared" ref="F927:Q927" si="627">F146</f>
        <v>76.98</v>
      </c>
      <c r="G927" s="22">
        <f t="shared" si="627"/>
        <v>27.25</v>
      </c>
      <c r="H927" s="22">
        <f t="shared" si="627"/>
        <v>242.87</v>
      </c>
      <c r="I927" s="22">
        <f t="shared" si="627"/>
        <v>1980.63</v>
      </c>
      <c r="J927" s="22">
        <f t="shared" si="627"/>
        <v>3346.76</v>
      </c>
      <c r="K927" s="22">
        <f t="shared" si="627"/>
        <v>4385.21</v>
      </c>
      <c r="L927" s="22">
        <f t="shared" si="627"/>
        <v>2645.87</v>
      </c>
      <c r="M927" s="22">
        <f t="shared" si="627"/>
        <v>3836.98</v>
      </c>
      <c r="N927" s="22">
        <f t="shared" si="627"/>
        <v>2823.34</v>
      </c>
      <c r="O927" s="22">
        <f t="shared" si="627"/>
        <v>2002.65</v>
      </c>
      <c r="P927" s="22">
        <f t="shared" si="627"/>
        <v>642.91</v>
      </c>
      <c r="Q927" s="22">
        <f t="shared" si="627"/>
        <v>37.44</v>
      </c>
      <c r="R927" s="22">
        <f t="shared" si="626"/>
        <v>22048.89</v>
      </c>
      <c r="S927" s="686"/>
    </row>
    <row r="928" spans="2:19" x14ac:dyDescent="0.2">
      <c r="C928" t="s">
        <v>261</v>
      </c>
      <c r="D928" s="21" t="s">
        <v>236</v>
      </c>
      <c r="F928" s="22">
        <f t="shared" ref="F928:Q928" si="628">F306</f>
        <v>566917.64</v>
      </c>
      <c r="G928" s="22">
        <f t="shared" si="628"/>
        <v>536778.17999999993</v>
      </c>
      <c r="H928" s="22">
        <f t="shared" si="628"/>
        <v>501521.2</v>
      </c>
      <c r="I928" s="22">
        <f t="shared" si="628"/>
        <v>548774.43999999994</v>
      </c>
      <c r="J928" s="22">
        <f t="shared" si="628"/>
        <v>530865.47</v>
      </c>
      <c r="K928" s="22">
        <f t="shared" si="628"/>
        <v>502356.32999999996</v>
      </c>
      <c r="L928" s="22">
        <f t="shared" si="628"/>
        <v>587041.71</v>
      </c>
      <c r="M928" s="22">
        <f t="shared" si="628"/>
        <v>560063.15999999992</v>
      </c>
      <c r="N928" s="22">
        <f t="shared" si="628"/>
        <v>653291.67999999993</v>
      </c>
      <c r="O928" s="22">
        <f t="shared" si="628"/>
        <v>562059.31000000006</v>
      </c>
      <c r="P928" s="22">
        <f t="shared" si="628"/>
        <v>465111.51</v>
      </c>
      <c r="Q928" s="22">
        <f t="shared" si="628"/>
        <v>456972.94</v>
      </c>
      <c r="R928" s="22">
        <f t="shared" si="626"/>
        <v>6471753.5699999994</v>
      </c>
      <c r="S928" s="686"/>
    </row>
    <row r="929" spans="2:22" x14ac:dyDescent="0.2">
      <c r="C929" t="s">
        <v>257</v>
      </c>
      <c r="D929" s="21" t="s">
        <v>231</v>
      </c>
      <c r="F929" s="22">
        <f t="shared" ref="F929:Q929" si="629">F475</f>
        <v>4280828.5600000005</v>
      </c>
      <c r="G929" s="22">
        <f t="shared" si="629"/>
        <v>4715349.79</v>
      </c>
      <c r="H929" s="22">
        <f t="shared" si="629"/>
        <v>4631320.07</v>
      </c>
      <c r="I929" s="22">
        <f t="shared" si="629"/>
        <v>5126915.4399999995</v>
      </c>
      <c r="J929" s="22">
        <f t="shared" si="629"/>
        <v>4478198.82</v>
      </c>
      <c r="K929" s="22">
        <f t="shared" si="629"/>
        <v>4595260.34</v>
      </c>
      <c r="L929" s="22">
        <f t="shared" si="629"/>
        <v>4463633.12</v>
      </c>
      <c r="M929" s="22">
        <f t="shared" si="629"/>
        <v>4116771.16</v>
      </c>
      <c r="N929" s="22">
        <f t="shared" si="629"/>
        <v>4871480.7699999996</v>
      </c>
      <c r="O929" s="22">
        <f t="shared" si="629"/>
        <v>4319936.82</v>
      </c>
      <c r="P929" s="22">
        <f t="shared" si="629"/>
        <v>4256767.37</v>
      </c>
      <c r="Q929" s="22">
        <f t="shared" si="629"/>
        <v>4233782.51</v>
      </c>
      <c r="R929" s="22">
        <f t="shared" si="626"/>
        <v>54090244.769999988</v>
      </c>
      <c r="S929" s="686"/>
    </row>
    <row r="930" spans="2:22" x14ac:dyDescent="0.2">
      <c r="C930" t="s">
        <v>326</v>
      </c>
      <c r="D930" s="21" t="s">
        <v>298</v>
      </c>
      <c r="F930" s="22">
        <f t="shared" ref="F930:Q930" si="630">F598</f>
        <v>24835.61</v>
      </c>
      <c r="G930" s="22">
        <f t="shared" si="630"/>
        <v>18950.099999999999</v>
      </c>
      <c r="H930" s="22">
        <f t="shared" si="630"/>
        <v>14249</v>
      </c>
      <c r="I930" s="22">
        <f t="shared" si="630"/>
        <v>31358.14</v>
      </c>
      <c r="J930" s="22">
        <f t="shared" si="630"/>
        <v>28587.62</v>
      </c>
      <c r="K930" s="22">
        <f t="shared" si="630"/>
        <v>29791.48</v>
      </c>
      <c r="L930" s="22">
        <f t="shared" si="630"/>
        <v>49343.94</v>
      </c>
      <c r="M930" s="22">
        <f t="shared" si="630"/>
        <v>52603.87</v>
      </c>
      <c r="N930" s="22">
        <f t="shared" si="630"/>
        <v>40825.67</v>
      </c>
      <c r="O930" s="22">
        <f t="shared" si="630"/>
        <v>24785.5</v>
      </c>
      <c r="P930" s="22">
        <f t="shared" si="630"/>
        <v>18363.18</v>
      </c>
      <c r="Q930" s="22">
        <f t="shared" si="630"/>
        <v>20942.59</v>
      </c>
      <c r="R930" s="22">
        <f t="shared" si="626"/>
        <v>354636.7</v>
      </c>
      <c r="S930" s="686"/>
    </row>
    <row r="931" spans="2:22" x14ac:dyDescent="0.2">
      <c r="C931" t="s">
        <v>258</v>
      </c>
      <c r="D931" s="21" t="s">
        <v>232</v>
      </c>
      <c r="F931" s="22">
        <f t="shared" ref="F931:Q931" si="631">F798</f>
        <v>7598296.1299999999</v>
      </c>
      <c r="G931" s="22">
        <f t="shared" si="631"/>
        <v>7734935.3200000003</v>
      </c>
      <c r="H931" s="22">
        <f t="shared" si="631"/>
        <v>7364818.1600000001</v>
      </c>
      <c r="I931" s="22">
        <f t="shared" si="631"/>
        <v>7444983.4000000004</v>
      </c>
      <c r="J931" s="22">
        <f t="shared" si="631"/>
        <v>6267312.4800000004</v>
      </c>
      <c r="K931" s="22">
        <f t="shared" si="631"/>
        <v>7766997.3499999996</v>
      </c>
      <c r="L931" s="22">
        <f t="shared" si="631"/>
        <v>6317281.6500000004</v>
      </c>
      <c r="M931" s="22">
        <f t="shared" si="631"/>
        <v>6906246.4400000004</v>
      </c>
      <c r="N931" s="22">
        <f t="shared" si="631"/>
        <v>7685171.5099999998</v>
      </c>
      <c r="O931" s="22">
        <f t="shared" si="631"/>
        <v>6615627.5999999996</v>
      </c>
      <c r="P931" s="22">
        <f t="shared" si="631"/>
        <v>6953514.0099999998</v>
      </c>
      <c r="Q931" s="22">
        <f t="shared" si="631"/>
        <v>6482373.2000000002</v>
      </c>
      <c r="R931" s="22">
        <f t="shared" si="626"/>
        <v>85137557.25</v>
      </c>
      <c r="S931" s="686"/>
    </row>
    <row r="932" spans="2:22" x14ac:dyDescent="0.2">
      <c r="C932" t="s">
        <v>275</v>
      </c>
      <c r="F932" s="22">
        <f t="shared" ref="F932:N932" si="632">F842</f>
        <v>1921334.9100000001</v>
      </c>
      <c r="G932" s="22">
        <f t="shared" si="632"/>
        <v>1869187.75</v>
      </c>
      <c r="H932" s="22">
        <f t="shared" si="632"/>
        <v>2068982.99</v>
      </c>
      <c r="I932" s="22">
        <f t="shared" si="632"/>
        <v>3006871.56</v>
      </c>
      <c r="J932" s="22">
        <f t="shared" si="632"/>
        <v>3833917.62</v>
      </c>
      <c r="K932" s="22">
        <f t="shared" si="632"/>
        <v>4352917.41</v>
      </c>
      <c r="L932" s="22">
        <f t="shared" si="632"/>
        <v>4443467.74</v>
      </c>
      <c r="M932" s="22">
        <f t="shared" si="632"/>
        <v>3867486.2699999996</v>
      </c>
      <c r="N932" s="22">
        <f t="shared" si="632"/>
        <v>3813818.93</v>
      </c>
      <c r="O932" s="22">
        <f t="shared" ref="O932:Q932" si="633">O842</f>
        <v>3266173.4099999997</v>
      </c>
      <c r="P932" s="22">
        <f t="shared" si="633"/>
        <v>2607580.04</v>
      </c>
      <c r="Q932" s="22">
        <f t="shared" si="633"/>
        <v>2223953.0499999998</v>
      </c>
      <c r="R932" s="22">
        <f t="shared" si="626"/>
        <v>37275691.68</v>
      </c>
      <c r="S932" s="686"/>
    </row>
    <row r="933" spans="2:22" x14ac:dyDescent="0.2">
      <c r="C933" t="s">
        <v>87</v>
      </c>
      <c r="F933" s="39">
        <f t="shared" ref="F933:R933" si="634">SUM(F923:F932)</f>
        <v>17890467.990000002</v>
      </c>
      <c r="G933" s="39">
        <f t="shared" si="634"/>
        <v>18524047.979999997</v>
      </c>
      <c r="H933" s="39">
        <f t="shared" si="634"/>
        <v>18124535.899999999</v>
      </c>
      <c r="I933" s="39">
        <f t="shared" si="634"/>
        <v>20514930.199999999</v>
      </c>
      <c r="J933" s="39">
        <f t="shared" si="634"/>
        <v>20119390.528999999</v>
      </c>
      <c r="K933" s="39">
        <f t="shared" si="634"/>
        <v>22723298.540000003</v>
      </c>
      <c r="L933" s="39">
        <f t="shared" si="634"/>
        <v>21509005.009999998</v>
      </c>
      <c r="M933" s="39">
        <f t="shared" si="634"/>
        <v>20533306.760000002</v>
      </c>
      <c r="N933" s="39">
        <f t="shared" si="634"/>
        <v>22286125.829999998</v>
      </c>
      <c r="O933" s="39">
        <f t="shared" ref="O933:Q933" si="635">SUM(O923:O932)</f>
        <v>19415899.109999999</v>
      </c>
      <c r="P933" s="39">
        <f t="shared" si="635"/>
        <v>18578019.629999999</v>
      </c>
      <c r="Q933" s="39">
        <f t="shared" si="635"/>
        <v>17175872.559999999</v>
      </c>
      <c r="R933" s="129">
        <f t="shared" si="634"/>
        <v>237394900.039</v>
      </c>
      <c r="S933" s="62"/>
    </row>
    <row r="934" spans="2:22" x14ac:dyDescent="0.2"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31"/>
    </row>
    <row r="935" spans="2:22" x14ac:dyDescent="0.2">
      <c r="B935" t="s">
        <v>109</v>
      </c>
      <c r="F935" s="39">
        <f t="shared" ref="F935:R935" si="636">F920+F933</f>
        <v>44767990.109000005</v>
      </c>
      <c r="G935" s="39">
        <f t="shared" si="636"/>
        <v>44321712.203999996</v>
      </c>
      <c r="H935" s="39">
        <f t="shared" si="636"/>
        <v>55528619.809999995</v>
      </c>
      <c r="I935" s="39">
        <f t="shared" si="636"/>
        <v>93099778.638000011</v>
      </c>
      <c r="J935" s="39">
        <f t="shared" si="636"/>
        <v>131215309.395</v>
      </c>
      <c r="K935" s="39">
        <f t="shared" si="636"/>
        <v>156530872.37799999</v>
      </c>
      <c r="L935" s="39">
        <f t="shared" si="636"/>
        <v>166549704.64200002</v>
      </c>
      <c r="M935" s="39">
        <f t="shared" si="636"/>
        <v>132716463.978</v>
      </c>
      <c r="N935" s="39">
        <f t="shared" si="636"/>
        <v>138023239.37</v>
      </c>
      <c r="O935" s="39">
        <f t="shared" ref="O935:Q935" si="637">O920+O933</f>
        <v>98978841.535999984</v>
      </c>
      <c r="P935" s="39">
        <f t="shared" si="637"/>
        <v>69771203.847000003</v>
      </c>
      <c r="Q935" s="39">
        <f t="shared" si="637"/>
        <v>50266421.469999999</v>
      </c>
      <c r="R935" s="129">
        <f t="shared" si="636"/>
        <v>1181770157.3769999</v>
      </c>
      <c r="S935" s="62"/>
    </row>
    <row r="936" spans="2:22" x14ac:dyDescent="0.2"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31"/>
    </row>
    <row r="937" spans="2:22" x14ac:dyDescent="0.2">
      <c r="B937" t="s">
        <v>293</v>
      </c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31"/>
    </row>
    <row r="938" spans="2:22" x14ac:dyDescent="0.2">
      <c r="C938" s="80" t="s">
        <v>284</v>
      </c>
      <c r="D938">
        <v>16</v>
      </c>
      <c r="E938" s="22"/>
      <c r="F938" s="43">
        <f t="shared" ref="F938:N938" si="638">F907</f>
        <v>826.07600000000002</v>
      </c>
      <c r="G938" s="43">
        <f t="shared" si="638"/>
        <v>820.92700000000002</v>
      </c>
      <c r="H938" s="43">
        <f t="shared" si="638"/>
        <v>774.51800000000003</v>
      </c>
      <c r="I938" s="43">
        <f t="shared" si="638"/>
        <v>824.08199999999999</v>
      </c>
      <c r="J938" s="43">
        <f t="shared" si="638"/>
        <v>783.54899999999998</v>
      </c>
      <c r="K938" s="43">
        <f t="shared" si="638"/>
        <v>800.10699999999997</v>
      </c>
      <c r="L938" s="43">
        <f t="shared" si="638"/>
        <v>797.62900000000002</v>
      </c>
      <c r="M938" s="43">
        <f t="shared" si="638"/>
        <v>723.62300000000005</v>
      </c>
      <c r="N938" s="43">
        <f t="shared" si="638"/>
        <v>835.85599999999999</v>
      </c>
      <c r="O938" s="43">
        <f t="shared" ref="O938:Q938" si="639">O907</f>
        <v>821.65099999999995</v>
      </c>
      <c r="P938" s="43">
        <f t="shared" si="639"/>
        <v>818.67499999999995</v>
      </c>
      <c r="Q938" s="43">
        <f t="shared" si="639"/>
        <v>765.35199999999998</v>
      </c>
      <c r="R938" s="22">
        <f t="shared" ref="R938:R951" si="640">SUM(F938:Q938)</f>
        <v>9592.0450000000001</v>
      </c>
      <c r="S938" s="62"/>
      <c r="U938" s="22"/>
    </row>
    <row r="939" spans="2:22" x14ac:dyDescent="0.2">
      <c r="C939" s="80" t="s">
        <v>284</v>
      </c>
      <c r="D939">
        <v>23</v>
      </c>
      <c r="E939" s="22"/>
      <c r="F939" s="43">
        <f t="shared" ref="F939:N939" si="641">F908</f>
        <v>13443846.632999999</v>
      </c>
      <c r="G939" s="43">
        <f t="shared" si="641"/>
        <v>12736009.979</v>
      </c>
      <c r="H939" s="43">
        <f t="shared" si="641"/>
        <v>21647719.936999999</v>
      </c>
      <c r="I939" s="43">
        <f t="shared" si="641"/>
        <v>46155974.25</v>
      </c>
      <c r="J939" s="43">
        <f t="shared" si="641"/>
        <v>73741897.160999998</v>
      </c>
      <c r="K939" s="43">
        <f t="shared" si="641"/>
        <v>88509622.627000004</v>
      </c>
      <c r="L939" s="43">
        <f t="shared" si="641"/>
        <v>97226692.343999997</v>
      </c>
      <c r="M939" s="43">
        <f t="shared" si="641"/>
        <v>73367926.152999997</v>
      </c>
      <c r="N939" s="43">
        <f t="shared" si="641"/>
        <v>75843560.385000005</v>
      </c>
      <c r="O939" s="43">
        <f t="shared" ref="O939:Q939" si="642">O908</f>
        <v>50269722.055</v>
      </c>
      <c r="P939" s="43">
        <f t="shared" si="642"/>
        <v>30887232.546</v>
      </c>
      <c r="Q939" s="43">
        <f t="shared" si="642"/>
        <v>19275348.866999999</v>
      </c>
      <c r="R939" s="22">
        <f t="shared" si="640"/>
        <v>603105552.93699992</v>
      </c>
      <c r="S939" s="62"/>
      <c r="U939" s="22"/>
    </row>
    <row r="940" spans="2:22" x14ac:dyDescent="0.2">
      <c r="C940" s="80" t="s">
        <v>72</v>
      </c>
      <c r="D940">
        <v>53</v>
      </c>
      <c r="E940" s="22"/>
      <c r="F940" s="43">
        <f t="shared" ref="F940:N940" si="643">F909</f>
        <v>9.0079999999999991</v>
      </c>
      <c r="G940" s="43">
        <f t="shared" si="643"/>
        <v>9.2899999999999991</v>
      </c>
      <c r="H940" s="43">
        <f t="shared" si="643"/>
        <v>23.614000000000001</v>
      </c>
      <c r="I940" s="43">
        <f t="shared" si="643"/>
        <v>52.81</v>
      </c>
      <c r="J940" s="43">
        <f t="shared" si="643"/>
        <v>67.945999999999998</v>
      </c>
      <c r="K940" s="43">
        <f t="shared" si="643"/>
        <v>68.12700000000001</v>
      </c>
      <c r="L940" s="43">
        <f t="shared" si="643"/>
        <v>56.914999999999999</v>
      </c>
      <c r="M940" s="43">
        <f t="shared" si="643"/>
        <v>7.5629999999999997</v>
      </c>
      <c r="N940" s="43">
        <f t="shared" si="643"/>
        <v>0</v>
      </c>
      <c r="O940" s="43">
        <f t="shared" ref="O940:Q940" si="644">O909</f>
        <v>0</v>
      </c>
      <c r="P940" s="43">
        <f t="shared" si="644"/>
        <v>0</v>
      </c>
      <c r="Q940" s="43">
        <f t="shared" si="644"/>
        <v>0</v>
      </c>
      <c r="R940" s="22">
        <f t="shared" si="640"/>
        <v>295.27300000000002</v>
      </c>
      <c r="S940" s="62"/>
      <c r="U940" s="22"/>
    </row>
    <row r="941" spans="2:22" x14ac:dyDescent="0.2">
      <c r="C941" s="81" t="s">
        <v>73</v>
      </c>
      <c r="D941">
        <v>31</v>
      </c>
      <c r="E941" s="22"/>
      <c r="F941" s="43">
        <f t="shared" ref="F941:N941" si="645">F910+F915</f>
        <v>8023212.7980000004</v>
      </c>
      <c r="G941" s="43">
        <f t="shared" si="645"/>
        <v>7868703.7030000007</v>
      </c>
      <c r="H941" s="43">
        <f t="shared" si="645"/>
        <v>9578312.2190000005</v>
      </c>
      <c r="I941" s="43">
        <f t="shared" si="645"/>
        <v>16934863.227000002</v>
      </c>
      <c r="J941" s="43">
        <f t="shared" si="645"/>
        <v>25547691.226999998</v>
      </c>
      <c r="K941" s="43">
        <f t="shared" si="645"/>
        <v>31378118.582000002</v>
      </c>
      <c r="L941" s="43">
        <f t="shared" si="645"/>
        <v>33821766.534999996</v>
      </c>
      <c r="M941" s="43">
        <f t="shared" si="645"/>
        <v>26737363.708000001</v>
      </c>
      <c r="N941" s="43">
        <f t="shared" si="645"/>
        <v>27360801.246000003</v>
      </c>
      <c r="O941" s="43">
        <f t="shared" ref="O941:Q941" si="646">O910+O915</f>
        <v>19203020.005000003</v>
      </c>
      <c r="P941" s="43">
        <f t="shared" si="646"/>
        <v>12802351.787</v>
      </c>
      <c r="Q941" s="43">
        <f t="shared" si="646"/>
        <v>9348527.4330000002</v>
      </c>
      <c r="R941" s="22">
        <f t="shared" si="640"/>
        <v>228604732.46999997</v>
      </c>
      <c r="S941" s="62"/>
      <c r="U941" s="22"/>
    </row>
    <row r="942" spans="2:22" x14ac:dyDescent="0.2">
      <c r="C942" s="80" t="s">
        <v>74</v>
      </c>
      <c r="D942">
        <v>41</v>
      </c>
      <c r="E942" s="22"/>
      <c r="F942" s="43">
        <f t="shared" ref="F942:N942" si="647">F911+F916</f>
        <v>3152377.75</v>
      </c>
      <c r="G942" s="43">
        <f t="shared" si="647"/>
        <v>3028375.96</v>
      </c>
      <c r="H942" s="43">
        <f t="shared" si="647"/>
        <v>3590363.7609999999</v>
      </c>
      <c r="I942" s="43">
        <f t="shared" si="647"/>
        <v>5337793.7060000002</v>
      </c>
      <c r="J942" s="43">
        <f t="shared" si="647"/>
        <v>6705542.3960000006</v>
      </c>
      <c r="K942" s="43">
        <f t="shared" si="647"/>
        <v>7771080.1879999992</v>
      </c>
      <c r="L942" s="43">
        <f t="shared" si="647"/>
        <v>8199254.8569999998</v>
      </c>
      <c r="M942" s="43">
        <f t="shared" si="647"/>
        <v>6874280.1060000006</v>
      </c>
      <c r="N942" s="43">
        <f t="shared" si="647"/>
        <v>7182884.3100000005</v>
      </c>
      <c r="O942" s="43">
        <f t="shared" ref="O942:Q942" si="648">O911+O916</f>
        <v>5745988.2310000006</v>
      </c>
      <c r="P942" s="43">
        <f t="shared" si="648"/>
        <v>4481751.682</v>
      </c>
      <c r="Q942" s="43">
        <f t="shared" si="648"/>
        <v>1897175.0699999998</v>
      </c>
      <c r="R942" s="22">
        <f t="shared" si="640"/>
        <v>63966868.016999997</v>
      </c>
      <c r="S942" s="62"/>
      <c r="U942" s="22"/>
      <c r="V942" s="17"/>
    </row>
    <row r="943" spans="2:22" x14ac:dyDescent="0.2">
      <c r="C943" t="s">
        <v>539</v>
      </c>
      <c r="D943" s="21" t="s">
        <v>387</v>
      </c>
      <c r="E943" s="22"/>
      <c r="F943" s="43">
        <f>F923+F927</f>
        <v>910.31000000000006</v>
      </c>
      <c r="G943" s="43">
        <f t="shared" ref="G943:Q943" si="649">G923+G927</f>
        <v>879.71</v>
      </c>
      <c r="H943" s="43">
        <f t="shared" si="649"/>
        <v>1247.21</v>
      </c>
      <c r="I943" s="43">
        <f t="shared" si="649"/>
        <v>3838.74</v>
      </c>
      <c r="J943" s="43">
        <f t="shared" si="649"/>
        <v>5767.1</v>
      </c>
      <c r="K943" s="43">
        <f t="shared" si="649"/>
        <v>8025.07</v>
      </c>
      <c r="L943" s="43">
        <f t="shared" si="649"/>
        <v>5002.67</v>
      </c>
      <c r="M943" s="43">
        <f t="shared" si="649"/>
        <v>6550.45</v>
      </c>
      <c r="N943" s="43">
        <f t="shared" si="649"/>
        <v>5064.18</v>
      </c>
      <c r="O943" s="43">
        <f t="shared" si="649"/>
        <v>3517.5600000000004</v>
      </c>
      <c r="P943" s="43">
        <f t="shared" si="649"/>
        <v>1618.33</v>
      </c>
      <c r="Q943" s="43">
        <f t="shared" si="649"/>
        <v>992.44</v>
      </c>
      <c r="R943" s="22">
        <f t="shared" si="640"/>
        <v>43413.770000000004</v>
      </c>
      <c r="S943" s="62"/>
      <c r="U943" s="22"/>
    </row>
    <row r="944" spans="2:22" x14ac:dyDescent="0.2">
      <c r="C944" s="80" t="s">
        <v>285</v>
      </c>
      <c r="D944">
        <v>85</v>
      </c>
      <c r="E944" s="22"/>
      <c r="F944" s="43">
        <f t="shared" ref="F944:N944" si="650">F912+F917</f>
        <v>836289.44500000007</v>
      </c>
      <c r="G944" s="43">
        <f t="shared" si="650"/>
        <v>772468.12399999984</v>
      </c>
      <c r="H944" s="43">
        <f t="shared" si="650"/>
        <v>909674.81900000002</v>
      </c>
      <c r="I944" s="43">
        <f t="shared" si="650"/>
        <v>1382235.878</v>
      </c>
      <c r="J944" s="43">
        <f t="shared" si="650"/>
        <v>1705057.9990000001</v>
      </c>
      <c r="K944" s="43">
        <f t="shared" si="650"/>
        <v>2029384.3720000002</v>
      </c>
      <c r="L944" s="43">
        <f t="shared" si="650"/>
        <v>1933608.2690000001</v>
      </c>
      <c r="M944" s="43">
        <f t="shared" si="650"/>
        <v>1680524.0340000002</v>
      </c>
      <c r="N944" s="43">
        <f t="shared" si="650"/>
        <v>1789387.747</v>
      </c>
      <c r="O944" s="43">
        <f t="shared" ref="O944:Q944" si="651">O912+O917</f>
        <v>1400451.9129999999</v>
      </c>
      <c r="P944" s="43">
        <f t="shared" si="651"/>
        <v>1046948.3860000001</v>
      </c>
      <c r="Q944" s="43">
        <f t="shared" si="651"/>
        <v>821758.44000000006</v>
      </c>
      <c r="R944" s="22">
        <f t="shared" si="640"/>
        <v>16307789.425999999</v>
      </c>
      <c r="S944" s="62"/>
      <c r="U944" s="22"/>
      <c r="V944" s="17"/>
    </row>
    <row r="945" spans="2:21" x14ac:dyDescent="0.2">
      <c r="C945" s="80" t="s">
        <v>286</v>
      </c>
      <c r="D945">
        <v>86</v>
      </c>
      <c r="E945" s="22"/>
      <c r="F945" s="43">
        <f t="shared" ref="F945:N945" si="652">F913+F918</f>
        <v>215797.27499999999</v>
      </c>
      <c r="G945" s="43">
        <f t="shared" si="652"/>
        <v>200043.261</v>
      </c>
      <c r="H945" s="43">
        <f t="shared" si="652"/>
        <v>379761.01699999999</v>
      </c>
      <c r="I945" s="43">
        <f t="shared" si="652"/>
        <v>816241.58800000011</v>
      </c>
      <c r="J945" s="43">
        <f t="shared" si="652"/>
        <v>1048827.237</v>
      </c>
      <c r="K945" s="43">
        <f t="shared" si="652"/>
        <v>1301022.3529999999</v>
      </c>
      <c r="L945" s="43">
        <f t="shared" si="652"/>
        <v>1276427.676</v>
      </c>
      <c r="M945" s="43">
        <f t="shared" si="652"/>
        <v>1068462.2690000001</v>
      </c>
      <c r="N945" s="43">
        <f t="shared" si="652"/>
        <v>1127623.6189999999</v>
      </c>
      <c r="O945" s="43">
        <f t="shared" ref="O945:Q945" si="653">O913+O918</f>
        <v>868268.65500000014</v>
      </c>
      <c r="P945" s="43">
        <f t="shared" si="653"/>
        <v>488370.93900000007</v>
      </c>
      <c r="Q945" s="43">
        <f t="shared" si="653"/>
        <v>316422.65299999999</v>
      </c>
      <c r="R945" s="22">
        <f t="shared" si="640"/>
        <v>9107268.5420000013</v>
      </c>
      <c r="S945" s="62"/>
      <c r="U945" s="22"/>
    </row>
    <row r="946" spans="2:21" x14ac:dyDescent="0.2">
      <c r="C946" s="80" t="s">
        <v>287</v>
      </c>
      <c r="D946">
        <v>87</v>
      </c>
      <c r="E946" s="22"/>
      <c r="F946" s="43">
        <f t="shared" ref="F946:N946" si="654">F914+F919</f>
        <v>1205163.1340000001</v>
      </c>
      <c r="G946" s="43">
        <f t="shared" si="654"/>
        <v>1191232.98</v>
      </c>
      <c r="H946" s="43">
        <f t="shared" si="654"/>
        <v>1297454.0249999999</v>
      </c>
      <c r="I946" s="43">
        <f t="shared" si="654"/>
        <v>1956862.8969999999</v>
      </c>
      <c r="J946" s="43">
        <f t="shared" si="654"/>
        <v>2346051.3509999998</v>
      </c>
      <c r="K946" s="43">
        <f t="shared" si="654"/>
        <v>2817477.4819999998</v>
      </c>
      <c r="L946" s="43">
        <f t="shared" si="654"/>
        <v>2582095.4070000001</v>
      </c>
      <c r="M946" s="43">
        <f t="shared" si="654"/>
        <v>2453869.7620000001</v>
      </c>
      <c r="N946" s="43">
        <f t="shared" si="654"/>
        <v>2432020.3769999999</v>
      </c>
      <c r="O946" s="43">
        <f t="shared" ref="O946:Q946" si="655">O914+O919</f>
        <v>2074669.916</v>
      </c>
      <c r="P946" s="43">
        <f t="shared" si="655"/>
        <v>1485710.202</v>
      </c>
      <c r="Q946" s="43">
        <f t="shared" si="655"/>
        <v>1430551.095</v>
      </c>
      <c r="R946" s="22">
        <f t="shared" si="640"/>
        <v>23273158.627999999</v>
      </c>
      <c r="S946" s="62"/>
      <c r="U946" s="22"/>
    </row>
    <row r="947" spans="2:21" x14ac:dyDescent="0.2">
      <c r="C947" t="s">
        <v>288</v>
      </c>
      <c r="D947" s="21" t="s">
        <v>236</v>
      </c>
      <c r="E947" s="22"/>
      <c r="F947" s="43">
        <f t="shared" ref="F947:N947" si="656">F924+F928</f>
        <v>1409196.13</v>
      </c>
      <c r="G947" s="43">
        <f t="shared" si="656"/>
        <v>1455982.78</v>
      </c>
      <c r="H947" s="43">
        <f t="shared" si="656"/>
        <v>1376139.56</v>
      </c>
      <c r="I947" s="43">
        <f t="shared" si="656"/>
        <v>1587400.12</v>
      </c>
      <c r="J947" s="43">
        <f t="shared" si="656"/>
        <v>1682324.709</v>
      </c>
      <c r="K947" s="43">
        <f t="shared" si="656"/>
        <v>1740155.9700000002</v>
      </c>
      <c r="L947" s="43">
        <f t="shared" si="656"/>
        <v>1896974.1</v>
      </c>
      <c r="M947" s="43">
        <f t="shared" si="656"/>
        <v>1747749.17</v>
      </c>
      <c r="N947" s="43">
        <f t="shared" si="656"/>
        <v>1903759.5399999998</v>
      </c>
      <c r="O947" s="43">
        <f t="shared" ref="O947:Q947" si="657">O924+O928</f>
        <v>1695900.24</v>
      </c>
      <c r="P947" s="43">
        <f t="shared" si="657"/>
        <v>1488537.73</v>
      </c>
      <c r="Q947" s="43">
        <f t="shared" si="657"/>
        <v>1270129.47</v>
      </c>
      <c r="R947" s="22">
        <f t="shared" si="640"/>
        <v>19254249.518999998</v>
      </c>
      <c r="S947" s="62"/>
      <c r="U947" s="22"/>
    </row>
    <row r="948" spans="2:21" x14ac:dyDescent="0.2">
      <c r="C948" t="s">
        <v>289</v>
      </c>
      <c r="D948" s="21" t="s">
        <v>231</v>
      </c>
      <c r="E948" s="22"/>
      <c r="F948" s="43">
        <f t="shared" ref="F948:N948" si="658">F925+F929</f>
        <v>5851763.6900000004</v>
      </c>
      <c r="G948" s="43">
        <f t="shared" si="658"/>
        <v>6367850.5700000003</v>
      </c>
      <c r="H948" s="43">
        <f t="shared" si="658"/>
        <v>6194771.8100000005</v>
      </c>
      <c r="I948" s="43">
        <f t="shared" si="658"/>
        <v>6948461.2199999997</v>
      </c>
      <c r="J948" s="43">
        <f t="shared" si="658"/>
        <v>6457225.9400000004</v>
      </c>
      <c r="K948" s="43">
        <f t="shared" si="658"/>
        <v>6748532.6200000001</v>
      </c>
      <c r="L948" s="43">
        <f t="shared" si="658"/>
        <v>6677618.04</v>
      </c>
      <c r="M948" s="43">
        <f t="shared" si="658"/>
        <v>6081561.6100000003</v>
      </c>
      <c r="N948" s="43">
        <f t="shared" si="658"/>
        <v>6977294.3499999996</v>
      </c>
      <c r="O948" s="43">
        <f t="shared" ref="O948:Q948" si="659">O925+O929</f>
        <v>6172882.9199999999</v>
      </c>
      <c r="P948" s="43">
        <f t="shared" si="659"/>
        <v>6120130.4900000002</v>
      </c>
      <c r="Q948" s="43">
        <f t="shared" si="659"/>
        <v>5984493.8599999994</v>
      </c>
      <c r="R948" s="22">
        <f t="shared" si="640"/>
        <v>76582587.120000005</v>
      </c>
      <c r="S948" s="62"/>
      <c r="U948" s="22"/>
    </row>
    <row r="949" spans="2:21" x14ac:dyDescent="0.2">
      <c r="C949" t="s">
        <v>325</v>
      </c>
      <c r="D949" s="21" t="s">
        <v>298</v>
      </c>
      <c r="E949" s="22"/>
      <c r="F949" s="43">
        <f t="shared" ref="F949:N949" si="660">F930</f>
        <v>24835.61</v>
      </c>
      <c r="G949" s="43">
        <f t="shared" si="660"/>
        <v>18950.099999999999</v>
      </c>
      <c r="H949" s="43">
        <f t="shared" si="660"/>
        <v>14249</v>
      </c>
      <c r="I949" s="43">
        <f t="shared" si="660"/>
        <v>31358.14</v>
      </c>
      <c r="J949" s="43">
        <f t="shared" si="660"/>
        <v>28587.62</v>
      </c>
      <c r="K949" s="43">
        <f t="shared" si="660"/>
        <v>29791.48</v>
      </c>
      <c r="L949" s="43">
        <f t="shared" si="660"/>
        <v>49343.94</v>
      </c>
      <c r="M949" s="43">
        <f t="shared" si="660"/>
        <v>52603.87</v>
      </c>
      <c r="N949" s="43">
        <f t="shared" si="660"/>
        <v>40825.67</v>
      </c>
      <c r="O949" s="43">
        <f t="shared" ref="O949:Q949" si="661">O930</f>
        <v>24785.5</v>
      </c>
      <c r="P949" s="43">
        <f t="shared" si="661"/>
        <v>18363.18</v>
      </c>
      <c r="Q949" s="43">
        <f t="shared" si="661"/>
        <v>20942.59</v>
      </c>
      <c r="R949" s="22">
        <f t="shared" si="640"/>
        <v>354636.7</v>
      </c>
      <c r="S949" s="62"/>
      <c r="U949" s="22"/>
    </row>
    <row r="950" spans="2:21" x14ac:dyDescent="0.2">
      <c r="C950" t="s">
        <v>290</v>
      </c>
      <c r="D950" s="21" t="s">
        <v>232</v>
      </c>
      <c r="E950" s="22"/>
      <c r="F950" s="43">
        <f t="shared" ref="F950:N950" si="662">F926+F931</f>
        <v>8682427.3399999999</v>
      </c>
      <c r="G950" s="43">
        <f t="shared" si="662"/>
        <v>8811197.0700000003</v>
      </c>
      <c r="H950" s="43">
        <f t="shared" si="662"/>
        <v>8469145.3300000001</v>
      </c>
      <c r="I950" s="43">
        <f t="shared" si="662"/>
        <v>8937000.4199999999</v>
      </c>
      <c r="J950" s="43">
        <f t="shared" si="662"/>
        <v>8111567.540000001</v>
      </c>
      <c r="K950" s="43">
        <f t="shared" si="662"/>
        <v>9843875.9900000002</v>
      </c>
      <c r="L950" s="43">
        <f t="shared" si="662"/>
        <v>8436598.5199999996</v>
      </c>
      <c r="M950" s="43">
        <f t="shared" si="662"/>
        <v>8777355.3900000006</v>
      </c>
      <c r="N950" s="43">
        <f t="shared" si="662"/>
        <v>9545363.1600000001</v>
      </c>
      <c r="O950" s="43">
        <f t="shared" ref="O950:Q950" si="663">O926+O931</f>
        <v>8252639.4799999995</v>
      </c>
      <c r="P950" s="43">
        <f t="shared" si="663"/>
        <v>8341789.8599999994</v>
      </c>
      <c r="Q950" s="43">
        <f t="shared" si="663"/>
        <v>7675361.1500000004</v>
      </c>
      <c r="R950" s="22">
        <f t="shared" si="640"/>
        <v>103884321.25000001</v>
      </c>
      <c r="S950" s="62"/>
      <c r="U950" s="22"/>
    </row>
    <row r="951" spans="2:21" x14ac:dyDescent="0.2">
      <c r="C951" s="80" t="s">
        <v>238</v>
      </c>
      <c r="E951" s="22"/>
      <c r="F951" s="43">
        <f t="shared" ref="F951:K951" si="664">F932</f>
        <v>1921334.9100000001</v>
      </c>
      <c r="G951" s="43">
        <f t="shared" si="664"/>
        <v>1869187.75</v>
      </c>
      <c r="H951" s="43">
        <f t="shared" si="664"/>
        <v>2068982.99</v>
      </c>
      <c r="I951" s="43">
        <f t="shared" si="664"/>
        <v>3006871.56</v>
      </c>
      <c r="J951" s="43">
        <f t="shared" si="664"/>
        <v>3833917.62</v>
      </c>
      <c r="K951" s="43">
        <f t="shared" si="664"/>
        <v>4352917.41</v>
      </c>
      <c r="L951" s="43">
        <f>L932</f>
        <v>4443467.74</v>
      </c>
      <c r="M951" s="43">
        <f>M932</f>
        <v>3867486.2699999996</v>
      </c>
      <c r="N951" s="43">
        <f>N932</f>
        <v>3813818.93</v>
      </c>
      <c r="O951" s="43">
        <f t="shared" ref="O951:Q951" si="665">O932</f>
        <v>3266173.4099999997</v>
      </c>
      <c r="P951" s="43">
        <f t="shared" si="665"/>
        <v>2607580.04</v>
      </c>
      <c r="Q951" s="43">
        <f t="shared" si="665"/>
        <v>2223953.0499999998</v>
      </c>
      <c r="R951" s="22">
        <f t="shared" si="640"/>
        <v>37275691.68</v>
      </c>
      <c r="S951" s="62"/>
      <c r="U951" s="22"/>
    </row>
    <row r="952" spans="2:21" x14ac:dyDescent="0.2">
      <c r="C952" t="s">
        <v>109</v>
      </c>
      <c r="F952" s="39">
        <f t="shared" ref="F952:K952" si="666">SUM(F938:F951)</f>
        <v>44767990.108999997</v>
      </c>
      <c r="G952" s="39">
        <f t="shared" si="666"/>
        <v>44321712.204000011</v>
      </c>
      <c r="H952" s="39">
        <f t="shared" si="666"/>
        <v>55528619.809999995</v>
      </c>
      <c r="I952" s="39">
        <f t="shared" si="666"/>
        <v>93099778.638000011</v>
      </c>
      <c r="J952" s="39">
        <f t="shared" si="666"/>
        <v>131215309.395</v>
      </c>
      <c r="K952" s="39">
        <f t="shared" si="666"/>
        <v>156530872.37799999</v>
      </c>
      <c r="L952" s="39">
        <f>SUM(L938:L951)</f>
        <v>166549704.64199999</v>
      </c>
      <c r="M952" s="39">
        <f>SUM(M938:M951)</f>
        <v>132716463.97799999</v>
      </c>
      <c r="N952" s="39">
        <f>SUM(N938:N951)</f>
        <v>138023239.37000003</v>
      </c>
      <c r="O952" s="39">
        <f t="shared" ref="O952:Q952" si="667">SUM(O938:O951)</f>
        <v>98978841.535999998</v>
      </c>
      <c r="P952" s="39">
        <f t="shared" si="667"/>
        <v>69771203.847000003</v>
      </c>
      <c r="Q952" s="39">
        <f t="shared" si="667"/>
        <v>50266421.470000006</v>
      </c>
      <c r="R952" s="129">
        <f>SUM(R938:R951)</f>
        <v>1181770157.3770001</v>
      </c>
      <c r="S952" s="62"/>
      <c r="U952" s="22"/>
    </row>
    <row r="953" spans="2:21" x14ac:dyDescent="0.2">
      <c r="C953" t="s">
        <v>114</v>
      </c>
      <c r="F953" s="690">
        <f t="shared" ref="F953:R953" si="668">F935-F952</f>
        <v>0</v>
      </c>
      <c r="G953" s="690">
        <f t="shared" si="668"/>
        <v>0</v>
      </c>
      <c r="H953" s="690">
        <f t="shared" si="668"/>
        <v>0</v>
      </c>
      <c r="I953" s="690">
        <f t="shared" si="668"/>
        <v>0</v>
      </c>
      <c r="J953" s="690">
        <f t="shared" si="668"/>
        <v>0</v>
      </c>
      <c r="K953" s="690">
        <f t="shared" si="668"/>
        <v>0</v>
      </c>
      <c r="L953" s="690">
        <f t="shared" si="668"/>
        <v>0</v>
      </c>
      <c r="M953" s="690">
        <f t="shared" si="668"/>
        <v>0</v>
      </c>
      <c r="N953" s="690">
        <f t="shared" si="668"/>
        <v>0</v>
      </c>
      <c r="O953" s="690">
        <f t="shared" ref="O953:Q953" si="669">O935-O952</f>
        <v>0</v>
      </c>
      <c r="P953" s="690">
        <f t="shared" si="669"/>
        <v>0</v>
      </c>
      <c r="Q953" s="690">
        <f t="shared" si="669"/>
        <v>0</v>
      </c>
      <c r="R953" s="690">
        <f t="shared" si="668"/>
        <v>0</v>
      </c>
      <c r="S953" s="31"/>
    </row>
    <row r="954" spans="2:21" x14ac:dyDescent="0.2">
      <c r="S954" s="31"/>
    </row>
    <row r="955" spans="2:21" x14ac:dyDescent="0.2">
      <c r="B955" t="s">
        <v>67</v>
      </c>
      <c r="S955" s="31"/>
    </row>
    <row r="956" spans="2:21" x14ac:dyDescent="0.2">
      <c r="C956" t="s">
        <v>102</v>
      </c>
      <c r="D956">
        <v>41</v>
      </c>
      <c r="E956" s="22"/>
      <c r="F956" s="22">
        <f t="shared" ref="F956:Q956" si="670">F181</f>
        <v>299206.70899999997</v>
      </c>
      <c r="G956" s="22">
        <f t="shared" si="670"/>
        <v>286382.19699999999</v>
      </c>
      <c r="H956" s="22">
        <f t="shared" si="670"/>
        <v>273422.99099999998</v>
      </c>
      <c r="I956" s="22">
        <f t="shared" si="670"/>
        <v>280968.92</v>
      </c>
      <c r="J956" s="22">
        <f t="shared" si="670"/>
        <v>269903.56099999999</v>
      </c>
      <c r="K956" s="22">
        <f t="shared" si="670"/>
        <v>284689.35600000003</v>
      </c>
      <c r="L956" s="22">
        <f t="shared" si="670"/>
        <v>289438.478</v>
      </c>
      <c r="M956" s="22">
        <f t="shared" si="670"/>
        <v>267079.92800000001</v>
      </c>
      <c r="N956" s="22">
        <f t="shared" si="670"/>
        <v>290554.50799999997</v>
      </c>
      <c r="O956" s="22">
        <f t="shared" si="670"/>
        <v>287258.95400000003</v>
      </c>
      <c r="P956" s="22">
        <f t="shared" si="670"/>
        <v>285611.61800000002</v>
      </c>
      <c r="Q956" s="22">
        <f t="shared" si="670"/>
        <v>338595.58</v>
      </c>
      <c r="R956" s="22">
        <f t="shared" ref="R956:R971" si="671">SUM(F956:Q956)</f>
        <v>3453112.8</v>
      </c>
      <c r="S956" s="62"/>
      <c r="U956" s="22"/>
    </row>
    <row r="957" spans="2:21" x14ac:dyDescent="0.2">
      <c r="C957" t="s">
        <v>277</v>
      </c>
      <c r="D957" s="21" t="s">
        <v>236</v>
      </c>
      <c r="E957" s="22"/>
      <c r="F957" s="22">
        <f t="shared" ref="F957:Q957" si="672">F269</f>
        <v>57061</v>
      </c>
      <c r="G957" s="22">
        <f t="shared" si="672"/>
        <v>58602</v>
      </c>
      <c r="H957" s="22">
        <f t="shared" si="672"/>
        <v>58602</v>
      </c>
      <c r="I957" s="22">
        <f t="shared" si="672"/>
        <v>59080</v>
      </c>
      <c r="J957" s="22">
        <f t="shared" si="672"/>
        <v>75440</v>
      </c>
      <c r="K957" s="22">
        <f t="shared" si="672"/>
        <v>65691</v>
      </c>
      <c r="L957" s="22">
        <f t="shared" si="672"/>
        <v>61510.601000000002</v>
      </c>
      <c r="M957" s="22">
        <f t="shared" si="672"/>
        <v>60748</v>
      </c>
      <c r="N957" s="22">
        <f t="shared" si="672"/>
        <v>60798</v>
      </c>
      <c r="O957" s="22">
        <f t="shared" si="672"/>
        <v>62130</v>
      </c>
      <c r="P957" s="22">
        <f t="shared" si="672"/>
        <v>59713</v>
      </c>
      <c r="Q957" s="22">
        <f t="shared" si="672"/>
        <v>55707</v>
      </c>
      <c r="R957" s="22">
        <f t="shared" si="671"/>
        <v>735082.60100000002</v>
      </c>
      <c r="S957" s="62"/>
      <c r="U957" s="22"/>
    </row>
    <row r="958" spans="2:21" x14ac:dyDescent="0.2">
      <c r="C958" t="s">
        <v>278</v>
      </c>
      <c r="D958" s="21" t="s">
        <v>231</v>
      </c>
      <c r="E958" s="22"/>
      <c r="F958" s="22">
        <f t="shared" ref="F958:Q958" si="673">F439</f>
        <v>10775</v>
      </c>
      <c r="G958" s="22">
        <f t="shared" si="673"/>
        <v>10775</v>
      </c>
      <c r="H958" s="22">
        <f t="shared" si="673"/>
        <v>10775</v>
      </c>
      <c r="I958" s="22">
        <f t="shared" si="673"/>
        <v>10775</v>
      </c>
      <c r="J958" s="22">
        <f t="shared" si="673"/>
        <v>10775</v>
      </c>
      <c r="K958" s="22">
        <f t="shared" si="673"/>
        <v>10775</v>
      </c>
      <c r="L958" s="22">
        <f t="shared" si="673"/>
        <v>10775</v>
      </c>
      <c r="M958" s="22">
        <f t="shared" si="673"/>
        <v>10775</v>
      </c>
      <c r="N958" s="22">
        <f t="shared" si="673"/>
        <v>10775</v>
      </c>
      <c r="O958" s="22">
        <f t="shared" si="673"/>
        <v>10775</v>
      </c>
      <c r="P958" s="22">
        <f t="shared" si="673"/>
        <v>12175</v>
      </c>
      <c r="Q958" s="22">
        <f t="shared" si="673"/>
        <v>10775</v>
      </c>
      <c r="R958" s="22">
        <f t="shared" si="671"/>
        <v>130700</v>
      </c>
      <c r="S958" s="62"/>
      <c r="U958" s="22"/>
    </row>
    <row r="959" spans="2:21" x14ac:dyDescent="0.2">
      <c r="C959" t="s">
        <v>312</v>
      </c>
      <c r="D959" s="21" t="s">
        <v>232</v>
      </c>
      <c r="E959" s="22"/>
      <c r="F959" s="22">
        <f t="shared" ref="F959:Q959" si="674">F753</f>
        <v>4</v>
      </c>
      <c r="G959" s="22">
        <f t="shared" si="674"/>
        <v>4</v>
      </c>
      <c r="H959" s="22">
        <f t="shared" si="674"/>
        <v>4</v>
      </c>
      <c r="I959" s="22">
        <f t="shared" si="674"/>
        <v>4</v>
      </c>
      <c r="J959" s="22">
        <f t="shared" si="674"/>
        <v>6</v>
      </c>
      <c r="K959" s="22">
        <f t="shared" si="674"/>
        <v>6</v>
      </c>
      <c r="L959" s="22">
        <f t="shared" si="674"/>
        <v>4</v>
      </c>
      <c r="M959" s="22">
        <f t="shared" si="674"/>
        <v>4</v>
      </c>
      <c r="N959" s="22">
        <f t="shared" si="674"/>
        <v>4</v>
      </c>
      <c r="O959" s="22">
        <f t="shared" si="674"/>
        <v>4</v>
      </c>
      <c r="P959" s="22">
        <f t="shared" si="674"/>
        <v>4</v>
      </c>
      <c r="Q959" s="22">
        <f t="shared" si="674"/>
        <v>4</v>
      </c>
      <c r="R959" s="22">
        <f t="shared" si="671"/>
        <v>52</v>
      </c>
      <c r="S959" s="62"/>
      <c r="U959" s="22"/>
    </row>
    <row r="960" spans="2:21" x14ac:dyDescent="0.2">
      <c r="C960" t="s">
        <v>134</v>
      </c>
      <c r="D960">
        <v>85</v>
      </c>
      <c r="E960" s="22"/>
      <c r="F960" s="22">
        <f t="shared" ref="F960:Q960" si="675">F350</f>
        <v>7096.2839999999997</v>
      </c>
      <c r="G960" s="22">
        <f t="shared" si="675"/>
        <v>6845.4089999999997</v>
      </c>
      <c r="H960" s="22">
        <f t="shared" si="675"/>
        <v>6460.2240000000002</v>
      </c>
      <c r="I960" s="22">
        <f t="shared" si="675"/>
        <v>6808.3670000000002</v>
      </c>
      <c r="J960" s="22">
        <f t="shared" si="675"/>
        <v>6825.1880000000001</v>
      </c>
      <c r="K960" s="22">
        <f t="shared" si="675"/>
        <v>6726.2070000000003</v>
      </c>
      <c r="L960" s="22">
        <f t="shared" si="675"/>
        <v>6664.5640000000003</v>
      </c>
      <c r="M960" s="22">
        <f t="shared" si="675"/>
        <v>6315.9459999999999</v>
      </c>
      <c r="N960" s="22">
        <f t="shared" si="675"/>
        <v>6780.259</v>
      </c>
      <c r="O960" s="22">
        <f t="shared" si="675"/>
        <v>6617.7579999999998</v>
      </c>
      <c r="P960" s="22">
        <f t="shared" si="675"/>
        <v>6800.5619999999999</v>
      </c>
      <c r="Q960" s="22">
        <f t="shared" si="675"/>
        <v>4462.2240000000002</v>
      </c>
      <c r="R960" s="22">
        <f t="shared" si="671"/>
        <v>78402.991999999998</v>
      </c>
      <c r="S960" s="62"/>
      <c r="U960" s="22"/>
    </row>
    <row r="961" spans="2:21" x14ac:dyDescent="0.2">
      <c r="C961" t="s">
        <v>133</v>
      </c>
      <c r="D961">
        <v>86</v>
      </c>
      <c r="E961" s="22"/>
      <c r="F961" s="22">
        <f t="shared" ref="F961:Q961" si="676">F516</f>
        <v>6653.8180000000002</v>
      </c>
      <c r="G961" s="22">
        <f t="shared" si="676"/>
        <v>6722.4350000000004</v>
      </c>
      <c r="H961" s="22">
        <f t="shared" si="676"/>
        <v>6371.8159999999998</v>
      </c>
      <c r="I961" s="22">
        <f t="shared" si="676"/>
        <v>6929.2560000000003</v>
      </c>
      <c r="J961" s="22">
        <f t="shared" si="676"/>
        <v>6788.3680000000004</v>
      </c>
      <c r="K961" s="22">
        <f t="shared" si="676"/>
        <v>6850.5789999999997</v>
      </c>
      <c r="L961" s="22">
        <f t="shared" si="676"/>
        <v>6691.5240000000003</v>
      </c>
      <c r="M961" s="22">
        <f t="shared" si="676"/>
        <v>6174.0619999999999</v>
      </c>
      <c r="N961" s="22">
        <f t="shared" si="676"/>
        <v>7285.4610000000002</v>
      </c>
      <c r="O961" s="22">
        <f t="shared" si="676"/>
        <v>6868.29</v>
      </c>
      <c r="P961" s="22">
        <f t="shared" si="676"/>
        <v>6677.3860000000004</v>
      </c>
      <c r="Q961" s="22">
        <f t="shared" si="676"/>
        <v>6560.8559999999998</v>
      </c>
      <c r="R961" s="22">
        <f t="shared" si="671"/>
        <v>80573.850999999995</v>
      </c>
      <c r="S961" s="62"/>
      <c r="U961" s="22"/>
    </row>
    <row r="962" spans="2:21" x14ac:dyDescent="0.2">
      <c r="C962" t="s">
        <v>138</v>
      </c>
      <c r="D962">
        <v>87</v>
      </c>
      <c r="E962" s="22"/>
      <c r="F962" s="22">
        <f t="shared" ref="F962:Q962" si="677">F646</f>
        <v>0</v>
      </c>
      <c r="G962" s="22">
        <f t="shared" si="677"/>
        <v>0</v>
      </c>
      <c r="H962" s="22">
        <f t="shared" si="677"/>
        <v>0</v>
      </c>
      <c r="I962" s="22">
        <f t="shared" si="677"/>
        <v>0</v>
      </c>
      <c r="J962" s="22">
        <f t="shared" si="677"/>
        <v>0</v>
      </c>
      <c r="K962" s="22">
        <f t="shared" si="677"/>
        <v>0</v>
      </c>
      <c r="L962" s="22">
        <f t="shared" si="677"/>
        <v>0</v>
      </c>
      <c r="M962" s="22">
        <f t="shared" si="677"/>
        <v>0</v>
      </c>
      <c r="N962" s="22">
        <f t="shared" si="677"/>
        <v>0</v>
      </c>
      <c r="O962" s="22">
        <f t="shared" si="677"/>
        <v>0</v>
      </c>
      <c r="P962" s="22">
        <f t="shared" si="677"/>
        <v>0</v>
      </c>
      <c r="Q962" s="22">
        <f t="shared" si="677"/>
        <v>0</v>
      </c>
      <c r="R962" s="22">
        <f t="shared" si="671"/>
        <v>0</v>
      </c>
      <c r="S962" s="62"/>
      <c r="U962" s="22"/>
    </row>
    <row r="963" spans="2:21" x14ac:dyDescent="0.2">
      <c r="C963" t="s">
        <v>74</v>
      </c>
      <c r="D963">
        <v>41</v>
      </c>
      <c r="E963" s="22"/>
      <c r="F963" s="22">
        <f t="shared" ref="F963:Q963" si="678">F227</f>
        <v>43084.084999999999</v>
      </c>
      <c r="G963" s="22">
        <f t="shared" si="678"/>
        <v>40720.915000000001</v>
      </c>
      <c r="H963" s="22">
        <f t="shared" si="678"/>
        <v>39251.000999999997</v>
      </c>
      <c r="I963" s="22">
        <f t="shared" si="678"/>
        <v>41478.165000000001</v>
      </c>
      <c r="J963" s="22">
        <f t="shared" si="678"/>
        <v>35383.019</v>
      </c>
      <c r="K963" s="22">
        <f t="shared" si="678"/>
        <v>34661.311000000002</v>
      </c>
      <c r="L963" s="22">
        <f t="shared" si="678"/>
        <v>35039.822</v>
      </c>
      <c r="M963" s="22">
        <f t="shared" si="678"/>
        <v>32922.214999999997</v>
      </c>
      <c r="N963" s="22">
        <f t="shared" si="678"/>
        <v>35515.919000000002</v>
      </c>
      <c r="O963" s="22">
        <f t="shared" si="678"/>
        <v>35497.504000000001</v>
      </c>
      <c r="P963" s="22">
        <f t="shared" si="678"/>
        <v>34267.963000000003</v>
      </c>
      <c r="Q963" s="22">
        <f t="shared" si="678"/>
        <v>41493.053999999996</v>
      </c>
      <c r="R963" s="22">
        <f t="shared" si="671"/>
        <v>449314.97299999994</v>
      </c>
      <c r="S963" s="62"/>
      <c r="U963" s="22"/>
    </row>
    <row r="964" spans="2:21" x14ac:dyDescent="0.2">
      <c r="C964" t="s">
        <v>313</v>
      </c>
      <c r="D964" s="21" t="s">
        <v>236</v>
      </c>
      <c r="E964" s="22"/>
      <c r="F964" s="22">
        <f t="shared" ref="F964:Q964" si="679">F307</f>
        <v>42638</v>
      </c>
      <c r="G964" s="22">
        <f t="shared" si="679"/>
        <v>37406</v>
      </c>
      <c r="H964" s="22">
        <f t="shared" si="679"/>
        <v>37406</v>
      </c>
      <c r="I964" s="22">
        <f t="shared" si="679"/>
        <v>37406</v>
      </c>
      <c r="J964" s="22">
        <f t="shared" si="679"/>
        <v>37406</v>
      </c>
      <c r="K964" s="22">
        <f t="shared" si="679"/>
        <v>40095.934000000001</v>
      </c>
      <c r="L964" s="22">
        <f t="shared" si="679"/>
        <v>37443.966999999997</v>
      </c>
      <c r="M964" s="22">
        <f t="shared" si="679"/>
        <v>37406</v>
      </c>
      <c r="N964" s="22">
        <f t="shared" si="679"/>
        <v>37406</v>
      </c>
      <c r="O964" s="22">
        <f t="shared" si="679"/>
        <v>36530</v>
      </c>
      <c r="P964" s="22">
        <f t="shared" si="679"/>
        <v>26585</v>
      </c>
      <c r="Q964" s="22">
        <f t="shared" si="679"/>
        <v>26585</v>
      </c>
      <c r="R964" s="22">
        <f t="shared" si="671"/>
        <v>434313.90100000001</v>
      </c>
      <c r="S964" s="62"/>
      <c r="U964" s="22"/>
    </row>
    <row r="965" spans="2:21" x14ac:dyDescent="0.2">
      <c r="C965" t="s">
        <v>314</v>
      </c>
      <c r="D965" s="21" t="s">
        <v>231</v>
      </c>
      <c r="E965" s="22"/>
      <c r="F965" s="22">
        <f t="shared" ref="F965:Q965" si="680">F476</f>
        <v>45698</v>
      </c>
      <c r="G965" s="22">
        <f t="shared" si="680"/>
        <v>43998</v>
      </c>
      <c r="H965" s="22">
        <f t="shared" si="680"/>
        <v>44998</v>
      </c>
      <c r="I965" s="22">
        <f t="shared" si="680"/>
        <v>47143.334000000003</v>
      </c>
      <c r="J965" s="22">
        <f t="shared" si="680"/>
        <v>49840</v>
      </c>
      <c r="K965" s="22">
        <f t="shared" si="680"/>
        <v>45913</v>
      </c>
      <c r="L965" s="22">
        <f t="shared" si="680"/>
        <v>45863</v>
      </c>
      <c r="M965" s="22">
        <f t="shared" si="680"/>
        <v>45976</v>
      </c>
      <c r="N965" s="22">
        <f t="shared" si="680"/>
        <v>47273</v>
      </c>
      <c r="O965" s="22">
        <f t="shared" si="680"/>
        <v>46772</v>
      </c>
      <c r="P965" s="22">
        <f t="shared" si="680"/>
        <v>46208</v>
      </c>
      <c r="Q965" s="22">
        <f t="shared" si="680"/>
        <v>45894</v>
      </c>
      <c r="R965" s="22">
        <f t="shared" si="671"/>
        <v>555576.33400000003</v>
      </c>
      <c r="S965" s="62"/>
      <c r="U965" s="22"/>
    </row>
    <row r="966" spans="2:21" x14ac:dyDescent="0.2">
      <c r="C966" t="s">
        <v>326</v>
      </c>
      <c r="D966" s="21" t="s">
        <v>298</v>
      </c>
      <c r="E966" s="22"/>
      <c r="F966" s="22">
        <f t="shared" ref="F966:Q966" si="681">F599</f>
        <v>750</v>
      </c>
      <c r="G966" s="22">
        <f t="shared" si="681"/>
        <v>750</v>
      </c>
      <c r="H966" s="22">
        <f t="shared" si="681"/>
        <v>750</v>
      </c>
      <c r="I966" s="22">
        <f t="shared" si="681"/>
        <v>750</v>
      </c>
      <c r="J966" s="22">
        <f t="shared" si="681"/>
        <v>750</v>
      </c>
      <c r="K966" s="22">
        <f t="shared" si="681"/>
        <v>750</v>
      </c>
      <c r="L966" s="22">
        <f t="shared" si="681"/>
        <v>750</v>
      </c>
      <c r="M966" s="22">
        <f t="shared" si="681"/>
        <v>750</v>
      </c>
      <c r="N966" s="22">
        <f t="shared" si="681"/>
        <v>750</v>
      </c>
      <c r="O966" s="22">
        <f t="shared" si="681"/>
        <v>750</v>
      </c>
      <c r="P966" s="22">
        <f t="shared" si="681"/>
        <v>1500</v>
      </c>
      <c r="Q966" s="22">
        <f t="shared" si="681"/>
        <v>750</v>
      </c>
      <c r="R966" s="22">
        <f t="shared" si="671"/>
        <v>9750</v>
      </c>
      <c r="S966" s="62"/>
      <c r="U966" s="22"/>
    </row>
    <row r="967" spans="2:21" x14ac:dyDescent="0.2">
      <c r="C967" t="s">
        <v>315</v>
      </c>
      <c r="D967" s="21" t="s">
        <v>232</v>
      </c>
      <c r="E967" s="22"/>
      <c r="F967" s="22">
        <f t="shared" ref="F967:Q967" si="682">F799</f>
        <v>23930</v>
      </c>
      <c r="G967" s="22">
        <f t="shared" si="682"/>
        <v>23930</v>
      </c>
      <c r="H967" s="22">
        <f t="shared" si="682"/>
        <v>23930</v>
      </c>
      <c r="I967" s="22">
        <f t="shared" si="682"/>
        <v>24030</v>
      </c>
      <c r="J967" s="22">
        <f t="shared" si="682"/>
        <v>24030</v>
      </c>
      <c r="K967" s="22">
        <f t="shared" si="682"/>
        <v>23930</v>
      </c>
      <c r="L967" s="22">
        <f t="shared" si="682"/>
        <v>23930</v>
      </c>
      <c r="M967" s="22">
        <f t="shared" si="682"/>
        <v>23930</v>
      </c>
      <c r="N967" s="22">
        <f t="shared" si="682"/>
        <v>23930</v>
      </c>
      <c r="O967" s="22">
        <f t="shared" si="682"/>
        <v>23930</v>
      </c>
      <c r="P967" s="22">
        <f t="shared" si="682"/>
        <v>23930</v>
      </c>
      <c r="Q967" s="22">
        <f t="shared" si="682"/>
        <v>23930</v>
      </c>
      <c r="R967" s="22">
        <f t="shared" si="671"/>
        <v>287360</v>
      </c>
      <c r="S967" s="62"/>
      <c r="U967" s="22"/>
    </row>
    <row r="968" spans="2:21" x14ac:dyDescent="0.2">
      <c r="C968" t="s">
        <v>135</v>
      </c>
      <c r="D968">
        <v>85</v>
      </c>
      <c r="E968" s="22"/>
      <c r="F968" s="22">
        <f t="shared" ref="F968:Q968" si="683">F397</f>
        <v>518.69000000000005</v>
      </c>
      <c r="G968" s="22">
        <f t="shared" si="683"/>
        <v>510.01299999999998</v>
      </c>
      <c r="H968" s="22">
        <f t="shared" si="683"/>
        <v>488.32299999999998</v>
      </c>
      <c r="I968" s="22">
        <f t="shared" si="683"/>
        <v>513.17600000000004</v>
      </c>
      <c r="J968" s="22">
        <f t="shared" si="683"/>
        <v>495.04300000000001</v>
      </c>
      <c r="K968" s="22">
        <f t="shared" si="683"/>
        <v>490.26099999999997</v>
      </c>
      <c r="L968" s="22">
        <f t="shared" si="683"/>
        <v>497.79899999999998</v>
      </c>
      <c r="M968" s="22">
        <f t="shared" si="683"/>
        <v>465.29399999999998</v>
      </c>
      <c r="N968" s="22">
        <f t="shared" si="683"/>
        <v>518.226</v>
      </c>
      <c r="O968" s="22">
        <f t="shared" si="683"/>
        <v>498.14</v>
      </c>
      <c r="P968" s="22">
        <f t="shared" si="683"/>
        <v>499.85300000000001</v>
      </c>
      <c r="Q968" s="22">
        <f t="shared" si="683"/>
        <v>498.16500000000002</v>
      </c>
      <c r="R968" s="22">
        <f t="shared" si="671"/>
        <v>5992.9830000000002</v>
      </c>
      <c r="S968" s="62"/>
      <c r="U968" s="22"/>
    </row>
    <row r="969" spans="2:21" x14ac:dyDescent="0.2">
      <c r="C969" t="s">
        <v>136</v>
      </c>
      <c r="D969">
        <v>86</v>
      </c>
      <c r="E969" s="22"/>
      <c r="F969" s="22">
        <f t="shared" ref="F969:Q969" si="684">F560</f>
        <v>138.94300000000001</v>
      </c>
      <c r="G969" s="22">
        <f t="shared" si="684"/>
        <v>132.232</v>
      </c>
      <c r="H969" s="22">
        <f t="shared" si="684"/>
        <v>128.99199999999999</v>
      </c>
      <c r="I969" s="22">
        <f t="shared" si="684"/>
        <v>139.04499999999999</v>
      </c>
      <c r="J969" s="22">
        <f t="shared" si="684"/>
        <v>127.645</v>
      </c>
      <c r="K969" s="22">
        <f t="shared" si="684"/>
        <v>133.49100000000001</v>
      </c>
      <c r="L969" s="22">
        <f t="shared" si="684"/>
        <v>136.14599999999999</v>
      </c>
      <c r="M969" s="22">
        <f t="shared" si="684"/>
        <v>118.42700000000001</v>
      </c>
      <c r="N969" s="22">
        <f t="shared" si="684"/>
        <v>135.71199999999999</v>
      </c>
      <c r="O969" s="22">
        <f t="shared" si="684"/>
        <v>136.22900000000001</v>
      </c>
      <c r="P969" s="22">
        <f t="shared" si="684"/>
        <v>132.31299999999999</v>
      </c>
      <c r="Q969" s="22">
        <f t="shared" si="684"/>
        <v>128.92699999999999</v>
      </c>
      <c r="R969" s="22">
        <f t="shared" si="671"/>
        <v>1588.1019999999996</v>
      </c>
      <c r="S969" s="62"/>
      <c r="U969" s="22"/>
    </row>
    <row r="970" spans="2:21" x14ac:dyDescent="0.2">
      <c r="C970" t="s">
        <v>137</v>
      </c>
      <c r="D970">
        <v>87</v>
      </c>
      <c r="E970" s="22"/>
      <c r="F970" s="22">
        <f t="shared" ref="F970:Q970" si="685">F702</f>
        <v>0</v>
      </c>
      <c r="G970" s="22">
        <f t="shared" si="685"/>
        <v>0</v>
      </c>
      <c r="H970" s="22">
        <f t="shared" si="685"/>
        <v>0</v>
      </c>
      <c r="I970" s="22">
        <f t="shared" si="685"/>
        <v>0</v>
      </c>
      <c r="J970" s="22">
        <f t="shared" si="685"/>
        <v>0</v>
      </c>
      <c r="K970" s="22">
        <f t="shared" si="685"/>
        <v>0</v>
      </c>
      <c r="L970" s="22">
        <f t="shared" si="685"/>
        <v>0</v>
      </c>
      <c r="M970" s="22">
        <f t="shared" si="685"/>
        <v>0</v>
      </c>
      <c r="N970" s="22">
        <f t="shared" si="685"/>
        <v>0</v>
      </c>
      <c r="O970" s="22">
        <f t="shared" si="685"/>
        <v>0</v>
      </c>
      <c r="P970" s="22">
        <f t="shared" si="685"/>
        <v>0</v>
      </c>
      <c r="Q970" s="22">
        <f t="shared" si="685"/>
        <v>0</v>
      </c>
      <c r="R970" s="22">
        <f t="shared" si="671"/>
        <v>0</v>
      </c>
      <c r="S970" s="62"/>
      <c r="U970" s="22"/>
    </row>
    <row r="971" spans="2:21" x14ac:dyDescent="0.2">
      <c r="C971" t="s">
        <v>143</v>
      </c>
      <c r="E971" s="22"/>
      <c r="F971" s="22">
        <f t="shared" ref="F971:N971" si="686">F843</f>
        <v>0</v>
      </c>
      <c r="G971" s="22">
        <f t="shared" si="686"/>
        <v>0</v>
      </c>
      <c r="H971" s="22">
        <f t="shared" si="686"/>
        <v>0</v>
      </c>
      <c r="I971" s="22">
        <f t="shared" si="686"/>
        <v>0</v>
      </c>
      <c r="J971" s="22">
        <f t="shared" si="686"/>
        <v>0</v>
      </c>
      <c r="K971" s="22">
        <f t="shared" si="686"/>
        <v>0</v>
      </c>
      <c r="L971" s="22">
        <f t="shared" si="686"/>
        <v>0</v>
      </c>
      <c r="M971" s="22">
        <f t="shared" si="686"/>
        <v>0</v>
      </c>
      <c r="N971" s="22">
        <f t="shared" si="686"/>
        <v>0</v>
      </c>
      <c r="O971" s="22">
        <f t="shared" ref="O971:Q971" si="687">O843</f>
        <v>0</v>
      </c>
      <c r="P971" s="22">
        <f t="shared" si="687"/>
        <v>0</v>
      </c>
      <c r="Q971" s="22">
        <f t="shared" si="687"/>
        <v>0</v>
      </c>
      <c r="R971" s="22">
        <f t="shared" si="671"/>
        <v>0</v>
      </c>
      <c r="S971" s="62"/>
    </row>
    <row r="972" spans="2:21" x14ac:dyDescent="0.2">
      <c r="C972" t="s">
        <v>81</v>
      </c>
      <c r="F972" s="39">
        <f t="shared" ref="F972:R972" si="688">SUM(F956:F971)</f>
        <v>537554.52899999986</v>
      </c>
      <c r="G972" s="39">
        <f t="shared" si="688"/>
        <v>516778.20099999994</v>
      </c>
      <c r="H972" s="39">
        <f t="shared" si="688"/>
        <v>502588.34699999995</v>
      </c>
      <c r="I972" s="39">
        <f t="shared" si="688"/>
        <v>516025.26299999998</v>
      </c>
      <c r="J972" s="39">
        <f t="shared" si="688"/>
        <v>517769.82400000008</v>
      </c>
      <c r="K972" s="39">
        <f t="shared" si="688"/>
        <v>520712.13900000002</v>
      </c>
      <c r="L972" s="39">
        <f t="shared" si="688"/>
        <v>518744.90100000001</v>
      </c>
      <c r="M972" s="39">
        <f t="shared" si="688"/>
        <v>492664.87199999997</v>
      </c>
      <c r="N972" s="39">
        <f t="shared" si="688"/>
        <v>521726.08500000002</v>
      </c>
      <c r="O972" s="39">
        <f t="shared" ref="O972:Q972" si="689">SUM(O956:O971)</f>
        <v>517767.875</v>
      </c>
      <c r="P972" s="39">
        <f t="shared" si="689"/>
        <v>504104.69500000001</v>
      </c>
      <c r="Q972" s="39">
        <f t="shared" si="689"/>
        <v>555383.8060000001</v>
      </c>
      <c r="R972" s="129">
        <f t="shared" si="688"/>
        <v>6221820.5369999986</v>
      </c>
      <c r="S972" s="62"/>
    </row>
    <row r="973" spans="2:21" x14ac:dyDescent="0.2">
      <c r="S973" s="31"/>
    </row>
    <row r="974" spans="2:21" x14ac:dyDescent="0.2">
      <c r="B974" t="s">
        <v>291</v>
      </c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31"/>
    </row>
    <row r="975" spans="2:21" x14ac:dyDescent="0.2">
      <c r="C975" s="80" t="s">
        <v>74</v>
      </c>
      <c r="D975">
        <v>41</v>
      </c>
      <c r="F975" s="43">
        <f t="shared" ref="F975:N975" si="690">F956+F963</f>
        <v>342290.79399999999</v>
      </c>
      <c r="G975" s="43">
        <f t="shared" si="690"/>
        <v>327103.11199999996</v>
      </c>
      <c r="H975" s="43">
        <f t="shared" si="690"/>
        <v>312673.99199999997</v>
      </c>
      <c r="I975" s="43">
        <f t="shared" si="690"/>
        <v>322447.08499999996</v>
      </c>
      <c r="J975" s="43">
        <f t="shared" si="690"/>
        <v>305286.57999999996</v>
      </c>
      <c r="K975" s="43">
        <f t="shared" si="690"/>
        <v>319350.66700000002</v>
      </c>
      <c r="L975" s="43">
        <f t="shared" si="690"/>
        <v>324478.3</v>
      </c>
      <c r="M975" s="43">
        <f t="shared" si="690"/>
        <v>300002.14300000004</v>
      </c>
      <c r="N975" s="43">
        <f t="shared" si="690"/>
        <v>326070.42699999997</v>
      </c>
      <c r="O975" s="43">
        <f t="shared" ref="O975:Q975" si="691">O956+O963</f>
        <v>322756.45800000004</v>
      </c>
      <c r="P975" s="43">
        <f t="shared" si="691"/>
        <v>319879.58100000001</v>
      </c>
      <c r="Q975" s="43">
        <f t="shared" si="691"/>
        <v>380088.63400000002</v>
      </c>
      <c r="R975" s="22">
        <f t="shared" ref="R975:R983" si="692">SUM(F975:Q975)</f>
        <v>3902427.7730000005</v>
      </c>
      <c r="S975" s="62"/>
      <c r="U975" s="22"/>
    </row>
    <row r="976" spans="2:21" x14ac:dyDescent="0.2">
      <c r="C976" s="80" t="s">
        <v>285</v>
      </c>
      <c r="D976">
        <v>85</v>
      </c>
      <c r="F976" s="43">
        <f t="shared" ref="F976:N976" si="693">F960+F968</f>
        <v>7614.9740000000002</v>
      </c>
      <c r="G976" s="43">
        <f t="shared" si="693"/>
        <v>7355.4219999999996</v>
      </c>
      <c r="H976" s="43">
        <f t="shared" si="693"/>
        <v>6948.5470000000005</v>
      </c>
      <c r="I976" s="43">
        <f t="shared" si="693"/>
        <v>7321.5430000000006</v>
      </c>
      <c r="J976" s="43">
        <f t="shared" si="693"/>
        <v>7320.2309999999998</v>
      </c>
      <c r="K976" s="43">
        <f t="shared" si="693"/>
        <v>7216.4680000000008</v>
      </c>
      <c r="L976" s="43">
        <f t="shared" si="693"/>
        <v>7162.3630000000003</v>
      </c>
      <c r="M976" s="43">
        <f t="shared" si="693"/>
        <v>6781.24</v>
      </c>
      <c r="N976" s="43">
        <f t="shared" si="693"/>
        <v>7298.4849999999997</v>
      </c>
      <c r="O976" s="43">
        <f t="shared" ref="O976:Q976" si="694">O960+O968</f>
        <v>7115.8980000000001</v>
      </c>
      <c r="P976" s="43">
        <f t="shared" si="694"/>
        <v>7300.415</v>
      </c>
      <c r="Q976" s="43">
        <f t="shared" si="694"/>
        <v>4960.3890000000001</v>
      </c>
      <c r="R976" s="22">
        <f t="shared" si="692"/>
        <v>84395.974999999991</v>
      </c>
      <c r="S976" s="62"/>
      <c r="U976" s="22"/>
    </row>
    <row r="977" spans="1:26" x14ac:dyDescent="0.2">
      <c r="C977" s="80" t="s">
        <v>286</v>
      </c>
      <c r="D977">
        <v>86</v>
      </c>
      <c r="F977" s="43">
        <f t="shared" ref="F977:N977" si="695">F961+F969</f>
        <v>6792.7610000000004</v>
      </c>
      <c r="G977" s="43">
        <f t="shared" si="695"/>
        <v>6854.6670000000004</v>
      </c>
      <c r="H977" s="43">
        <f t="shared" si="695"/>
        <v>6500.808</v>
      </c>
      <c r="I977" s="43">
        <f t="shared" si="695"/>
        <v>7068.3010000000004</v>
      </c>
      <c r="J977" s="43">
        <f t="shared" si="695"/>
        <v>6916.0130000000008</v>
      </c>
      <c r="K977" s="43">
        <f t="shared" si="695"/>
        <v>6984.07</v>
      </c>
      <c r="L977" s="43">
        <f t="shared" si="695"/>
        <v>6827.67</v>
      </c>
      <c r="M977" s="43">
        <f t="shared" si="695"/>
        <v>6292.4889999999996</v>
      </c>
      <c r="N977" s="43">
        <f t="shared" si="695"/>
        <v>7421.1730000000007</v>
      </c>
      <c r="O977" s="43">
        <f t="shared" ref="O977:Q977" si="696">O961+O969</f>
        <v>7004.5190000000002</v>
      </c>
      <c r="P977" s="43">
        <f t="shared" si="696"/>
        <v>6809.6990000000005</v>
      </c>
      <c r="Q977" s="43">
        <f t="shared" si="696"/>
        <v>6689.7829999999994</v>
      </c>
      <c r="R977" s="22">
        <f t="shared" si="692"/>
        <v>82161.953000000009</v>
      </c>
      <c r="S977" s="62"/>
      <c r="U977" s="22"/>
    </row>
    <row r="978" spans="1:26" x14ac:dyDescent="0.2">
      <c r="C978" s="80" t="s">
        <v>287</v>
      </c>
      <c r="D978">
        <v>87</v>
      </c>
      <c r="F978" s="43">
        <f t="shared" ref="F978:N978" si="697">F962+F970</f>
        <v>0</v>
      </c>
      <c r="G978" s="43">
        <f t="shared" si="697"/>
        <v>0</v>
      </c>
      <c r="H978" s="43">
        <f t="shared" si="697"/>
        <v>0</v>
      </c>
      <c r="I978" s="43">
        <f t="shared" si="697"/>
        <v>0</v>
      </c>
      <c r="J978" s="43">
        <f t="shared" si="697"/>
        <v>0</v>
      </c>
      <c r="K978" s="43">
        <f t="shared" si="697"/>
        <v>0</v>
      </c>
      <c r="L978" s="43">
        <f t="shared" si="697"/>
        <v>0</v>
      </c>
      <c r="M978" s="43">
        <f t="shared" si="697"/>
        <v>0</v>
      </c>
      <c r="N978" s="43">
        <f t="shared" si="697"/>
        <v>0</v>
      </c>
      <c r="O978" s="43">
        <f t="shared" ref="O978:Q978" si="698">O962+O970</f>
        <v>0</v>
      </c>
      <c r="P978" s="43">
        <f t="shared" si="698"/>
        <v>0</v>
      </c>
      <c r="Q978" s="43">
        <f t="shared" si="698"/>
        <v>0</v>
      </c>
      <c r="R978" s="22">
        <f t="shared" si="692"/>
        <v>0</v>
      </c>
      <c r="S978" s="62"/>
      <c r="U978" s="22"/>
    </row>
    <row r="979" spans="1:26" x14ac:dyDescent="0.2">
      <c r="C979" t="s">
        <v>288</v>
      </c>
      <c r="D979" s="21" t="s">
        <v>236</v>
      </c>
      <c r="F979" s="43">
        <f t="shared" ref="F979:N979" si="699">F957+F964</f>
        <v>99699</v>
      </c>
      <c r="G979" s="43">
        <f t="shared" si="699"/>
        <v>96008</v>
      </c>
      <c r="H979" s="43">
        <f t="shared" si="699"/>
        <v>96008</v>
      </c>
      <c r="I979" s="43">
        <f t="shared" si="699"/>
        <v>96486</v>
      </c>
      <c r="J979" s="43">
        <f t="shared" si="699"/>
        <v>112846</v>
      </c>
      <c r="K979" s="43">
        <f t="shared" si="699"/>
        <v>105786.93400000001</v>
      </c>
      <c r="L979" s="43">
        <f t="shared" si="699"/>
        <v>98954.567999999999</v>
      </c>
      <c r="M979" s="43">
        <f t="shared" si="699"/>
        <v>98154</v>
      </c>
      <c r="N979" s="43">
        <f t="shared" si="699"/>
        <v>98204</v>
      </c>
      <c r="O979" s="43">
        <f t="shared" ref="O979:Q979" si="700">O957+O964</f>
        <v>98660</v>
      </c>
      <c r="P979" s="43">
        <f t="shared" si="700"/>
        <v>86298</v>
      </c>
      <c r="Q979" s="43">
        <f t="shared" si="700"/>
        <v>82292</v>
      </c>
      <c r="R979" s="22">
        <f t="shared" si="692"/>
        <v>1169396.5019999999</v>
      </c>
      <c r="S979" s="62"/>
      <c r="U979" s="22"/>
    </row>
    <row r="980" spans="1:26" x14ac:dyDescent="0.2">
      <c r="C980" t="s">
        <v>289</v>
      </c>
      <c r="D980" s="21" t="s">
        <v>231</v>
      </c>
      <c r="F980" s="43">
        <f t="shared" ref="F980:N980" si="701">F958+F965</f>
        <v>56473</v>
      </c>
      <c r="G980" s="43">
        <f t="shared" si="701"/>
        <v>54773</v>
      </c>
      <c r="H980" s="43">
        <f t="shared" si="701"/>
        <v>55773</v>
      </c>
      <c r="I980" s="43">
        <f t="shared" si="701"/>
        <v>57918.334000000003</v>
      </c>
      <c r="J980" s="43">
        <f t="shared" si="701"/>
        <v>60615</v>
      </c>
      <c r="K980" s="43">
        <f t="shared" si="701"/>
        <v>56688</v>
      </c>
      <c r="L980" s="43">
        <f t="shared" si="701"/>
        <v>56638</v>
      </c>
      <c r="M980" s="43">
        <f t="shared" si="701"/>
        <v>56751</v>
      </c>
      <c r="N980" s="43">
        <f t="shared" si="701"/>
        <v>58048</v>
      </c>
      <c r="O980" s="43">
        <f t="shared" ref="O980:Q980" si="702">O958+O965</f>
        <v>57547</v>
      </c>
      <c r="P980" s="43">
        <f t="shared" si="702"/>
        <v>58383</v>
      </c>
      <c r="Q980" s="43">
        <f t="shared" si="702"/>
        <v>56669</v>
      </c>
      <c r="R980" s="22">
        <f t="shared" si="692"/>
        <v>686276.33400000003</v>
      </c>
      <c r="S980" s="62"/>
      <c r="U980" s="22"/>
    </row>
    <row r="981" spans="1:26" x14ac:dyDescent="0.2">
      <c r="C981" t="s">
        <v>327</v>
      </c>
      <c r="D981" s="21" t="s">
        <v>298</v>
      </c>
      <c r="F981" s="43">
        <f t="shared" ref="F981:N981" si="703">F966</f>
        <v>750</v>
      </c>
      <c r="G981" s="43">
        <f t="shared" si="703"/>
        <v>750</v>
      </c>
      <c r="H981" s="43">
        <f t="shared" si="703"/>
        <v>750</v>
      </c>
      <c r="I981" s="43">
        <f t="shared" si="703"/>
        <v>750</v>
      </c>
      <c r="J981" s="43">
        <f t="shared" si="703"/>
        <v>750</v>
      </c>
      <c r="K981" s="43">
        <f t="shared" si="703"/>
        <v>750</v>
      </c>
      <c r="L981" s="43">
        <f t="shared" si="703"/>
        <v>750</v>
      </c>
      <c r="M981" s="43">
        <f t="shared" si="703"/>
        <v>750</v>
      </c>
      <c r="N981" s="43">
        <f t="shared" si="703"/>
        <v>750</v>
      </c>
      <c r="O981" s="43">
        <f t="shared" ref="O981:Q981" si="704">O966</f>
        <v>750</v>
      </c>
      <c r="P981" s="43">
        <f t="shared" si="704"/>
        <v>1500</v>
      </c>
      <c r="Q981" s="43">
        <f t="shared" si="704"/>
        <v>750</v>
      </c>
      <c r="R981" s="22">
        <f t="shared" si="692"/>
        <v>9750</v>
      </c>
      <c r="S981" s="62"/>
      <c r="U981" s="22"/>
    </row>
    <row r="982" spans="1:26" x14ac:dyDescent="0.2">
      <c r="C982" t="s">
        <v>290</v>
      </c>
      <c r="D982" s="21" t="s">
        <v>232</v>
      </c>
      <c r="F982" s="43">
        <f t="shared" ref="F982:N982" si="705">F959+F967</f>
        <v>23934</v>
      </c>
      <c r="G982" s="43">
        <f t="shared" si="705"/>
        <v>23934</v>
      </c>
      <c r="H982" s="43">
        <f t="shared" si="705"/>
        <v>23934</v>
      </c>
      <c r="I982" s="43">
        <f t="shared" si="705"/>
        <v>24034</v>
      </c>
      <c r="J982" s="43">
        <f t="shared" si="705"/>
        <v>24036</v>
      </c>
      <c r="K982" s="43">
        <f t="shared" si="705"/>
        <v>23936</v>
      </c>
      <c r="L982" s="43">
        <f t="shared" si="705"/>
        <v>23934</v>
      </c>
      <c r="M982" s="43">
        <f t="shared" si="705"/>
        <v>23934</v>
      </c>
      <c r="N982" s="43">
        <f t="shared" si="705"/>
        <v>23934</v>
      </c>
      <c r="O982" s="43">
        <f t="shared" ref="O982:Q982" si="706">O959+O967</f>
        <v>23934</v>
      </c>
      <c r="P982" s="43">
        <f t="shared" si="706"/>
        <v>23934</v>
      </c>
      <c r="Q982" s="43">
        <f t="shared" si="706"/>
        <v>23934</v>
      </c>
      <c r="R982" s="22">
        <f t="shared" si="692"/>
        <v>287412</v>
      </c>
      <c r="S982" s="62"/>
      <c r="U982" s="22"/>
    </row>
    <row r="983" spans="1:26" x14ac:dyDescent="0.2">
      <c r="C983" s="80" t="s">
        <v>238</v>
      </c>
      <c r="F983" s="43">
        <f t="shared" ref="F983:N983" si="707">F971</f>
        <v>0</v>
      </c>
      <c r="G983" s="43">
        <f t="shared" si="707"/>
        <v>0</v>
      </c>
      <c r="H983" s="43">
        <f t="shared" si="707"/>
        <v>0</v>
      </c>
      <c r="I983" s="43">
        <f t="shared" si="707"/>
        <v>0</v>
      </c>
      <c r="J983" s="43">
        <f t="shared" si="707"/>
        <v>0</v>
      </c>
      <c r="K983" s="43">
        <f t="shared" si="707"/>
        <v>0</v>
      </c>
      <c r="L983" s="43">
        <f t="shared" si="707"/>
        <v>0</v>
      </c>
      <c r="M983" s="43">
        <f t="shared" si="707"/>
        <v>0</v>
      </c>
      <c r="N983" s="43">
        <f t="shared" si="707"/>
        <v>0</v>
      </c>
      <c r="O983" s="43">
        <f t="shared" ref="O983:Q983" si="708">O971</f>
        <v>0</v>
      </c>
      <c r="P983" s="43">
        <f t="shared" si="708"/>
        <v>0</v>
      </c>
      <c r="Q983" s="43">
        <f t="shared" si="708"/>
        <v>0</v>
      </c>
      <c r="R983" s="22">
        <f t="shared" si="692"/>
        <v>0</v>
      </c>
      <c r="S983" s="62"/>
      <c r="U983" s="22"/>
    </row>
    <row r="984" spans="1:26" x14ac:dyDescent="0.2">
      <c r="C984" t="s">
        <v>81</v>
      </c>
      <c r="E984" s="23"/>
      <c r="F984" s="39">
        <f t="shared" ref="F984:R984" si="709">SUM(F975:F983)</f>
        <v>537554.52899999998</v>
      </c>
      <c r="G984" s="39">
        <f t="shared" si="709"/>
        <v>516778.201</v>
      </c>
      <c r="H984" s="39">
        <f t="shared" si="709"/>
        <v>502588.34700000001</v>
      </c>
      <c r="I984" s="39">
        <f t="shared" si="709"/>
        <v>516025.26299999992</v>
      </c>
      <c r="J984" s="39">
        <f t="shared" si="709"/>
        <v>517769.82399999996</v>
      </c>
      <c r="K984" s="39">
        <f t="shared" si="709"/>
        <v>520712.13900000002</v>
      </c>
      <c r="L984" s="39">
        <f t="shared" si="709"/>
        <v>518744.90099999995</v>
      </c>
      <c r="M984" s="39">
        <f t="shared" si="709"/>
        <v>492664.87200000003</v>
      </c>
      <c r="N984" s="39">
        <f t="shared" si="709"/>
        <v>521726.08499999996</v>
      </c>
      <c r="O984" s="39">
        <f t="shared" ref="O984:Q984" si="710">SUM(O975:O983)</f>
        <v>517767.875</v>
      </c>
      <c r="P984" s="39">
        <f t="shared" si="710"/>
        <v>504104.69500000001</v>
      </c>
      <c r="Q984" s="39">
        <f t="shared" si="710"/>
        <v>555383.8060000001</v>
      </c>
      <c r="R984" s="129">
        <f t="shared" si="709"/>
        <v>6221820.5370000005</v>
      </c>
      <c r="S984" s="62"/>
      <c r="U984" s="22"/>
    </row>
    <row r="985" spans="1:26" x14ac:dyDescent="0.2">
      <c r="C985" t="s">
        <v>114</v>
      </c>
      <c r="E985" s="23"/>
      <c r="F985" s="689">
        <f t="shared" ref="F985:R985" si="711">F984-F972</f>
        <v>0</v>
      </c>
      <c r="G985" s="689">
        <f t="shared" si="711"/>
        <v>0</v>
      </c>
      <c r="H985" s="689">
        <f t="shared" si="711"/>
        <v>0</v>
      </c>
      <c r="I985" s="689">
        <f t="shared" si="711"/>
        <v>0</v>
      </c>
      <c r="J985" s="689">
        <f t="shared" si="711"/>
        <v>0</v>
      </c>
      <c r="K985" s="689">
        <f t="shared" si="711"/>
        <v>0</v>
      </c>
      <c r="L985" s="689">
        <f t="shared" si="711"/>
        <v>0</v>
      </c>
      <c r="M985" s="689">
        <f t="shared" si="711"/>
        <v>0</v>
      </c>
      <c r="N985" s="689">
        <f t="shared" si="711"/>
        <v>0</v>
      </c>
      <c r="O985" s="689">
        <f t="shared" ref="O985:Q985" si="712">O984-O972</f>
        <v>0</v>
      </c>
      <c r="P985" s="689">
        <f t="shared" si="712"/>
        <v>0</v>
      </c>
      <c r="Q985" s="689">
        <f t="shared" si="712"/>
        <v>0</v>
      </c>
      <c r="R985" s="689">
        <f t="shared" si="711"/>
        <v>0</v>
      </c>
      <c r="S985" s="31"/>
      <c r="U985" s="22"/>
    </row>
    <row r="986" spans="1:26" x14ac:dyDescent="0.2"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31"/>
      <c r="U986" s="22"/>
    </row>
    <row r="987" spans="1:26" x14ac:dyDescent="0.2">
      <c r="B987" s="29" t="s">
        <v>148</v>
      </c>
      <c r="S987" s="31"/>
      <c r="U987" s="22"/>
    </row>
    <row r="988" spans="1:26" x14ac:dyDescent="0.2">
      <c r="A988" t="s">
        <v>130</v>
      </c>
      <c r="B988" t="s">
        <v>215</v>
      </c>
      <c r="F988" s="23">
        <f t="shared" ref="F988:Q988" si="713">SUMIF($A$7:$A$859,$A988,F$7:F$859)-F62</f>
        <v>8660272.7136328947</v>
      </c>
      <c r="G988" s="23">
        <f t="shared" si="713"/>
        <v>8310740.8745670477</v>
      </c>
      <c r="H988" s="23">
        <f t="shared" si="713"/>
        <v>11991854.692316826</v>
      </c>
      <c r="I988" s="23">
        <f t="shared" si="713"/>
        <v>23174328.888951357</v>
      </c>
      <c r="J988" s="23">
        <f t="shared" si="713"/>
        <v>35476806.448715761</v>
      </c>
      <c r="K988" s="23">
        <f t="shared" si="713"/>
        <v>42699898.035398878</v>
      </c>
      <c r="L988" s="23">
        <f t="shared" si="713"/>
        <v>46331554.200587258</v>
      </c>
      <c r="M988" s="23">
        <f t="shared" si="713"/>
        <v>35793421.557031967</v>
      </c>
      <c r="N988" s="23">
        <f t="shared" si="713"/>
        <v>36940639.789656088</v>
      </c>
      <c r="O988" s="23">
        <f t="shared" si="713"/>
        <v>25383528.387371577</v>
      </c>
      <c r="P988" s="23">
        <f t="shared" si="713"/>
        <v>16365294.765867658</v>
      </c>
      <c r="Q988" s="23">
        <f t="shared" si="713"/>
        <v>10822545.536456268</v>
      </c>
      <c r="R988" s="23">
        <f>SUM(F988:Q988)</f>
        <v>301950885.89055359</v>
      </c>
      <c r="S988" s="687"/>
      <c r="T988" s="23"/>
      <c r="U988" s="22"/>
      <c r="V988" s="23"/>
      <c r="W988" s="23"/>
      <c r="X988" s="23"/>
      <c r="Y988" s="23"/>
      <c r="Z988" s="23"/>
    </row>
    <row r="989" spans="1:26" x14ac:dyDescent="0.2">
      <c r="A989" t="s">
        <v>130</v>
      </c>
      <c r="B989" t="s">
        <v>308</v>
      </c>
      <c r="F989" s="23">
        <f t="shared" ref="F989:Q989" si="714">F62</f>
        <v>43.307671519999992</v>
      </c>
      <c r="G989" s="23">
        <f t="shared" si="714"/>
        <v>44.663440099999995</v>
      </c>
      <c r="H989" s="23">
        <f t="shared" si="714"/>
        <v>113.52879166000001</v>
      </c>
      <c r="I989" s="23">
        <f t="shared" si="714"/>
        <v>253.89410890000002</v>
      </c>
      <c r="J989" s="23">
        <f t="shared" si="714"/>
        <v>326.66330474</v>
      </c>
      <c r="K989" s="23">
        <f t="shared" si="714"/>
        <v>327.53349663000006</v>
      </c>
      <c r="L989" s="23">
        <f t="shared" si="714"/>
        <v>273.62967635000001</v>
      </c>
      <c r="M989" s="23">
        <f t="shared" si="714"/>
        <v>36.360559469999998</v>
      </c>
      <c r="N989" s="23">
        <f t="shared" si="714"/>
        <v>0</v>
      </c>
      <c r="O989" s="23">
        <f t="shared" si="714"/>
        <v>0</v>
      </c>
      <c r="P989" s="23">
        <f t="shared" si="714"/>
        <v>0</v>
      </c>
      <c r="Q989" s="23">
        <f t="shared" si="714"/>
        <v>0</v>
      </c>
      <c r="R989" s="23">
        <f>SUM(F989:Q989)</f>
        <v>1419.5810493699998</v>
      </c>
      <c r="S989" s="687"/>
      <c r="T989" s="23"/>
      <c r="U989" s="22"/>
      <c r="V989" s="23"/>
      <c r="W989" s="23"/>
      <c r="X989" s="23"/>
      <c r="Y989" s="23"/>
      <c r="Z989" s="23"/>
    </row>
    <row r="990" spans="1:26" x14ac:dyDescent="0.2">
      <c r="A990" s="30" t="s">
        <v>147</v>
      </c>
      <c r="B990" s="30" t="s">
        <v>309</v>
      </c>
      <c r="C990" s="30"/>
      <c r="F990" s="23">
        <f t="shared" ref="F990:Q991" si="715">SUMIF($A$7:$A$859,$A990,F$7:F$859)</f>
        <v>20068438.485654846</v>
      </c>
      <c r="G990" s="23">
        <f t="shared" si="715"/>
        <v>19900250.05220373</v>
      </c>
      <c r="H990" s="23">
        <f t="shared" si="715"/>
        <v>22965712.06205849</v>
      </c>
      <c r="I990" s="23">
        <f t="shared" si="715"/>
        <v>34516670.499715865</v>
      </c>
      <c r="J990" s="23">
        <f t="shared" si="715"/>
        <v>46411758.272780962</v>
      </c>
      <c r="K990" s="23">
        <f t="shared" si="715"/>
        <v>53892171.527934954</v>
      </c>
      <c r="L990" s="23">
        <f t="shared" si="715"/>
        <v>57696010.549662553</v>
      </c>
      <c r="M990" s="23">
        <f t="shared" si="715"/>
        <v>46049318.91635412</v>
      </c>
      <c r="N990" s="23">
        <f t="shared" si="715"/>
        <v>48629033.100299314</v>
      </c>
      <c r="O990" s="23">
        <f t="shared" si="715"/>
        <v>36768278.314785048</v>
      </c>
      <c r="P990" s="23">
        <f t="shared" si="715"/>
        <v>27869960.145907432</v>
      </c>
      <c r="Q990" s="23">
        <f t="shared" si="715"/>
        <v>21926728.758642908</v>
      </c>
      <c r="R990" s="23">
        <f>SUM(F990:Q990)</f>
        <v>436694330.68600023</v>
      </c>
      <c r="S990" s="687"/>
      <c r="T990" s="34"/>
      <c r="U990" s="34"/>
      <c r="V990" s="34"/>
      <c r="W990" s="34"/>
      <c r="X990" s="34"/>
      <c r="Y990" s="34"/>
      <c r="Z990" s="34"/>
    </row>
    <row r="991" spans="1:26" x14ac:dyDescent="0.2">
      <c r="A991" s="30" t="s">
        <v>305</v>
      </c>
      <c r="B991" t="s">
        <v>304</v>
      </c>
      <c r="F991" s="23">
        <f t="shared" si="715"/>
        <v>8266328.9718919657</v>
      </c>
      <c r="G991" s="23">
        <f t="shared" si="715"/>
        <v>7932744.554461007</v>
      </c>
      <c r="H991" s="23">
        <f t="shared" si="715"/>
        <v>11446597.28710505</v>
      </c>
      <c r="I991" s="23">
        <f t="shared" si="715"/>
        <v>22120874.417571113</v>
      </c>
      <c r="J991" s="23">
        <f t="shared" si="715"/>
        <v>33864144.796063416</v>
      </c>
      <c r="K991" s="23">
        <f t="shared" si="715"/>
        <v>40758907.324080274</v>
      </c>
      <c r="L991" s="23">
        <f t="shared" si="715"/>
        <v>44225356.599562421</v>
      </c>
      <c r="M991" s="23">
        <f t="shared" si="715"/>
        <v>34166103.640075497</v>
      </c>
      <c r="N991" s="23">
        <f t="shared" si="715"/>
        <v>35261127.612107098</v>
      </c>
      <c r="O991" s="23">
        <f t="shared" si="715"/>
        <v>24229345.51672234</v>
      </c>
      <c r="P991" s="23">
        <f t="shared" si="715"/>
        <v>15621085.364892218</v>
      </c>
      <c r="Q991" s="23">
        <f t="shared" si="715"/>
        <v>10330142.280052038</v>
      </c>
      <c r="R991" s="23">
        <f>SUM(F991:Q991)</f>
        <v>288222758.36458451</v>
      </c>
      <c r="S991" s="687"/>
      <c r="T991" s="36"/>
      <c r="U991" s="36"/>
      <c r="V991" s="36"/>
      <c r="W991" s="36"/>
      <c r="X991" s="36"/>
      <c r="Y991" s="36"/>
      <c r="Z991" s="36"/>
    </row>
    <row r="992" spans="1:26" x14ac:dyDescent="0.2">
      <c r="A992" s="30" t="s">
        <v>551</v>
      </c>
      <c r="B992" t="s">
        <v>554</v>
      </c>
      <c r="F992" s="23">
        <f>SUMIF($A$7:$A$859,$A992,F$7:F$859)</f>
        <v>309499.21610501432</v>
      </c>
      <c r="G992" s="23">
        <f t="shared" ref="G992:Q992" si="716">SUMIF($A$7:$A$859,$A992,G$7:G$859)</f>
        <v>301041.81433170417</v>
      </c>
      <c r="H992" s="23">
        <f t="shared" si="716"/>
        <v>422676.41352259531</v>
      </c>
      <c r="I992" s="23">
        <f t="shared" si="716"/>
        <v>797883.70478193671</v>
      </c>
      <c r="J992" s="23">
        <f t="shared" si="716"/>
        <v>1209463.0707732108</v>
      </c>
      <c r="K992" s="23">
        <f t="shared" si="716"/>
        <v>1452997.3251406651</v>
      </c>
      <c r="L992" s="23">
        <f t="shared" si="716"/>
        <v>1577017.3411775336</v>
      </c>
      <c r="M992" s="23">
        <f t="shared" si="716"/>
        <v>1220097.3457960708</v>
      </c>
      <c r="N992" s="23">
        <f t="shared" si="716"/>
        <v>1262536.1879413112</v>
      </c>
      <c r="O992" s="23">
        <f t="shared" si="716"/>
        <v>868423.41865955957</v>
      </c>
      <c r="P992" s="23">
        <f t="shared" si="716"/>
        <v>568374.84816806763</v>
      </c>
      <c r="Q992" s="23">
        <f t="shared" si="716"/>
        <v>379831.23401614407</v>
      </c>
      <c r="R992" s="23">
        <f>SUM(F992:Q992)</f>
        <v>10369841.920413814</v>
      </c>
      <c r="S992" s="687"/>
      <c r="T992" s="36"/>
      <c r="U992" s="36"/>
      <c r="V992" s="36"/>
      <c r="W992" s="36"/>
      <c r="X992" s="36"/>
      <c r="Y992" s="36"/>
      <c r="Z992" s="36"/>
    </row>
    <row r="993" spans="2:21" x14ac:dyDescent="0.2">
      <c r="F993" s="127"/>
      <c r="G993" s="127"/>
      <c r="H993" s="127"/>
      <c r="I993" s="127"/>
      <c r="J993" s="127"/>
      <c r="K993" s="127"/>
      <c r="L993" s="127"/>
      <c r="M993" s="127"/>
      <c r="N993" s="127"/>
      <c r="O993" s="127"/>
      <c r="P993" s="127"/>
      <c r="Q993" s="127"/>
      <c r="R993" s="127"/>
      <c r="S993" s="31"/>
    </row>
    <row r="994" spans="2:21" x14ac:dyDescent="0.2">
      <c r="B994" s="69" t="s">
        <v>213</v>
      </c>
      <c r="S994" s="31"/>
    </row>
    <row r="995" spans="2:21" x14ac:dyDescent="0.2">
      <c r="B995" s="80" t="s">
        <v>155</v>
      </c>
      <c r="F995" s="23">
        <f t="shared" ref="F995:Q995" si="717">F20</f>
        <v>421.29876000000002</v>
      </c>
      <c r="G995" s="23">
        <f t="shared" si="717"/>
        <v>418.67277000000001</v>
      </c>
      <c r="H995" s="23">
        <f t="shared" si="717"/>
        <v>395.00417999999996</v>
      </c>
      <c r="I995" s="23">
        <f t="shared" si="717"/>
        <v>420.28181999999998</v>
      </c>
      <c r="J995" s="23">
        <f t="shared" si="717"/>
        <v>399.60998999999998</v>
      </c>
      <c r="K995" s="23">
        <f t="shared" si="717"/>
        <v>408.05456999999996</v>
      </c>
      <c r="L995" s="23">
        <f t="shared" si="717"/>
        <v>406.79079000000002</v>
      </c>
      <c r="M995" s="23">
        <f t="shared" si="717"/>
        <v>369.04773</v>
      </c>
      <c r="N995" s="23">
        <f t="shared" si="717"/>
        <v>426.28655999999995</v>
      </c>
      <c r="O995" s="23">
        <f t="shared" si="717"/>
        <v>419.04200999999995</v>
      </c>
      <c r="P995" s="23">
        <f t="shared" si="717"/>
        <v>417.52424999999994</v>
      </c>
      <c r="Q995" s="23">
        <f t="shared" si="717"/>
        <v>390.32951999999995</v>
      </c>
      <c r="R995" s="23">
        <f t="shared" ref="R995:R1003" si="718">SUM(F995:Q995)</f>
        <v>4891.9429499999997</v>
      </c>
      <c r="S995" s="36"/>
      <c r="U995" s="23"/>
    </row>
    <row r="996" spans="2:21" x14ac:dyDescent="0.2">
      <c r="B996" s="80" t="s">
        <v>240</v>
      </c>
      <c r="F996" s="70">
        <f t="shared" ref="F996:Q996" si="719">F40+F41</f>
        <v>13353338.362175979</v>
      </c>
      <c r="G996" s="70">
        <f t="shared" si="719"/>
        <v>13197424.561216071</v>
      </c>
      <c r="H996" s="70">
        <f t="shared" si="719"/>
        <v>15776931.843697097</v>
      </c>
      <c r="I996" s="70">
        <f t="shared" si="719"/>
        <v>24644905.176918946</v>
      </c>
      <c r="J996" s="70">
        <f t="shared" si="719"/>
        <v>33811396.020587787</v>
      </c>
      <c r="K996" s="70">
        <f t="shared" si="719"/>
        <v>39192811.486201957</v>
      </c>
      <c r="L996" s="70">
        <f t="shared" si="719"/>
        <v>42243730.17918013</v>
      </c>
      <c r="M996" s="70">
        <f t="shared" si="719"/>
        <v>33198847.236722589</v>
      </c>
      <c r="N996" s="70">
        <f t="shared" si="719"/>
        <v>35160247.420021556</v>
      </c>
      <c r="O996" s="70">
        <f t="shared" si="719"/>
        <v>26155369.78269165</v>
      </c>
      <c r="P996" s="70">
        <f t="shared" si="719"/>
        <v>19491210.757892378</v>
      </c>
      <c r="Q996" s="70">
        <f t="shared" si="719"/>
        <v>15092837.808448009</v>
      </c>
      <c r="R996" s="23">
        <f t="shared" si="718"/>
        <v>311319050.63575417</v>
      </c>
      <c r="S996" s="36"/>
      <c r="U996" s="23"/>
    </row>
    <row r="997" spans="2:21" x14ac:dyDescent="0.2">
      <c r="B997" s="80" t="s">
        <v>191</v>
      </c>
      <c r="F997" s="70">
        <f t="shared" ref="F997:Q997" si="720">+F60+F61</f>
        <v>14.277388094227405</v>
      </c>
      <c r="G997" s="70">
        <f t="shared" si="720"/>
        <v>14.770498194655005</v>
      </c>
      <c r="H997" s="70">
        <f t="shared" si="720"/>
        <v>18.797002760136056</v>
      </c>
      <c r="I997" s="70">
        <f t="shared" si="720"/>
        <v>29.46626412507289</v>
      </c>
      <c r="J997" s="70">
        <f t="shared" si="720"/>
        <v>34.693084214791057</v>
      </c>
      <c r="K997" s="70">
        <f t="shared" si="720"/>
        <v>34.37142993050535</v>
      </c>
      <c r="L997" s="70">
        <f t="shared" si="720"/>
        <v>33.284297449999997</v>
      </c>
      <c r="M997" s="70">
        <f t="shared" si="720"/>
        <v>5.3670248899999997</v>
      </c>
      <c r="N997" s="70">
        <f t="shared" si="720"/>
        <v>0</v>
      </c>
      <c r="O997" s="70">
        <f t="shared" si="720"/>
        <v>0</v>
      </c>
      <c r="P997" s="70">
        <f t="shared" si="720"/>
        <v>0</v>
      </c>
      <c r="Q997" s="70">
        <f t="shared" si="720"/>
        <v>0</v>
      </c>
      <c r="R997" s="23">
        <f t="shared" si="718"/>
        <v>185.02698965938777</v>
      </c>
      <c r="S997" s="36"/>
      <c r="U997" s="23"/>
    </row>
    <row r="998" spans="2:21" x14ac:dyDescent="0.2">
      <c r="B998" s="81" t="s">
        <v>154</v>
      </c>
      <c r="F998" s="23">
        <f t="shared" ref="F998:Q998" si="721">F82+F83+F84+F105+F106+F107</f>
        <v>4309844.3327088244</v>
      </c>
      <c r="G998" s="23">
        <f t="shared" si="721"/>
        <v>4289315.2388262646</v>
      </c>
      <c r="H998" s="23">
        <f t="shared" si="721"/>
        <v>4698500.5323242359</v>
      </c>
      <c r="I998" s="23">
        <f t="shared" si="721"/>
        <v>7010565.9160019886</v>
      </c>
      <c r="J998" s="23">
        <f t="shared" si="721"/>
        <v>9551711.2826655377</v>
      </c>
      <c r="K998" s="23">
        <f t="shared" si="721"/>
        <v>11386764.042998163</v>
      </c>
      <c r="L998" s="23">
        <f t="shared" si="721"/>
        <v>12129675.895964617</v>
      </c>
      <c r="M998" s="23">
        <f t="shared" si="721"/>
        <v>9810156.7597428001</v>
      </c>
      <c r="N998" s="23">
        <f t="shared" si="721"/>
        <v>10238956.658144632</v>
      </c>
      <c r="O998" s="23">
        <f t="shared" si="721"/>
        <v>7719706.5492745303</v>
      </c>
      <c r="P998" s="23">
        <f t="shared" si="721"/>
        <v>5785936.5019795904</v>
      </c>
      <c r="Q998" s="23">
        <f t="shared" si="721"/>
        <v>4647123.2128358111</v>
      </c>
      <c r="R998" s="23">
        <f t="shared" si="718"/>
        <v>91578256.92346701</v>
      </c>
      <c r="S998" s="36"/>
      <c r="U998" s="23"/>
    </row>
    <row r="999" spans="2:21" x14ac:dyDescent="0.2">
      <c r="B999" s="80" t="s">
        <v>153</v>
      </c>
      <c r="F999" s="23">
        <f t="shared" ref="F999:Q999" si="722">F185+F190+F191+F195+F198+F231+F236+F237+F241+F244</f>
        <v>984218.70830128156</v>
      </c>
      <c r="G999" s="23">
        <f t="shared" si="722"/>
        <v>958222.47985440097</v>
      </c>
      <c r="H999" s="23">
        <f t="shared" si="722"/>
        <v>984477.68554259476</v>
      </c>
      <c r="I999" s="23">
        <f t="shared" si="722"/>
        <v>1205692.8229241404</v>
      </c>
      <c r="J999" s="23">
        <f t="shared" si="722"/>
        <v>1341789.0880513007</v>
      </c>
      <c r="K999" s="23">
        <f t="shared" si="722"/>
        <v>1495637.8214902438</v>
      </c>
      <c r="L999" s="23">
        <f t="shared" si="722"/>
        <v>1544826.5265435083</v>
      </c>
      <c r="M999" s="23">
        <f t="shared" si="722"/>
        <v>1352349.7556626138</v>
      </c>
      <c r="N999" s="23">
        <f t="shared" si="722"/>
        <v>1437673.6590718688</v>
      </c>
      <c r="O999" s="23">
        <f t="shared" si="722"/>
        <v>1256205.115058745</v>
      </c>
      <c r="P999" s="23">
        <f t="shared" si="722"/>
        <v>1099248.5974479381</v>
      </c>
      <c r="Q999" s="23">
        <f t="shared" si="722"/>
        <v>795891.05835681339</v>
      </c>
      <c r="R999" s="23">
        <f t="shared" si="718"/>
        <v>14456233.31830545</v>
      </c>
      <c r="S999" s="36"/>
      <c r="U999" s="23"/>
    </row>
    <row r="1000" spans="2:21" x14ac:dyDescent="0.2">
      <c r="B1000" s="80" t="s">
        <v>156</v>
      </c>
      <c r="F1000" s="23">
        <f t="shared" ref="F1000:Q1000" si="723">F354+F359+F361+F364+F367+F401+F406+F408+F411+F414</f>
        <v>99781.777953500728</v>
      </c>
      <c r="G1000" s="23">
        <f t="shared" si="723"/>
        <v>94859.61672424314</v>
      </c>
      <c r="H1000" s="23">
        <f t="shared" si="723"/>
        <v>102808.04741785133</v>
      </c>
      <c r="I1000" s="23">
        <f t="shared" si="723"/>
        <v>136172.72560280797</v>
      </c>
      <c r="J1000" s="23">
        <f t="shared" si="723"/>
        <v>155140.72765941484</v>
      </c>
      <c r="K1000" s="23">
        <f t="shared" si="723"/>
        <v>174562.82249891793</v>
      </c>
      <c r="L1000" s="23">
        <f t="shared" si="723"/>
        <v>168238.97522459773</v>
      </c>
      <c r="M1000" s="23">
        <f t="shared" si="723"/>
        <v>151934.70564766086</v>
      </c>
      <c r="N1000" s="23">
        <f t="shared" si="723"/>
        <v>161092.89147108799</v>
      </c>
      <c r="O1000" s="23">
        <f t="shared" si="723"/>
        <v>137172.45974896214</v>
      </c>
      <c r="P1000" s="23">
        <f t="shared" si="723"/>
        <v>114720.39831739001</v>
      </c>
      <c r="Q1000" s="23">
        <f t="shared" si="723"/>
        <v>93471.108261800007</v>
      </c>
      <c r="R1000" s="23">
        <f t="shared" si="718"/>
        <v>1589956.2565282346</v>
      </c>
      <c r="S1000" s="36"/>
      <c r="U1000" s="23"/>
    </row>
    <row r="1001" spans="2:21" x14ac:dyDescent="0.2">
      <c r="B1001" s="80" t="s">
        <v>157</v>
      </c>
      <c r="F1001" s="23">
        <f t="shared" ref="F1001:Q1001" si="724">F520+F524+F526+F529+F532+F564+F568+F570+F573+F576</f>
        <v>77637.6078290437</v>
      </c>
      <c r="G1001" s="23">
        <f t="shared" si="724"/>
        <v>91526.506047247531</v>
      </c>
      <c r="H1001" s="23">
        <f t="shared" si="724"/>
        <v>111577.82589698878</v>
      </c>
      <c r="I1001" s="23">
        <f t="shared" si="724"/>
        <v>170529.02372619906</v>
      </c>
      <c r="J1001" s="23">
        <f t="shared" si="724"/>
        <v>202962.72922313062</v>
      </c>
      <c r="K1001" s="23">
        <f t="shared" si="724"/>
        <v>241416.93866239715</v>
      </c>
      <c r="L1001" s="23">
        <f t="shared" si="724"/>
        <v>237691.79166137087</v>
      </c>
      <c r="M1001" s="23">
        <f t="shared" si="724"/>
        <v>203117.80162033235</v>
      </c>
      <c r="N1001" s="23">
        <f t="shared" si="724"/>
        <v>218279.94727443141</v>
      </c>
      <c r="O1001" s="23">
        <f t="shared" si="724"/>
        <v>178481.5962182779</v>
      </c>
      <c r="P1001" s="23">
        <f t="shared" si="724"/>
        <v>120270.91739929</v>
      </c>
      <c r="Q1001" s="23">
        <f t="shared" si="724"/>
        <v>91231.457792230009</v>
      </c>
      <c r="R1001" s="23">
        <f t="shared" si="718"/>
        <v>1944724.1433509393</v>
      </c>
      <c r="S1001" s="36"/>
      <c r="U1001" s="23"/>
    </row>
    <row r="1002" spans="2:21" x14ac:dyDescent="0.2">
      <c r="B1002" s="80" t="s">
        <v>158</v>
      </c>
      <c r="F1002" s="23">
        <f t="shared" ref="F1002:Q1002" si="725">F650+F658+F660+F663+F666+F706+F714+F716+F719+F722</f>
        <v>65049.654644090755</v>
      </c>
      <c r="G1002" s="23">
        <f t="shared" si="725"/>
        <v>64632.79352717413</v>
      </c>
      <c r="H1002" s="23">
        <f t="shared" si="725"/>
        <v>109070.686368172</v>
      </c>
      <c r="I1002" s="23">
        <f t="shared" si="725"/>
        <v>88084.696799669822</v>
      </c>
      <c r="J1002" s="23">
        <f t="shared" si="725"/>
        <v>100879.57012190709</v>
      </c>
      <c r="K1002" s="23">
        <f t="shared" si="725"/>
        <v>114238.26368324023</v>
      </c>
      <c r="L1002" s="23">
        <f t="shared" si="725"/>
        <v>107228.24450977168</v>
      </c>
      <c r="M1002" s="23">
        <f t="shared" si="725"/>
        <v>103304.56981331679</v>
      </c>
      <c r="N1002" s="23">
        <f t="shared" si="725"/>
        <v>103793.47966092</v>
      </c>
      <c r="O1002" s="23">
        <f t="shared" si="725"/>
        <v>92721.242479744382</v>
      </c>
      <c r="P1002" s="23">
        <f t="shared" si="725"/>
        <v>74607.208000750004</v>
      </c>
      <c r="Q1002" s="23">
        <f t="shared" si="725"/>
        <v>69885.989349039999</v>
      </c>
      <c r="R1002" s="23">
        <f t="shared" si="718"/>
        <v>1093496.3989577971</v>
      </c>
      <c r="S1002" s="36"/>
      <c r="U1002" s="23"/>
    </row>
    <row r="1003" spans="2:21" x14ac:dyDescent="0.2">
      <c r="B1003" s="30" t="s">
        <v>389</v>
      </c>
      <c r="C1003" s="21"/>
      <c r="F1003" s="23">
        <f t="shared" ref="F1003:Q1003" si="726">F127+F128+F130+F149+F150+F152</f>
        <v>1329.6238725000001</v>
      </c>
      <c r="G1003" s="23">
        <f t="shared" si="726"/>
        <v>1320.6045224999998</v>
      </c>
      <c r="H1003" s="23">
        <f t="shared" si="726"/>
        <v>1782.6951474999996</v>
      </c>
      <c r="I1003" s="23">
        <f t="shared" si="726"/>
        <v>2192.7786150000002</v>
      </c>
      <c r="J1003" s="23">
        <f t="shared" si="726"/>
        <v>2761.1627250000001</v>
      </c>
      <c r="K1003" s="23">
        <f t="shared" si="726"/>
        <v>3426.7104348204002</v>
      </c>
      <c r="L1003" s="23">
        <f t="shared" si="726"/>
        <v>2535.8469825000002</v>
      </c>
      <c r="M1003" s="23">
        <f t="shared" si="726"/>
        <v>2992.0551375</v>
      </c>
      <c r="N1003" s="23">
        <f t="shared" si="726"/>
        <v>2553.9770550000003</v>
      </c>
      <c r="O1003" s="23">
        <f t="shared" si="726"/>
        <v>2098.1108100000001</v>
      </c>
      <c r="P1003" s="23">
        <f t="shared" si="726"/>
        <v>1538.3127674999998</v>
      </c>
      <c r="Q1003" s="23">
        <f t="shared" si="726"/>
        <v>1353.83169</v>
      </c>
      <c r="R1003" s="23">
        <f t="shared" si="718"/>
        <v>25885.709759820398</v>
      </c>
      <c r="S1003" s="36"/>
      <c r="U1003" s="23"/>
    </row>
    <row r="1004" spans="2:21" s="30" customFormat="1" x14ac:dyDescent="0.2">
      <c r="B1004" s="30" t="s">
        <v>272</v>
      </c>
      <c r="F1004" s="34">
        <f t="shared" ref="F1004:Q1004" si="727">+F273+F278+F280+F282+F283+F311+F316+F318+F320+F321</f>
        <v>313365.3620044</v>
      </c>
      <c r="G1004" s="34">
        <f t="shared" si="727"/>
        <v>313325.71682090993</v>
      </c>
      <c r="H1004" s="34">
        <f t="shared" si="727"/>
        <v>305093.8842112</v>
      </c>
      <c r="I1004" s="34">
        <f t="shared" si="727"/>
        <v>328836.33393079997</v>
      </c>
      <c r="J1004" s="34">
        <f t="shared" si="727"/>
        <v>358772.76304716</v>
      </c>
      <c r="K1004" s="34">
        <f t="shared" si="727"/>
        <v>356926.93705052754</v>
      </c>
      <c r="L1004" s="34">
        <f t="shared" si="727"/>
        <v>366108.01432240003</v>
      </c>
      <c r="M1004" s="34">
        <f t="shared" si="727"/>
        <v>350736.63121323404</v>
      </c>
      <c r="N1004" s="34">
        <f t="shared" si="727"/>
        <v>366825.27554319997</v>
      </c>
      <c r="O1004" s="34">
        <f t="shared" si="727"/>
        <v>345822.82169599994</v>
      </c>
      <c r="P1004" s="34">
        <f t="shared" si="727"/>
        <v>308177.91939119995</v>
      </c>
      <c r="Q1004" s="34">
        <f t="shared" si="727"/>
        <v>281576.06746719999</v>
      </c>
      <c r="R1004" s="34">
        <f>SUM(F1004:Q1004)</f>
        <v>3995567.7266982314</v>
      </c>
      <c r="S1004" s="36"/>
      <c r="U1004" s="23"/>
    </row>
    <row r="1005" spans="2:21" s="30" customFormat="1" x14ac:dyDescent="0.2">
      <c r="B1005" s="30" t="s">
        <v>273</v>
      </c>
      <c r="F1005" s="34">
        <f t="shared" ref="F1005:Q1005" si="728">+F443+F448+F451+F452+F480+F485+F488+F489</f>
        <v>558274.23922743264</v>
      </c>
      <c r="G1005" s="34">
        <f t="shared" si="728"/>
        <v>585070.00622203387</v>
      </c>
      <c r="H1005" s="34">
        <f t="shared" si="728"/>
        <v>575419.65454739984</v>
      </c>
      <c r="I1005" s="34">
        <f t="shared" si="728"/>
        <v>616463.48512249941</v>
      </c>
      <c r="J1005" s="34">
        <f t="shared" si="728"/>
        <v>594075.6637545001</v>
      </c>
      <c r="K1005" s="34">
        <f t="shared" si="728"/>
        <v>599920.27563530486</v>
      </c>
      <c r="L1005" s="34">
        <f t="shared" si="728"/>
        <v>593667.20375650004</v>
      </c>
      <c r="M1005" s="34">
        <f t="shared" si="728"/>
        <v>566358.72673770005</v>
      </c>
      <c r="N1005" s="34">
        <f t="shared" si="728"/>
        <v>616573.44610900001</v>
      </c>
      <c r="O1005" s="34">
        <f t="shared" si="728"/>
        <v>584793.77972961927</v>
      </c>
      <c r="P1005" s="34">
        <f t="shared" si="728"/>
        <v>576948.57895570004</v>
      </c>
      <c r="Q1005" s="34">
        <f t="shared" si="728"/>
        <v>569750.13667749998</v>
      </c>
      <c r="R1005" s="34">
        <f>SUM(F1005:Q1005)</f>
        <v>7037315.1964751901</v>
      </c>
      <c r="S1005" s="36"/>
      <c r="U1005" s="23"/>
    </row>
    <row r="1006" spans="2:21" s="30" customFormat="1" x14ac:dyDescent="0.2">
      <c r="B1006" s="83" t="s">
        <v>328</v>
      </c>
      <c r="F1006" s="34">
        <f t="shared" ref="F1006:Q1006" si="729">F603+F607+F610+F611</f>
        <v>8820.797750400001</v>
      </c>
      <c r="G1006" s="34">
        <f t="shared" si="729"/>
        <v>5390.3016639999996</v>
      </c>
      <c r="H1006" s="34">
        <f t="shared" si="729"/>
        <v>7374.2433600000004</v>
      </c>
      <c r="I1006" s="34">
        <f t="shared" si="729"/>
        <v>10356.7262496</v>
      </c>
      <c r="J1006" s="34">
        <f t="shared" si="729"/>
        <v>5820.2923968000005</v>
      </c>
      <c r="K1006" s="34">
        <f t="shared" si="729"/>
        <v>5984.7753798878139</v>
      </c>
      <c r="L1006" s="34">
        <f t="shared" si="729"/>
        <v>8656.4359616000002</v>
      </c>
      <c r="M1006" s="34">
        <f t="shared" si="729"/>
        <v>9101.8727968000003</v>
      </c>
      <c r="N1006" s="34">
        <f t="shared" si="729"/>
        <v>7492.4995487999995</v>
      </c>
      <c r="O1006" s="34">
        <f t="shared" si="729"/>
        <v>5300.7707200000004</v>
      </c>
      <c r="P1006" s="34">
        <f t="shared" si="729"/>
        <v>5338.2249152000004</v>
      </c>
      <c r="Q1006" s="34">
        <f t="shared" si="729"/>
        <v>4771.7995486</v>
      </c>
      <c r="R1006" s="34">
        <f>SUM(F1006:Q1006)</f>
        <v>84408.74029168782</v>
      </c>
      <c r="S1006" s="36"/>
      <c r="U1006" s="23"/>
    </row>
    <row r="1007" spans="2:21" s="30" customFormat="1" x14ac:dyDescent="0.2">
      <c r="B1007" s="30" t="s">
        <v>274</v>
      </c>
      <c r="F1007" s="34">
        <f t="shared" ref="F1007:Q1007" si="730">+F757+F765+F768+F769+F803+F811+F814+F815</f>
        <v>296342.44303930004</v>
      </c>
      <c r="G1007" s="34">
        <f t="shared" si="730"/>
        <v>298728.78351069998</v>
      </c>
      <c r="H1007" s="34">
        <f t="shared" si="730"/>
        <v>292261.16236269998</v>
      </c>
      <c r="I1007" s="34">
        <f t="shared" si="730"/>
        <v>302421.06574009999</v>
      </c>
      <c r="J1007" s="34">
        <f t="shared" si="730"/>
        <v>286014.6694742</v>
      </c>
      <c r="K1007" s="34">
        <f t="shared" si="730"/>
        <v>320039.02789956867</v>
      </c>
      <c r="L1007" s="34">
        <f t="shared" si="730"/>
        <v>293211.36046810006</v>
      </c>
      <c r="M1007" s="34">
        <f t="shared" si="730"/>
        <v>300044.38650465885</v>
      </c>
      <c r="N1007" s="34">
        <f t="shared" si="730"/>
        <v>315117.55983879999</v>
      </c>
      <c r="O1007" s="34">
        <f t="shared" si="730"/>
        <v>290187.04434749996</v>
      </c>
      <c r="P1007" s="34">
        <f t="shared" si="730"/>
        <v>291545.20459049998</v>
      </c>
      <c r="Q1007" s="34">
        <f t="shared" si="730"/>
        <v>278445.95869589999</v>
      </c>
      <c r="R1007" s="34">
        <f>SUM(F1007:Q1007)</f>
        <v>3564358.6664720275</v>
      </c>
      <c r="S1007" s="36"/>
      <c r="U1007" s="23"/>
    </row>
    <row r="1008" spans="2:21" s="30" customFormat="1" x14ac:dyDescent="0.2">
      <c r="B1008" s="83" t="s">
        <v>238</v>
      </c>
      <c r="F1008" s="34">
        <f t="shared" ref="F1008:R1008" si="731">F847+F855+F857</f>
        <v>0</v>
      </c>
      <c r="G1008" s="34">
        <f t="shared" si="731"/>
        <v>0</v>
      </c>
      <c r="H1008" s="34">
        <f t="shared" si="731"/>
        <v>0</v>
      </c>
      <c r="I1008" s="34">
        <f t="shared" si="731"/>
        <v>0</v>
      </c>
      <c r="J1008" s="34">
        <f t="shared" si="731"/>
        <v>0</v>
      </c>
      <c r="K1008" s="34">
        <f t="shared" si="731"/>
        <v>0</v>
      </c>
      <c r="L1008" s="34">
        <f t="shared" si="731"/>
        <v>0</v>
      </c>
      <c r="M1008" s="34">
        <f t="shared" si="731"/>
        <v>0</v>
      </c>
      <c r="N1008" s="34">
        <f t="shared" si="731"/>
        <v>0</v>
      </c>
      <c r="O1008" s="34">
        <f t="shared" si="731"/>
        <v>0</v>
      </c>
      <c r="P1008" s="34">
        <f t="shared" si="731"/>
        <v>0</v>
      </c>
      <c r="Q1008" s="34">
        <f t="shared" si="731"/>
        <v>0</v>
      </c>
      <c r="R1008" s="34">
        <f t="shared" si="731"/>
        <v>0</v>
      </c>
      <c r="S1008" s="36"/>
      <c r="U1008" s="23"/>
    </row>
    <row r="1009" spans="2:21" s="30" customFormat="1" x14ac:dyDescent="0.2">
      <c r="B1009" s="83" t="s">
        <v>160</v>
      </c>
      <c r="F1009" s="35">
        <f t="shared" ref="F1009:R1009" si="732">SUM(F995:F1008)</f>
        <v>20068438.485654853</v>
      </c>
      <c r="G1009" s="35">
        <f t="shared" si="732"/>
        <v>19900250.052203741</v>
      </c>
      <c r="H1009" s="35">
        <f t="shared" si="732"/>
        <v>22965712.062058505</v>
      </c>
      <c r="I1009" s="35">
        <f t="shared" si="732"/>
        <v>34516670.49971588</v>
      </c>
      <c r="J1009" s="35">
        <f t="shared" si="732"/>
        <v>46411758.272780955</v>
      </c>
      <c r="K1009" s="35">
        <f t="shared" si="732"/>
        <v>53892171.527934946</v>
      </c>
      <c r="L1009" s="35">
        <f t="shared" si="732"/>
        <v>57696010.549662545</v>
      </c>
      <c r="M1009" s="35">
        <f t="shared" si="732"/>
        <v>46049318.916354105</v>
      </c>
      <c r="N1009" s="35">
        <f t="shared" si="732"/>
        <v>48629033.100299291</v>
      </c>
      <c r="O1009" s="35">
        <f t="shared" ref="O1009:Q1009" si="733">SUM(O995:O1008)</f>
        <v>36768278.314785026</v>
      </c>
      <c r="P1009" s="35">
        <f t="shared" si="733"/>
        <v>27869960.145907432</v>
      </c>
      <c r="Q1009" s="35">
        <f t="shared" si="733"/>
        <v>21926728.758642908</v>
      </c>
      <c r="R1009" s="685">
        <f t="shared" si="732"/>
        <v>436694330.68600029</v>
      </c>
      <c r="S1009" s="36"/>
    </row>
    <row r="1010" spans="2:21" s="30" customFormat="1" x14ac:dyDescent="0.2">
      <c r="B1010" s="83" t="s">
        <v>114</v>
      </c>
      <c r="F1010" s="691">
        <f>F1009-F990</f>
        <v>0</v>
      </c>
      <c r="G1010" s="691">
        <f t="shared" ref="G1010:R1010" si="734">G1009-G990</f>
        <v>0</v>
      </c>
      <c r="H1010" s="691">
        <f t="shared" si="734"/>
        <v>0</v>
      </c>
      <c r="I1010" s="691">
        <f t="shared" si="734"/>
        <v>0</v>
      </c>
      <c r="J1010" s="691">
        <f t="shared" si="734"/>
        <v>0</v>
      </c>
      <c r="K1010" s="691">
        <f t="shared" si="734"/>
        <v>0</v>
      </c>
      <c r="L1010" s="691">
        <f t="shared" si="734"/>
        <v>0</v>
      </c>
      <c r="M1010" s="691">
        <f t="shared" si="734"/>
        <v>0</v>
      </c>
      <c r="N1010" s="691">
        <f t="shared" si="734"/>
        <v>0</v>
      </c>
      <c r="O1010" s="691">
        <f t="shared" si="734"/>
        <v>0</v>
      </c>
      <c r="P1010" s="691">
        <f t="shared" si="734"/>
        <v>0</v>
      </c>
      <c r="Q1010" s="691">
        <f t="shared" si="734"/>
        <v>0</v>
      </c>
      <c r="R1010" s="691">
        <f t="shared" si="734"/>
        <v>0</v>
      </c>
      <c r="S1010" s="691"/>
    </row>
    <row r="1011" spans="2:21" x14ac:dyDescent="0.2">
      <c r="F1011" s="23"/>
      <c r="G1011" s="23"/>
      <c r="H1011" s="23"/>
      <c r="I1011" s="23"/>
      <c r="J1011" s="23"/>
      <c r="K1011" s="23"/>
      <c r="L1011" s="23"/>
      <c r="M1011" s="23"/>
      <c r="N1011" s="23"/>
      <c r="O1011" s="23"/>
      <c r="P1011" s="23"/>
      <c r="Q1011" s="23"/>
      <c r="R1011" s="23"/>
      <c r="S1011" s="31"/>
      <c r="U1011" s="23"/>
    </row>
    <row r="1012" spans="2:21" x14ac:dyDescent="0.2">
      <c r="B1012" s="69" t="s">
        <v>162</v>
      </c>
      <c r="S1012" s="31"/>
    </row>
    <row r="1013" spans="2:21" x14ac:dyDescent="0.2">
      <c r="B1013" s="80" t="s">
        <v>155</v>
      </c>
      <c r="F1013" s="23">
        <f t="shared" ref="F1013:Q1013" si="735">F21</f>
        <v>269.99641894736845</v>
      </c>
      <c r="G1013" s="23">
        <f t="shared" si="735"/>
        <v>268.31350894736846</v>
      </c>
      <c r="H1013" s="23">
        <f t="shared" si="735"/>
        <v>253.14509368421054</v>
      </c>
      <c r="I1013" s="23">
        <f t="shared" si="735"/>
        <v>269.34469578947369</v>
      </c>
      <c r="J1013" s="23">
        <f t="shared" si="735"/>
        <v>256.0968047368421</v>
      </c>
      <c r="K1013" s="23">
        <f t="shared" si="735"/>
        <v>261.50865631578949</v>
      </c>
      <c r="L1013" s="23">
        <f t="shared" si="735"/>
        <v>260.69874157894736</v>
      </c>
      <c r="M1013" s="23">
        <f t="shared" si="735"/>
        <v>236.51046473684212</v>
      </c>
      <c r="N1013" s="23">
        <f t="shared" si="735"/>
        <v>273.19293473684212</v>
      </c>
      <c r="O1013" s="23">
        <f t="shared" si="735"/>
        <v>268.55014263157892</v>
      </c>
      <c r="P1013" s="23">
        <f t="shared" si="735"/>
        <v>267.57746052631575</v>
      </c>
      <c r="Q1013" s="23">
        <f t="shared" si="735"/>
        <v>250.14925894736842</v>
      </c>
      <c r="R1013" s="23">
        <f t="shared" ref="R1013:R1021" si="736">SUM(F1013:Q1013)</f>
        <v>3135.0841815789481</v>
      </c>
      <c r="S1013" s="36"/>
      <c r="U1013" s="23"/>
    </row>
    <row r="1014" spans="2:21" x14ac:dyDescent="0.2">
      <c r="B1014" s="80" t="s">
        <v>240</v>
      </c>
      <c r="F1014" s="34">
        <f t="shared" ref="F1014:Q1014" si="737">F42</f>
        <v>4391432.5026694499</v>
      </c>
      <c r="G1014" s="34">
        <f t="shared" si="737"/>
        <v>4160217.6596403499</v>
      </c>
      <c r="H1014" s="34">
        <f t="shared" si="737"/>
        <v>7071227.7174210493</v>
      </c>
      <c r="I1014" s="34">
        <f t="shared" si="737"/>
        <v>15076848.9887625</v>
      </c>
      <c r="J1014" s="34">
        <f t="shared" si="737"/>
        <v>24087790.707640648</v>
      </c>
      <c r="K1014" s="34">
        <f t="shared" si="737"/>
        <v>28911668.231109552</v>
      </c>
      <c r="L1014" s="34">
        <f t="shared" si="737"/>
        <v>31759099.054167598</v>
      </c>
      <c r="M1014" s="34">
        <f t="shared" si="737"/>
        <v>23965633.077877447</v>
      </c>
      <c r="N1014" s="34">
        <f t="shared" si="737"/>
        <v>24774298.999760251</v>
      </c>
      <c r="O1014" s="34">
        <f t="shared" si="737"/>
        <v>16420604.70926575</v>
      </c>
      <c r="P1014" s="34">
        <f t="shared" si="737"/>
        <v>10089314.5111509</v>
      </c>
      <c r="Q1014" s="34">
        <f t="shared" si="737"/>
        <v>6296292.7074055495</v>
      </c>
      <c r="R1014" s="23">
        <f t="shared" si="736"/>
        <v>197004428.86687103</v>
      </c>
      <c r="S1014" s="36"/>
      <c r="U1014" s="23"/>
    </row>
    <row r="1015" spans="2:21" x14ac:dyDescent="0.2">
      <c r="B1015" s="80" t="s">
        <v>191</v>
      </c>
      <c r="F1015" s="34">
        <f t="shared" ref="F1015:Q1015" si="738">+F62</f>
        <v>43.307671519999992</v>
      </c>
      <c r="G1015" s="34">
        <f t="shared" si="738"/>
        <v>44.663440099999995</v>
      </c>
      <c r="H1015" s="34">
        <f t="shared" si="738"/>
        <v>113.52879166000001</v>
      </c>
      <c r="I1015" s="34">
        <f t="shared" si="738"/>
        <v>253.89410890000002</v>
      </c>
      <c r="J1015" s="34">
        <f t="shared" si="738"/>
        <v>326.66330474</v>
      </c>
      <c r="K1015" s="34">
        <f t="shared" si="738"/>
        <v>327.53349663000006</v>
      </c>
      <c r="L1015" s="34">
        <f t="shared" si="738"/>
        <v>273.62967635000001</v>
      </c>
      <c r="M1015" s="34">
        <f t="shared" si="738"/>
        <v>36.360559469999998</v>
      </c>
      <c r="N1015" s="34">
        <f t="shared" si="738"/>
        <v>0</v>
      </c>
      <c r="O1015" s="34">
        <f t="shared" si="738"/>
        <v>0</v>
      </c>
      <c r="P1015" s="34">
        <f t="shared" si="738"/>
        <v>0</v>
      </c>
      <c r="Q1015" s="34">
        <f t="shared" si="738"/>
        <v>0</v>
      </c>
      <c r="R1015" s="23">
        <f t="shared" si="736"/>
        <v>1419.5810493699998</v>
      </c>
      <c r="S1015" s="36"/>
      <c r="U1015" s="23"/>
    </row>
    <row r="1016" spans="2:21" x14ac:dyDescent="0.2">
      <c r="B1016" s="81" t="s">
        <v>154</v>
      </c>
      <c r="F1016" s="23">
        <f t="shared" ref="F1016:Q1016" si="739">F85+F108</f>
        <v>2557238.6151065398</v>
      </c>
      <c r="G1016" s="23">
        <f t="shared" si="739"/>
        <v>2507991.9312571906</v>
      </c>
      <c r="H1016" s="23">
        <f t="shared" si="739"/>
        <v>3052895.4535618704</v>
      </c>
      <c r="I1016" s="23">
        <f t="shared" si="739"/>
        <v>5397648.9563417109</v>
      </c>
      <c r="J1016" s="23">
        <f t="shared" si="739"/>
        <v>8142815.6247817092</v>
      </c>
      <c r="K1016" s="23">
        <f t="shared" si="739"/>
        <v>10001147.735640861</v>
      </c>
      <c r="L1016" s="23">
        <f t="shared" si="739"/>
        <v>10780011.64770055</v>
      </c>
      <c r="M1016" s="23">
        <f t="shared" si="739"/>
        <v>8521999.9346508402</v>
      </c>
      <c r="N1016" s="23">
        <f t="shared" si="739"/>
        <v>8720708.1811375804</v>
      </c>
      <c r="O1016" s="23">
        <f t="shared" si="739"/>
        <v>6120578.5661936505</v>
      </c>
      <c r="P1016" s="23">
        <f t="shared" si="739"/>
        <v>4080493.5850705104</v>
      </c>
      <c r="Q1016" s="23">
        <f t="shared" si="739"/>
        <v>2979656.1487200907</v>
      </c>
      <c r="R1016" s="23">
        <f t="shared" si="736"/>
        <v>72863186.380163103</v>
      </c>
      <c r="S1016" s="36"/>
      <c r="U1016" s="23"/>
    </row>
    <row r="1017" spans="2:21" x14ac:dyDescent="0.2">
      <c r="B1017" s="80" t="s">
        <v>153</v>
      </c>
      <c r="F1017" s="23">
        <f t="shared" ref="F1017:Q1017" si="740">F192+F196+F238+F242</f>
        <v>1075310.3207249998</v>
      </c>
      <c r="G1017" s="23">
        <f t="shared" si="740"/>
        <v>1031202.4481159999</v>
      </c>
      <c r="H1017" s="23">
        <f t="shared" si="740"/>
        <v>1143679.3017230998</v>
      </c>
      <c r="I1017" s="23">
        <f t="shared" si="740"/>
        <v>1550782.3898825999</v>
      </c>
      <c r="J1017" s="23">
        <f t="shared" si="740"/>
        <v>1843379.5871316001</v>
      </c>
      <c r="K1017" s="23">
        <f t="shared" si="740"/>
        <v>2100130.5110447998</v>
      </c>
      <c r="L1017" s="23">
        <f t="shared" si="740"/>
        <v>2202752.9930246999</v>
      </c>
      <c r="M1017" s="23">
        <f t="shared" si="740"/>
        <v>1876151.2622226004</v>
      </c>
      <c r="N1017" s="23">
        <f t="shared" si="740"/>
        <v>1973606.9751510001</v>
      </c>
      <c r="O1017" s="23">
        <f t="shared" si="740"/>
        <v>1643808.2081601</v>
      </c>
      <c r="P1017" s="23">
        <f t="shared" si="740"/>
        <v>1353679.3670321999</v>
      </c>
      <c r="Q1017" s="23">
        <f t="shared" si="740"/>
        <v>829941.52409700002</v>
      </c>
      <c r="R1017" s="23">
        <f t="shared" si="736"/>
        <v>18624424.888310701</v>
      </c>
      <c r="S1017" s="36"/>
      <c r="U1017" s="23"/>
    </row>
    <row r="1018" spans="2:21" x14ac:dyDescent="0.2">
      <c r="B1018" s="80" t="s">
        <v>156</v>
      </c>
      <c r="F1018" s="23">
        <f t="shared" ref="F1018:Q1018" si="741">F360+F365+F407+F412</f>
        <v>233961.13073900001</v>
      </c>
      <c r="G1018" s="23">
        <f t="shared" si="741"/>
        <v>216444.08020479995</v>
      </c>
      <c r="H1018" s="23">
        <f t="shared" si="741"/>
        <v>253090.11044380002</v>
      </c>
      <c r="I1018" s="23">
        <f t="shared" si="741"/>
        <v>381167.75438560004</v>
      </c>
      <c r="J1018" s="23">
        <f t="shared" si="741"/>
        <v>468392.91387980001</v>
      </c>
      <c r="K1018" s="23">
        <f t="shared" si="741"/>
        <v>555916.94871439994</v>
      </c>
      <c r="L1018" s="23">
        <f t="shared" si="741"/>
        <v>529981.43543379998</v>
      </c>
      <c r="M1018" s="23">
        <f t="shared" si="741"/>
        <v>461197.89598680002</v>
      </c>
      <c r="N1018" s="23">
        <f t="shared" si="741"/>
        <v>491155.9784894</v>
      </c>
      <c r="O1018" s="23">
        <f t="shared" si="741"/>
        <v>385873.79979259998</v>
      </c>
      <c r="P1018" s="23">
        <f t="shared" si="741"/>
        <v>290550.88964719995</v>
      </c>
      <c r="Q1018" s="23">
        <f t="shared" si="741"/>
        <v>227247.53893799998</v>
      </c>
      <c r="R1018" s="23">
        <f t="shared" si="736"/>
        <v>4494980.4766552001</v>
      </c>
      <c r="S1018" s="36"/>
      <c r="U1018" s="23"/>
    </row>
    <row r="1019" spans="2:21" x14ac:dyDescent="0.2">
      <c r="B1019" s="80" t="s">
        <v>157</v>
      </c>
      <c r="F1019" s="23">
        <f t="shared" ref="F1019:Q1019" si="742">F525+F530+F569+F574</f>
        <v>64957.436858999994</v>
      </c>
      <c r="G1019" s="23">
        <f t="shared" si="742"/>
        <v>60800.992567559995</v>
      </c>
      <c r="H1019" s="23">
        <f t="shared" si="742"/>
        <v>108586.61051531999</v>
      </c>
      <c r="I1019" s="23">
        <f t="shared" si="742"/>
        <v>226141.81197047999</v>
      </c>
      <c r="J1019" s="34">
        <f t="shared" si="742"/>
        <v>288305.56007651996</v>
      </c>
      <c r="K1019" s="23">
        <f t="shared" si="742"/>
        <v>355955.22320987988</v>
      </c>
      <c r="L1019" s="23">
        <f t="shared" si="742"/>
        <v>349200.61356095999</v>
      </c>
      <c r="M1019" s="23">
        <f t="shared" si="742"/>
        <v>292912.26305124001</v>
      </c>
      <c r="N1019" s="23">
        <f t="shared" si="742"/>
        <v>309950.25659723999</v>
      </c>
      <c r="O1019" s="23">
        <f t="shared" si="742"/>
        <v>240016.01374380002</v>
      </c>
      <c r="P1019" s="23">
        <f t="shared" si="742"/>
        <v>138014.06076443999</v>
      </c>
      <c r="Q1019" s="23">
        <f t="shared" si="742"/>
        <v>91812.886247879986</v>
      </c>
      <c r="R1019" s="23">
        <f t="shared" si="736"/>
        <v>2526653.7291643196</v>
      </c>
      <c r="S1019" s="36"/>
      <c r="U1019" s="23"/>
    </row>
    <row r="1020" spans="2:21" x14ac:dyDescent="0.2">
      <c r="B1020" s="80" t="s">
        <v>158</v>
      </c>
      <c r="F1020" s="23">
        <f t="shared" ref="F1020:Q1020" si="743">F659+F664+F715+F720</f>
        <v>325924.31795896002</v>
      </c>
      <c r="G1020" s="23">
        <f t="shared" si="743"/>
        <v>322157.04711119999</v>
      </c>
      <c r="H1020" s="23">
        <f t="shared" si="743"/>
        <v>350883.46652099997</v>
      </c>
      <c r="I1020" s="23">
        <f t="shared" si="743"/>
        <v>529214.00186467997</v>
      </c>
      <c r="J1020" s="23">
        <f t="shared" si="743"/>
        <v>634466.12736444001</v>
      </c>
      <c r="K1020" s="23">
        <f t="shared" si="743"/>
        <v>761958.61023207998</v>
      </c>
      <c r="L1020" s="23">
        <f t="shared" si="743"/>
        <v>698301.88186908001</v>
      </c>
      <c r="M1020" s="23">
        <f t="shared" si="743"/>
        <v>663624.53843528009</v>
      </c>
      <c r="N1020" s="23">
        <f t="shared" si="743"/>
        <v>657715.59075588</v>
      </c>
      <c r="O1020" s="23">
        <f t="shared" si="743"/>
        <v>561073.73208304006</v>
      </c>
      <c r="P1020" s="23">
        <f t="shared" si="743"/>
        <v>401795.46702888003</v>
      </c>
      <c r="Q1020" s="23">
        <f t="shared" si="743"/>
        <v>386878.23813180003</v>
      </c>
      <c r="R1020" s="23">
        <f t="shared" si="736"/>
        <v>6293993.0193563206</v>
      </c>
      <c r="S1020" s="36"/>
      <c r="U1020" s="23"/>
    </row>
    <row r="1021" spans="2:21" x14ac:dyDescent="0.2">
      <c r="B1021" s="30" t="s">
        <v>389</v>
      </c>
      <c r="F1021" s="23">
        <f t="shared" ref="F1021:Q1021" si="744">F129+F151</f>
        <v>0.63721700000000003</v>
      </c>
      <c r="G1021" s="23">
        <f t="shared" si="744"/>
        <v>0.61579699999999993</v>
      </c>
      <c r="H1021" s="23">
        <f t="shared" si="744"/>
        <v>0.87304700000000002</v>
      </c>
      <c r="I1021" s="23">
        <f t="shared" si="744"/>
        <v>2.6871179999999999</v>
      </c>
      <c r="J1021" s="23">
        <f t="shared" si="744"/>
        <v>4.0369700000000002</v>
      </c>
      <c r="K1021" s="23">
        <f t="shared" si="744"/>
        <v>5.6175489999999995</v>
      </c>
      <c r="L1021" s="23">
        <f t="shared" si="744"/>
        <v>3.5018690000000001</v>
      </c>
      <c r="M1021" s="23">
        <f t="shared" si="744"/>
        <v>4.5853149999999996</v>
      </c>
      <c r="N1021" s="23">
        <f t="shared" si="744"/>
        <v>3.5449260000000002</v>
      </c>
      <c r="O1021" s="23">
        <f t="shared" si="744"/>
        <v>2.4622920000000001</v>
      </c>
      <c r="P1021" s="23">
        <f t="shared" si="744"/>
        <v>1.1328309999999999</v>
      </c>
      <c r="Q1021" s="23">
        <f t="shared" si="744"/>
        <v>0.69470799999999999</v>
      </c>
      <c r="R1021" s="23">
        <f t="shared" si="736"/>
        <v>30.389638999999999</v>
      </c>
      <c r="S1021" s="36"/>
      <c r="U1021" s="23"/>
    </row>
    <row r="1022" spans="2:21" x14ac:dyDescent="0.2">
      <c r="B1022" t="s">
        <v>272</v>
      </c>
      <c r="F1022" s="23">
        <f t="shared" ref="F1022:Q1022" si="745">F279+F317</f>
        <v>986.43729099999996</v>
      </c>
      <c r="G1022" s="23">
        <f t="shared" si="745"/>
        <v>1019.187946</v>
      </c>
      <c r="H1022" s="23">
        <f t="shared" si="745"/>
        <v>963.29769199999998</v>
      </c>
      <c r="I1022" s="23">
        <f t="shared" si="745"/>
        <v>1111.1800840000001</v>
      </c>
      <c r="J1022" s="23">
        <f t="shared" si="745"/>
        <v>1177.6272963000001</v>
      </c>
      <c r="K1022" s="23">
        <f t="shared" si="745"/>
        <v>1218.109179</v>
      </c>
      <c r="L1022" s="23">
        <f t="shared" si="745"/>
        <v>1327.8818700000002</v>
      </c>
      <c r="M1022" s="23">
        <f t="shared" si="745"/>
        <v>1223.4244189999999</v>
      </c>
      <c r="N1022" s="23">
        <f t="shared" si="745"/>
        <v>1332.6316779999997</v>
      </c>
      <c r="O1022" s="23">
        <f t="shared" si="745"/>
        <v>1187.1301679999999</v>
      </c>
      <c r="P1022" s="23">
        <f t="shared" si="745"/>
        <v>1041.9764109999999</v>
      </c>
      <c r="Q1022" s="23">
        <f t="shared" si="745"/>
        <v>889.09062900000004</v>
      </c>
      <c r="R1022" s="23">
        <f>SUM(F1022:Q1022)</f>
        <v>13477.9746633</v>
      </c>
      <c r="S1022" s="36"/>
      <c r="U1022" s="23"/>
    </row>
    <row r="1023" spans="2:21" x14ac:dyDescent="0.2">
      <c r="B1023" t="s">
        <v>273</v>
      </c>
      <c r="F1023" s="23">
        <f t="shared" ref="F1023:Q1023" si="746">F449+F486</f>
        <v>4096.2345830000004</v>
      </c>
      <c r="G1023" s="23">
        <f t="shared" si="746"/>
        <v>4457.4953990000004</v>
      </c>
      <c r="H1023" s="23">
        <f t="shared" si="746"/>
        <v>4336.3402670000005</v>
      </c>
      <c r="I1023" s="23">
        <f t="shared" si="746"/>
        <v>4863.9228539999995</v>
      </c>
      <c r="J1023" s="23">
        <f t="shared" si="746"/>
        <v>4520.0581579999998</v>
      </c>
      <c r="K1023" s="23">
        <f t="shared" si="746"/>
        <v>4723.9728340000001</v>
      </c>
      <c r="L1023" s="23">
        <f t="shared" si="746"/>
        <v>4674.3326280000001</v>
      </c>
      <c r="M1023" s="23">
        <f t="shared" si="746"/>
        <v>4257.0931270000001</v>
      </c>
      <c r="N1023" s="23">
        <f t="shared" si="746"/>
        <v>4884.1060449999995</v>
      </c>
      <c r="O1023" s="23">
        <f t="shared" si="746"/>
        <v>4321.0180440000004</v>
      </c>
      <c r="P1023" s="23">
        <f t="shared" si="746"/>
        <v>4284.0913430000001</v>
      </c>
      <c r="Q1023" s="23">
        <f t="shared" si="746"/>
        <v>4189.1457019999998</v>
      </c>
      <c r="R1023" s="23">
        <f>SUM(F1023:Q1023)</f>
        <v>53607.810984000011</v>
      </c>
      <c r="S1023" s="36"/>
      <c r="U1023" s="23"/>
    </row>
    <row r="1024" spans="2:21" x14ac:dyDescent="0.2">
      <c r="B1024" s="83" t="s">
        <v>328</v>
      </c>
      <c r="F1024" s="23">
        <f t="shared" ref="F1024:Q1024" si="747">F608</f>
        <v>17.384927000000001</v>
      </c>
      <c r="G1024" s="23">
        <f t="shared" si="747"/>
        <v>13.26507</v>
      </c>
      <c r="H1024" s="23">
        <f t="shared" si="747"/>
        <v>9.9742999999999995</v>
      </c>
      <c r="I1024" s="23">
        <f t="shared" si="747"/>
        <v>21.950697999999999</v>
      </c>
      <c r="J1024" s="23">
        <f t="shared" si="747"/>
        <v>20.011333999999998</v>
      </c>
      <c r="K1024" s="23">
        <f t="shared" si="747"/>
        <v>20.854036000000001</v>
      </c>
      <c r="L1024" s="23">
        <f t="shared" si="747"/>
        <v>34.540758000000004</v>
      </c>
      <c r="M1024" s="23">
        <f t="shared" si="747"/>
        <v>36.822709000000003</v>
      </c>
      <c r="N1024" s="23">
        <f t="shared" si="747"/>
        <v>28.577969</v>
      </c>
      <c r="O1024" s="23">
        <f t="shared" si="747"/>
        <v>17.34985</v>
      </c>
      <c r="P1024" s="23">
        <f t="shared" si="747"/>
        <v>12.854226000000001</v>
      </c>
      <c r="Q1024" s="23">
        <f t="shared" si="747"/>
        <v>14.659813</v>
      </c>
      <c r="R1024" s="23">
        <f>SUM(F1024:Q1024)</f>
        <v>248.24569000000002</v>
      </c>
      <c r="S1024" s="36"/>
      <c r="U1024" s="23"/>
    </row>
    <row r="1025" spans="2:21" x14ac:dyDescent="0.2">
      <c r="B1025" t="s">
        <v>274</v>
      </c>
      <c r="F1025" s="23">
        <f t="shared" ref="F1025:Q1025" si="748">F766+F812</f>
        <v>6077.6991379999999</v>
      </c>
      <c r="G1025" s="23">
        <f t="shared" si="748"/>
        <v>6167.8379490000007</v>
      </c>
      <c r="H1025" s="23">
        <f t="shared" si="748"/>
        <v>5928.4017309999999</v>
      </c>
      <c r="I1025" s="23">
        <f t="shared" si="748"/>
        <v>6255.900294</v>
      </c>
      <c r="J1025" s="23">
        <f t="shared" si="748"/>
        <v>5678.0972780000002</v>
      </c>
      <c r="K1025" s="23">
        <f t="shared" si="748"/>
        <v>6890.7131930000005</v>
      </c>
      <c r="L1025" s="23">
        <f t="shared" si="748"/>
        <v>5905.6189640000002</v>
      </c>
      <c r="M1025" s="23">
        <f t="shared" si="748"/>
        <v>6144.1487730000008</v>
      </c>
      <c r="N1025" s="23">
        <f t="shared" si="748"/>
        <v>6681.7542119999998</v>
      </c>
      <c r="O1025" s="23">
        <f t="shared" si="748"/>
        <v>5776.8476359999995</v>
      </c>
      <c r="P1025" s="23">
        <f t="shared" si="748"/>
        <v>5839.2529020000002</v>
      </c>
      <c r="Q1025" s="23">
        <f t="shared" si="748"/>
        <v>5372.7528050000001</v>
      </c>
      <c r="R1025" s="23">
        <f>SUM(F1025:Q1025)</f>
        <v>72719.024875000003</v>
      </c>
      <c r="S1025" s="36"/>
      <c r="U1025" s="23"/>
    </row>
    <row r="1026" spans="2:21" x14ac:dyDescent="0.2">
      <c r="B1026" s="80" t="s">
        <v>238</v>
      </c>
      <c r="R1026" s="23">
        <f>SUM(F1026:Q1026)</f>
        <v>0</v>
      </c>
      <c r="S1026" s="36"/>
      <c r="U1026" s="23"/>
    </row>
    <row r="1027" spans="2:21" x14ac:dyDescent="0.2">
      <c r="B1027" s="80" t="s">
        <v>163</v>
      </c>
      <c r="F1027" s="24">
        <f>SUM(F1013:F1026)</f>
        <v>8660316.0213044174</v>
      </c>
      <c r="G1027" s="24">
        <f t="shared" ref="G1027:R1027" si="749">SUM(G1013:G1026)</f>
        <v>8310785.5380071476</v>
      </c>
      <c r="H1027" s="24">
        <f t="shared" si="749"/>
        <v>11991968.221108489</v>
      </c>
      <c r="I1027" s="24">
        <f t="shared" si="749"/>
        <v>23174582.783060264</v>
      </c>
      <c r="J1027" s="24">
        <f t="shared" si="749"/>
        <v>35477133.112020493</v>
      </c>
      <c r="K1027" s="24">
        <f t="shared" si="749"/>
        <v>42700225.568895511</v>
      </c>
      <c r="L1027" s="24">
        <f t="shared" si="749"/>
        <v>46331827.830263607</v>
      </c>
      <c r="M1027" s="24">
        <f t="shared" si="749"/>
        <v>35793457.917591415</v>
      </c>
      <c r="N1027" s="24">
        <f t="shared" si="749"/>
        <v>36940639.789656095</v>
      </c>
      <c r="O1027" s="24">
        <f t="shared" ref="O1027:Q1027" si="750">SUM(O1013:O1026)</f>
        <v>25383528.387371566</v>
      </c>
      <c r="P1027" s="24">
        <f t="shared" si="750"/>
        <v>16365294.765867658</v>
      </c>
      <c r="Q1027" s="24">
        <f t="shared" si="750"/>
        <v>10822545.53645627</v>
      </c>
      <c r="R1027" s="684">
        <f t="shared" si="749"/>
        <v>301952305.47160286</v>
      </c>
      <c r="S1027" s="36"/>
    </row>
    <row r="1028" spans="2:21" s="30" customFormat="1" x14ac:dyDescent="0.2">
      <c r="B1028" s="30" t="s">
        <v>114</v>
      </c>
      <c r="F1028" s="693">
        <f>F1027-F988-F989</f>
        <v>2.7216557896281302E-9</v>
      </c>
      <c r="G1028" s="693">
        <f t="shared" ref="G1028:R1028" si="751">G1027-G988-G989</f>
        <v>-8.2643225596257253E-11</v>
      </c>
      <c r="H1028" s="693">
        <f t="shared" si="751"/>
        <v>2.3055832798490883E-9</v>
      </c>
      <c r="I1028" s="693">
        <f t="shared" si="751"/>
        <v>6.3882623635436175E-9</v>
      </c>
      <c r="J1028" s="693">
        <f t="shared" si="751"/>
        <v>-8.7501916823384818E-9</v>
      </c>
      <c r="K1028" s="693">
        <f t="shared" si="751"/>
        <v>3.1719764592708088E-9</v>
      </c>
      <c r="L1028" s="693">
        <f t="shared" si="751"/>
        <v>-5.3893245421932079E-10</v>
      </c>
      <c r="M1028" s="693">
        <f t="shared" si="751"/>
        <v>-2.1400182959041558E-8</v>
      </c>
      <c r="N1028" s="693">
        <f t="shared" si="751"/>
        <v>7.4505805969238281E-9</v>
      </c>
      <c r="O1028" s="693">
        <f t="shared" si="751"/>
        <v>-1.1175870895385742E-8</v>
      </c>
      <c r="P1028" s="693">
        <f t="shared" si="751"/>
        <v>0</v>
      </c>
      <c r="Q1028" s="693">
        <f t="shared" si="751"/>
        <v>1.862645149230957E-9</v>
      </c>
      <c r="R1028" s="693">
        <f t="shared" si="751"/>
        <v>-1.0652252058207523E-7</v>
      </c>
      <c r="S1028" s="31"/>
    </row>
    <row r="1029" spans="2:21" s="30" customFormat="1" x14ac:dyDescent="0.2">
      <c r="F1029" s="693"/>
      <c r="G1029" s="693"/>
      <c r="H1029" s="693"/>
      <c r="I1029" s="693"/>
      <c r="J1029" s="693"/>
      <c r="K1029" s="693"/>
      <c r="L1029" s="693"/>
      <c r="M1029" s="693"/>
      <c r="N1029" s="693"/>
      <c r="O1029" s="693"/>
      <c r="P1029" s="693"/>
      <c r="Q1029" s="693"/>
      <c r="R1029" s="693"/>
      <c r="S1029" s="31"/>
    </row>
    <row r="1030" spans="2:21" s="30" customFormat="1" x14ac:dyDescent="0.2">
      <c r="B1030" s="69" t="s">
        <v>555</v>
      </c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 s="31"/>
    </row>
    <row r="1031" spans="2:21" s="30" customFormat="1" x14ac:dyDescent="0.2">
      <c r="B1031" s="80" t="s">
        <v>155</v>
      </c>
      <c r="C1031"/>
      <c r="D1031"/>
      <c r="E1031"/>
      <c r="F1031" s="23">
        <f>F22</f>
        <v>9.1303136842105275</v>
      </c>
      <c r="G1031" s="23">
        <f t="shared" ref="G1031:Q1031" si="752">G22</f>
        <v>9.0734036842105272</v>
      </c>
      <c r="H1031" s="23">
        <f t="shared" si="752"/>
        <v>8.5604621052631575</v>
      </c>
      <c r="I1031" s="23">
        <f t="shared" si="752"/>
        <v>9.1082747368421053</v>
      </c>
      <c r="J1031" s="23">
        <f t="shared" si="752"/>
        <v>8.6602784210526309</v>
      </c>
      <c r="K1031" s="23">
        <f t="shared" si="752"/>
        <v>8.8432878947368412</v>
      </c>
      <c r="L1031" s="23">
        <f t="shared" si="752"/>
        <v>8.8158994736842118</v>
      </c>
      <c r="M1031" s="23">
        <f t="shared" si="752"/>
        <v>7.9979384210526314</v>
      </c>
      <c r="N1031" s="23">
        <f t="shared" si="752"/>
        <v>9.2384084210526307</v>
      </c>
      <c r="O1031" s="23">
        <f t="shared" si="752"/>
        <v>9.081405789473683</v>
      </c>
      <c r="P1031" s="23">
        <f t="shared" si="752"/>
        <v>9.0485131578947353</v>
      </c>
      <c r="Q1031" s="23">
        <f t="shared" si="752"/>
        <v>8.4591536842105253</v>
      </c>
      <c r="R1031" s="23">
        <f t="shared" ref="R1031:R1039" si="753">SUM(F1031:Q1031)</f>
        <v>106.01733947368419</v>
      </c>
      <c r="S1031" s="31"/>
    </row>
    <row r="1032" spans="2:21" s="30" customFormat="1" x14ac:dyDescent="0.2">
      <c r="B1032" s="80" t="s">
        <v>240</v>
      </c>
      <c r="C1032"/>
      <c r="D1032"/>
      <c r="E1032"/>
      <c r="F1032" s="34">
        <f>F43</f>
        <v>150705.52075592999</v>
      </c>
      <c r="G1032" s="34">
        <f t="shared" ref="G1032:Q1032" si="754">G43</f>
        <v>142770.67186459</v>
      </c>
      <c r="H1032" s="34">
        <f t="shared" si="754"/>
        <v>242670.94049376997</v>
      </c>
      <c r="I1032" s="34">
        <f t="shared" si="754"/>
        <v>517408.47134249995</v>
      </c>
      <c r="J1032" s="34">
        <f t="shared" si="754"/>
        <v>826646.66717480996</v>
      </c>
      <c r="K1032" s="34">
        <f t="shared" si="754"/>
        <v>992192.86964866996</v>
      </c>
      <c r="L1032" s="34">
        <f t="shared" si="754"/>
        <v>1089911.2211762399</v>
      </c>
      <c r="M1032" s="34">
        <f t="shared" si="754"/>
        <v>822454.4521751299</v>
      </c>
      <c r="N1032" s="34">
        <f t="shared" si="754"/>
        <v>850206.31191585003</v>
      </c>
      <c r="O1032" s="34">
        <f t="shared" si="754"/>
        <v>563523.58423655003</v>
      </c>
      <c r="P1032" s="34">
        <f t="shared" si="754"/>
        <v>346245.87684066</v>
      </c>
      <c r="Q1032" s="34">
        <f t="shared" si="754"/>
        <v>216076.66079906997</v>
      </c>
      <c r="R1032" s="23">
        <f t="shared" si="753"/>
        <v>6760813.248423771</v>
      </c>
      <c r="S1032" s="31"/>
    </row>
    <row r="1033" spans="2:21" s="30" customFormat="1" x14ac:dyDescent="0.2">
      <c r="B1033" s="80" t="s">
        <v>191</v>
      </c>
      <c r="C1033"/>
      <c r="D1033"/>
      <c r="E1033"/>
      <c r="F1033" s="34">
        <f>F63</f>
        <v>0.10097967999999999</v>
      </c>
      <c r="G1033" s="34">
        <f t="shared" ref="G1033:Q1033" si="755">G63</f>
        <v>0.10414089999999998</v>
      </c>
      <c r="H1033" s="34">
        <f t="shared" si="755"/>
        <v>0.26471294000000001</v>
      </c>
      <c r="I1033" s="34">
        <f t="shared" si="755"/>
        <v>0.59200010000000003</v>
      </c>
      <c r="J1033" s="34">
        <f t="shared" si="755"/>
        <v>0.76167465999999995</v>
      </c>
      <c r="K1033" s="34">
        <f t="shared" si="755"/>
        <v>0.76370367000000006</v>
      </c>
      <c r="L1033" s="34">
        <f t="shared" si="755"/>
        <v>0.63801714999999992</v>
      </c>
      <c r="M1033" s="34">
        <f t="shared" si="755"/>
        <v>8.4781229999999999E-2</v>
      </c>
      <c r="N1033" s="34">
        <f t="shared" si="755"/>
        <v>0</v>
      </c>
      <c r="O1033" s="34">
        <f t="shared" si="755"/>
        <v>0</v>
      </c>
      <c r="P1033" s="34">
        <f t="shared" si="755"/>
        <v>0</v>
      </c>
      <c r="Q1033" s="34">
        <f t="shared" si="755"/>
        <v>0</v>
      </c>
      <c r="R1033" s="23">
        <f t="shared" si="753"/>
        <v>3.3100103299999999</v>
      </c>
      <c r="S1033" s="31"/>
    </row>
    <row r="1034" spans="2:21" s="30" customFormat="1" x14ac:dyDescent="0.2">
      <c r="B1034" s="81" t="s">
        <v>154</v>
      </c>
      <c r="C1034"/>
      <c r="D1034"/>
      <c r="E1034"/>
      <c r="F1034" s="23">
        <f>F86+F109</f>
        <v>87292.555242240007</v>
      </c>
      <c r="G1034" s="23">
        <f t="shared" ref="G1034:Q1034" si="756">G86+G109</f>
        <v>85611.496288640003</v>
      </c>
      <c r="H1034" s="23">
        <f t="shared" si="756"/>
        <v>104212.03694272002</v>
      </c>
      <c r="I1034" s="23">
        <f t="shared" si="756"/>
        <v>184251.31190976</v>
      </c>
      <c r="J1034" s="23">
        <f t="shared" si="756"/>
        <v>277958.88054976001</v>
      </c>
      <c r="K1034" s="23">
        <f t="shared" si="756"/>
        <v>341393.93017216003</v>
      </c>
      <c r="L1034" s="23">
        <f t="shared" si="756"/>
        <v>367980.81990080007</v>
      </c>
      <c r="M1034" s="23">
        <f t="shared" si="756"/>
        <v>290902.51714303996</v>
      </c>
      <c r="N1034" s="23">
        <f t="shared" si="756"/>
        <v>297685.51755648002</v>
      </c>
      <c r="O1034" s="23">
        <f t="shared" si="756"/>
        <v>208928.85765440005</v>
      </c>
      <c r="P1034" s="23">
        <f t="shared" si="756"/>
        <v>139289.58744256003</v>
      </c>
      <c r="Q1034" s="23">
        <f t="shared" si="756"/>
        <v>101711.97847104001</v>
      </c>
      <c r="R1034" s="23">
        <f t="shared" si="753"/>
        <v>2487219.4892736003</v>
      </c>
      <c r="S1034" s="31"/>
    </row>
    <row r="1035" spans="2:21" s="30" customFormat="1" x14ac:dyDescent="0.2">
      <c r="B1035" s="80" t="s">
        <v>153</v>
      </c>
      <c r="C1035"/>
      <c r="D1035"/>
      <c r="E1035"/>
      <c r="F1035" s="23">
        <f>F193+F239</f>
        <v>19607.789604999998</v>
      </c>
      <c r="G1035" s="23">
        <f t="shared" ref="G1035:Q1035" si="757">G193+G239</f>
        <v>18836.4984712</v>
      </c>
      <c r="H1035" s="23">
        <f t="shared" si="757"/>
        <v>22332.06259342</v>
      </c>
      <c r="I1035" s="23">
        <f t="shared" si="757"/>
        <v>33201.076851320002</v>
      </c>
      <c r="J1035" s="23">
        <f t="shared" si="757"/>
        <v>41708.473703119998</v>
      </c>
      <c r="K1035" s="23">
        <f t="shared" si="757"/>
        <v>48336.118769359993</v>
      </c>
      <c r="L1035" s="23">
        <f t="shared" si="757"/>
        <v>50999.365210539996</v>
      </c>
      <c r="M1035" s="23">
        <f t="shared" si="757"/>
        <v>42758.022259320001</v>
      </c>
      <c r="N1035" s="23">
        <f t="shared" si="757"/>
        <v>44677.540408200002</v>
      </c>
      <c r="O1035" s="23">
        <f t="shared" si="757"/>
        <v>35740.046796819996</v>
      </c>
      <c r="P1035" s="23">
        <f t="shared" si="757"/>
        <v>27876.495462039999</v>
      </c>
      <c r="Q1035" s="23">
        <f t="shared" si="757"/>
        <v>11800.428935399999</v>
      </c>
      <c r="R1035" s="23">
        <f t="shared" si="753"/>
        <v>397873.91906574002</v>
      </c>
      <c r="S1035" s="31"/>
    </row>
    <row r="1036" spans="2:21" s="30" customFormat="1" x14ac:dyDescent="0.2">
      <c r="B1036" s="80" t="s">
        <v>156</v>
      </c>
      <c r="C1036"/>
      <c r="D1036"/>
      <c r="E1036"/>
      <c r="F1036" s="23">
        <f>F362+F409</f>
        <v>2768.1180629500004</v>
      </c>
      <c r="G1036" s="23">
        <f t="shared" ref="G1036:Q1036" si="758">G362+G409</f>
        <v>2556.8694904399995</v>
      </c>
      <c r="H1036" s="23">
        <f t="shared" si="758"/>
        <v>3011.0236508899998</v>
      </c>
      <c r="I1036" s="23">
        <f t="shared" si="758"/>
        <v>4575.2007561800001</v>
      </c>
      <c r="J1036" s="23">
        <f t="shared" si="758"/>
        <v>5643.7419766900002</v>
      </c>
      <c r="K1036" s="23">
        <f t="shared" si="758"/>
        <v>6717.2622713200008</v>
      </c>
      <c r="L1036" s="23">
        <f t="shared" si="758"/>
        <v>6400.2433703899997</v>
      </c>
      <c r="M1036" s="23">
        <f t="shared" si="758"/>
        <v>5562.5345525400007</v>
      </c>
      <c r="N1036" s="23">
        <f t="shared" si="758"/>
        <v>5922.8734425699995</v>
      </c>
      <c r="O1036" s="23">
        <f t="shared" si="758"/>
        <v>4635.4958320299993</v>
      </c>
      <c r="P1036" s="23">
        <f t="shared" si="758"/>
        <v>3465.3991576600001</v>
      </c>
      <c r="Q1036" s="23">
        <f t="shared" si="758"/>
        <v>2720.0204364000001</v>
      </c>
      <c r="R1036" s="23">
        <f t="shared" si="753"/>
        <v>53978.783000060008</v>
      </c>
      <c r="S1036" s="31"/>
    </row>
    <row r="1037" spans="2:21" s="30" customFormat="1" x14ac:dyDescent="0.2">
      <c r="B1037" s="80" t="s">
        <v>157</v>
      </c>
      <c r="C1037"/>
      <c r="D1037"/>
      <c r="E1037"/>
      <c r="F1037" s="23">
        <f>F527+F571</f>
        <v>895.55869124999992</v>
      </c>
      <c r="G1037" s="23">
        <f t="shared" ref="G1037:Q1037" si="759">G527+G571</f>
        <v>830.17953314999988</v>
      </c>
      <c r="H1037" s="23">
        <f t="shared" si="759"/>
        <v>1576.00822055</v>
      </c>
      <c r="I1037" s="23">
        <f t="shared" si="759"/>
        <v>3387.4025902000003</v>
      </c>
      <c r="J1037" s="23">
        <f t="shared" si="759"/>
        <v>4352.6330335499997</v>
      </c>
      <c r="K1037" s="23">
        <f t="shared" si="759"/>
        <v>5399.2427649499987</v>
      </c>
      <c r="L1037" s="23">
        <f t="shared" si="759"/>
        <v>5297.1748554000005</v>
      </c>
      <c r="M1037" s="23">
        <f t="shared" si="759"/>
        <v>4434.1184163500002</v>
      </c>
      <c r="N1037" s="23">
        <f t="shared" si="759"/>
        <v>4679.6380188500007</v>
      </c>
      <c r="O1037" s="23">
        <f t="shared" si="759"/>
        <v>3603.3149182500006</v>
      </c>
      <c r="P1037" s="23">
        <f t="shared" si="759"/>
        <v>2026.7393968500003</v>
      </c>
      <c r="Q1037" s="23">
        <f t="shared" si="759"/>
        <v>1313.15400995</v>
      </c>
      <c r="R1037" s="23">
        <f t="shared" si="753"/>
        <v>37795.164449299999</v>
      </c>
      <c r="S1037" s="31"/>
    </row>
    <row r="1038" spans="2:21" s="30" customFormat="1" x14ac:dyDescent="0.2">
      <c r="B1038" s="80" t="s">
        <v>158</v>
      </c>
      <c r="C1038"/>
      <c r="D1038"/>
      <c r="E1038"/>
      <c r="F1038" s="23">
        <f>F661+F717</f>
        <v>2434.4295306800004</v>
      </c>
      <c r="G1038" s="23">
        <f t="shared" ref="G1038:Q1038" si="760">G661+G717</f>
        <v>2406.2906195999999</v>
      </c>
      <c r="H1038" s="23">
        <f t="shared" si="760"/>
        <v>2620.8571305</v>
      </c>
      <c r="I1038" s="23">
        <f t="shared" si="760"/>
        <v>3952.8630519399999</v>
      </c>
      <c r="J1038" s="23">
        <f t="shared" si="760"/>
        <v>4739.0237290200002</v>
      </c>
      <c r="K1038" s="23">
        <f t="shared" si="760"/>
        <v>5691.3045136399996</v>
      </c>
      <c r="L1038" s="23">
        <f t="shared" si="760"/>
        <v>5215.8327221400004</v>
      </c>
      <c r="M1038" s="23">
        <f t="shared" si="760"/>
        <v>4956.8169192400001</v>
      </c>
      <c r="N1038" s="23">
        <f t="shared" si="760"/>
        <v>4912.6811615400002</v>
      </c>
      <c r="O1038" s="23">
        <f t="shared" si="760"/>
        <v>4190.8332303200004</v>
      </c>
      <c r="P1038" s="23">
        <f t="shared" si="760"/>
        <v>3001.1346080400003</v>
      </c>
      <c r="Q1038" s="23">
        <f t="shared" si="760"/>
        <v>2889.7132119000003</v>
      </c>
      <c r="R1038" s="23">
        <f t="shared" si="753"/>
        <v>47011.780428560007</v>
      </c>
      <c r="S1038" s="31"/>
    </row>
    <row r="1039" spans="2:21" s="30" customFormat="1" x14ac:dyDescent="0.2">
      <c r="B1039" s="30" t="s">
        <v>389</v>
      </c>
      <c r="C1039"/>
      <c r="D1039"/>
      <c r="E1039"/>
      <c r="F1039" s="23">
        <f>F131+F153</f>
        <v>9.9041728000000013</v>
      </c>
      <c r="G1039" s="23">
        <f t="shared" ref="G1039:Q1039" si="761">G131+G153</f>
        <v>9.5712448000000023</v>
      </c>
      <c r="H1039" s="23">
        <f t="shared" si="761"/>
        <v>13.569644800000003</v>
      </c>
      <c r="I1039" s="23">
        <f t="shared" si="761"/>
        <v>41.7654912</v>
      </c>
      <c r="J1039" s="23">
        <f t="shared" si="761"/>
        <v>62.746048000000002</v>
      </c>
      <c r="K1039" s="23">
        <f t="shared" si="761"/>
        <v>87.312761600000002</v>
      </c>
      <c r="L1039" s="23">
        <f t="shared" si="761"/>
        <v>54.429049600000006</v>
      </c>
      <c r="M1039" s="23">
        <f t="shared" si="761"/>
        <v>71.268895999999998</v>
      </c>
      <c r="N1039" s="23">
        <f t="shared" si="761"/>
        <v>55.098278400000005</v>
      </c>
      <c r="O1039" s="23">
        <f t="shared" si="761"/>
        <v>38.271052800000007</v>
      </c>
      <c r="P1039" s="23">
        <f t="shared" si="761"/>
        <v>17.607430400000002</v>
      </c>
      <c r="Q1039" s="23">
        <f t="shared" si="761"/>
        <v>10.797747200000002</v>
      </c>
      <c r="R1039" s="23">
        <f t="shared" si="753"/>
        <v>472.34181760000001</v>
      </c>
      <c r="S1039" s="31"/>
    </row>
    <row r="1040" spans="2:21" s="30" customFormat="1" x14ac:dyDescent="0.2">
      <c r="B1040" t="s">
        <v>272</v>
      </c>
      <c r="C1040"/>
      <c r="D1040"/>
      <c r="E1040"/>
      <c r="F1040" s="23">
        <f>F281+F319</f>
        <v>8765.1999285999991</v>
      </c>
      <c r="G1040" s="23">
        <f t="shared" ref="G1040:Q1040" si="762">G281+G319</f>
        <v>9056.2128916000001</v>
      </c>
      <c r="H1040" s="23">
        <f t="shared" si="762"/>
        <v>8559.5880632000008</v>
      </c>
      <c r="I1040" s="23">
        <f t="shared" si="762"/>
        <v>9873.6287463999997</v>
      </c>
      <c r="J1040" s="23">
        <f t="shared" si="762"/>
        <v>10464.05968998</v>
      </c>
      <c r="K1040" s="23">
        <f t="shared" si="762"/>
        <v>10823.770133400001</v>
      </c>
      <c r="L1040" s="23">
        <f t="shared" si="762"/>
        <v>11799.178902</v>
      </c>
      <c r="M1040" s="23">
        <f t="shared" si="762"/>
        <v>10870.999837399999</v>
      </c>
      <c r="N1040" s="23">
        <f t="shared" si="762"/>
        <v>11841.384338799999</v>
      </c>
      <c r="O1040" s="23">
        <f t="shared" si="762"/>
        <v>10548.4994928</v>
      </c>
      <c r="P1040" s="23">
        <f t="shared" si="762"/>
        <v>9258.7046805999998</v>
      </c>
      <c r="Q1040" s="23">
        <f t="shared" si="762"/>
        <v>7900.2053034</v>
      </c>
      <c r="R1040" s="23">
        <f>SUM(F1040:Q1040)</f>
        <v>119761.43200818</v>
      </c>
      <c r="S1040" s="31"/>
    </row>
    <row r="1041" spans="2:21" s="30" customFormat="1" x14ac:dyDescent="0.2">
      <c r="B1041" t="s">
        <v>273</v>
      </c>
      <c r="C1041"/>
      <c r="D1041"/>
      <c r="E1041"/>
      <c r="F1041" s="23">
        <f>F450+F487</f>
        <v>19369.337813900001</v>
      </c>
      <c r="G1041" s="23">
        <f t="shared" ref="G1041:Q1041" si="763">G450+G487</f>
        <v>21077.585386700001</v>
      </c>
      <c r="H1041" s="23">
        <f t="shared" si="763"/>
        <v>20504.694691100001</v>
      </c>
      <c r="I1041" s="23">
        <f t="shared" si="763"/>
        <v>22999.406638199998</v>
      </c>
      <c r="J1041" s="23">
        <f t="shared" si="763"/>
        <v>21373.417861400001</v>
      </c>
      <c r="K1041" s="23">
        <f t="shared" si="763"/>
        <v>22337.642972199999</v>
      </c>
      <c r="L1041" s="23">
        <f t="shared" si="763"/>
        <v>22102.915712400001</v>
      </c>
      <c r="M1041" s="23">
        <f t="shared" si="763"/>
        <v>20129.968929100003</v>
      </c>
      <c r="N1041" s="23">
        <f t="shared" si="763"/>
        <v>23094.8442985</v>
      </c>
      <c r="O1041" s="23">
        <f t="shared" si="763"/>
        <v>20432.242465200001</v>
      </c>
      <c r="P1041" s="23">
        <f t="shared" si="763"/>
        <v>20257.6319219</v>
      </c>
      <c r="Q1041" s="23">
        <f t="shared" si="763"/>
        <v>19808.6746766</v>
      </c>
      <c r="R1041" s="23">
        <f>SUM(F1041:Q1041)</f>
        <v>253488.36336719999</v>
      </c>
      <c r="S1041" s="31"/>
    </row>
    <row r="1042" spans="2:21" s="30" customFormat="1" x14ac:dyDescent="0.2">
      <c r="B1042" s="83" t="s">
        <v>328</v>
      </c>
      <c r="C1042"/>
      <c r="D1042"/>
      <c r="E1042"/>
      <c r="F1042" s="23">
        <f>F609</f>
        <v>103.06778150000001</v>
      </c>
      <c r="G1042" s="23">
        <f t="shared" ref="G1042:Q1042" si="764">G609</f>
        <v>78.642914999999988</v>
      </c>
      <c r="H1042" s="23">
        <f t="shared" si="764"/>
        <v>59.13335</v>
      </c>
      <c r="I1042" s="23">
        <f t="shared" si="764"/>
        <v>130.136281</v>
      </c>
      <c r="J1042" s="23">
        <f t="shared" si="764"/>
        <v>118.638623</v>
      </c>
      <c r="K1042" s="23">
        <f t="shared" si="764"/>
        <v>123.634642</v>
      </c>
      <c r="L1042" s="23">
        <f t="shared" si="764"/>
        <v>204.77735100000001</v>
      </c>
      <c r="M1042" s="23">
        <f t="shared" si="764"/>
        <v>218.3060605</v>
      </c>
      <c r="N1042" s="23">
        <f t="shared" si="764"/>
        <v>169.42653049999998</v>
      </c>
      <c r="O1042" s="23">
        <f t="shared" si="764"/>
        <v>102.859825</v>
      </c>
      <c r="P1042" s="23">
        <f t="shared" si="764"/>
        <v>76.207197000000008</v>
      </c>
      <c r="Q1042" s="23">
        <f t="shared" si="764"/>
        <v>86.911748500000002</v>
      </c>
      <c r="R1042" s="23">
        <f>SUM(F1042:Q1042)</f>
        <v>1471.7423049999998</v>
      </c>
      <c r="S1042" s="31"/>
    </row>
    <row r="1043" spans="2:21" s="30" customFormat="1" x14ac:dyDescent="0.2">
      <c r="B1043" t="s">
        <v>274</v>
      </c>
      <c r="C1043"/>
      <c r="D1043"/>
      <c r="E1043"/>
      <c r="F1043" s="23">
        <f>F767+F813</f>
        <v>17538.5032268</v>
      </c>
      <c r="G1043" s="23">
        <f t="shared" ref="G1043:Q1043" si="765">G767+G813</f>
        <v>17798.618081400004</v>
      </c>
      <c r="H1043" s="23">
        <f t="shared" si="765"/>
        <v>17107.673566600002</v>
      </c>
      <c r="I1043" s="23">
        <f t="shared" si="765"/>
        <v>18052.740848400001</v>
      </c>
      <c r="J1043" s="23">
        <f t="shared" si="765"/>
        <v>16385.366430800001</v>
      </c>
      <c r="K1043" s="23">
        <f t="shared" si="765"/>
        <v>19884.629499800001</v>
      </c>
      <c r="L1043" s="23">
        <f t="shared" si="765"/>
        <v>17041.929010400003</v>
      </c>
      <c r="M1043" s="23">
        <f t="shared" si="765"/>
        <v>17730.257887800002</v>
      </c>
      <c r="N1043" s="23">
        <f t="shared" si="765"/>
        <v>19281.6335832</v>
      </c>
      <c r="O1043" s="23">
        <f t="shared" si="765"/>
        <v>16670.331749599998</v>
      </c>
      <c r="P1043" s="23">
        <f t="shared" si="765"/>
        <v>16850.415517199999</v>
      </c>
      <c r="Q1043" s="23">
        <f t="shared" si="765"/>
        <v>15504.229523000002</v>
      </c>
      <c r="R1043" s="23">
        <f>SUM(F1043:Q1043)</f>
        <v>209846.32892499998</v>
      </c>
      <c r="S1043" s="31"/>
    </row>
    <row r="1044" spans="2:21" s="30" customFormat="1" x14ac:dyDescent="0.2">
      <c r="B1044" s="80" t="s">
        <v>238</v>
      </c>
      <c r="C1044"/>
      <c r="D1044"/>
      <c r="E1044"/>
      <c r="F1044" s="23">
        <f>F856</f>
        <v>0</v>
      </c>
      <c r="G1044" s="23">
        <f t="shared" ref="G1044:Q1044" si="766">G856</f>
        <v>0</v>
      </c>
      <c r="H1044" s="23">
        <f t="shared" si="766"/>
        <v>0</v>
      </c>
      <c r="I1044" s="23">
        <f t="shared" si="766"/>
        <v>0</v>
      </c>
      <c r="J1044" s="23">
        <f t="shared" si="766"/>
        <v>0</v>
      </c>
      <c r="K1044" s="23">
        <f t="shared" si="766"/>
        <v>0</v>
      </c>
      <c r="L1044" s="23">
        <f t="shared" si="766"/>
        <v>0</v>
      </c>
      <c r="M1044" s="23">
        <f t="shared" si="766"/>
        <v>0</v>
      </c>
      <c r="N1044" s="23">
        <f t="shared" si="766"/>
        <v>0</v>
      </c>
      <c r="O1044" s="23">
        <f t="shared" si="766"/>
        <v>0</v>
      </c>
      <c r="P1044" s="23">
        <f t="shared" si="766"/>
        <v>0</v>
      </c>
      <c r="Q1044" s="23">
        <f t="shared" si="766"/>
        <v>0</v>
      </c>
      <c r="R1044" s="23">
        <f>SUM(F1044:Q1044)</f>
        <v>0</v>
      </c>
      <c r="S1044" s="31"/>
    </row>
    <row r="1045" spans="2:21" s="30" customFormat="1" x14ac:dyDescent="0.2">
      <c r="B1045" s="80" t="s">
        <v>163</v>
      </c>
      <c r="C1045"/>
      <c r="D1045"/>
      <c r="E1045"/>
      <c r="F1045" s="24">
        <f>SUM(F1031:F1044)</f>
        <v>309499.2161050142</v>
      </c>
      <c r="G1045" s="24">
        <f t="shared" ref="G1045:R1045" si="767">SUM(G1031:G1044)</f>
        <v>301041.81433170417</v>
      </c>
      <c r="H1045" s="24">
        <f t="shared" si="767"/>
        <v>422676.41352259525</v>
      </c>
      <c r="I1045" s="24">
        <f t="shared" si="767"/>
        <v>797883.70478193683</v>
      </c>
      <c r="J1045" s="24">
        <f t="shared" si="767"/>
        <v>1209463.0707732108</v>
      </c>
      <c r="K1045" s="24">
        <f t="shared" si="767"/>
        <v>1452997.3251406648</v>
      </c>
      <c r="L1045" s="24">
        <f t="shared" si="767"/>
        <v>1577017.3411775338</v>
      </c>
      <c r="M1045" s="24">
        <f t="shared" si="767"/>
        <v>1220097.3457960708</v>
      </c>
      <c r="N1045" s="24">
        <f t="shared" si="767"/>
        <v>1262536.1879413114</v>
      </c>
      <c r="O1045" s="24">
        <f t="shared" si="767"/>
        <v>868423.41865955957</v>
      </c>
      <c r="P1045" s="24">
        <f t="shared" si="767"/>
        <v>568374.84816806787</v>
      </c>
      <c r="Q1045" s="24">
        <f t="shared" si="767"/>
        <v>379831.23401614418</v>
      </c>
      <c r="R1045" s="684">
        <f t="shared" si="767"/>
        <v>10369841.920413816</v>
      </c>
      <c r="S1045" s="31"/>
    </row>
    <row r="1046" spans="2:21" s="30" customFormat="1" x14ac:dyDescent="0.2">
      <c r="B1046" s="30" t="s">
        <v>114</v>
      </c>
      <c r="F1046" s="693">
        <f>F1045-F992</f>
        <v>0</v>
      </c>
      <c r="G1046" s="693">
        <f t="shared" ref="G1046:R1046" si="768">G1045-G992</f>
        <v>0</v>
      </c>
      <c r="H1046" s="693">
        <f t="shared" si="768"/>
        <v>0</v>
      </c>
      <c r="I1046" s="693">
        <f t="shared" si="768"/>
        <v>0</v>
      </c>
      <c r="J1046" s="693">
        <f t="shared" si="768"/>
        <v>0</v>
      </c>
      <c r="K1046" s="693">
        <f t="shared" si="768"/>
        <v>0</v>
      </c>
      <c r="L1046" s="693">
        <f t="shared" si="768"/>
        <v>0</v>
      </c>
      <c r="M1046" s="693">
        <f t="shared" si="768"/>
        <v>0</v>
      </c>
      <c r="N1046" s="693">
        <f t="shared" si="768"/>
        <v>0</v>
      </c>
      <c r="O1046" s="693">
        <f t="shared" si="768"/>
        <v>0</v>
      </c>
      <c r="P1046" s="693">
        <f t="shared" si="768"/>
        <v>0</v>
      </c>
      <c r="Q1046" s="693">
        <f t="shared" si="768"/>
        <v>0</v>
      </c>
      <c r="R1046" s="693">
        <f t="shared" si="768"/>
        <v>0</v>
      </c>
      <c r="S1046" s="31"/>
    </row>
    <row r="1047" spans="2:21" s="30" customFormat="1" x14ac:dyDescent="0.2">
      <c r="F1047" s="693"/>
      <c r="G1047" s="693"/>
      <c r="H1047" s="693"/>
      <c r="I1047" s="693"/>
      <c r="J1047" s="693"/>
      <c r="K1047" s="693"/>
      <c r="L1047" s="693"/>
      <c r="M1047" s="693"/>
      <c r="N1047" s="693"/>
      <c r="O1047" s="693"/>
      <c r="P1047" s="693"/>
      <c r="Q1047" s="693"/>
      <c r="R1047" s="693"/>
      <c r="S1047" s="31"/>
    </row>
    <row r="1048" spans="2:21" x14ac:dyDescent="0.2">
      <c r="B1048" s="69" t="s">
        <v>164</v>
      </c>
      <c r="S1048" s="31"/>
    </row>
    <row r="1049" spans="2:21" x14ac:dyDescent="0.2">
      <c r="B1049" s="80" t="s">
        <v>155</v>
      </c>
      <c r="F1049" s="23">
        <f>F995+F1013+F1031</f>
        <v>700.42549263157889</v>
      </c>
      <c r="G1049" s="23">
        <f t="shared" ref="G1049:Q1049" si="769">G995+G1013+G1031</f>
        <v>696.05968263157899</v>
      </c>
      <c r="H1049" s="23">
        <f t="shared" si="769"/>
        <v>656.7097357894736</v>
      </c>
      <c r="I1049" s="23">
        <f t="shared" si="769"/>
        <v>698.73479052631569</v>
      </c>
      <c r="J1049" s="23">
        <f t="shared" si="769"/>
        <v>664.36707315789477</v>
      </c>
      <c r="K1049" s="23">
        <f t="shared" si="769"/>
        <v>678.40651421052632</v>
      </c>
      <c r="L1049" s="23">
        <f t="shared" si="769"/>
        <v>676.30543105263166</v>
      </c>
      <c r="M1049" s="23">
        <f t="shared" si="769"/>
        <v>613.55613315789469</v>
      </c>
      <c r="N1049" s="23">
        <f t="shared" si="769"/>
        <v>708.71790315789474</v>
      </c>
      <c r="O1049" s="23">
        <f t="shared" si="769"/>
        <v>696.67355842105258</v>
      </c>
      <c r="P1049" s="23">
        <f t="shared" si="769"/>
        <v>694.15022368421035</v>
      </c>
      <c r="Q1049" s="23">
        <f t="shared" si="769"/>
        <v>648.93793263157886</v>
      </c>
      <c r="R1049" s="23">
        <f t="shared" ref="R1049:R1062" si="770">SUM(F1049:Q1049)</f>
        <v>8133.0444710526317</v>
      </c>
      <c r="S1049" s="36"/>
      <c r="U1049" s="23"/>
    </row>
    <row r="1050" spans="2:21" x14ac:dyDescent="0.2">
      <c r="B1050" s="80" t="s">
        <v>240</v>
      </c>
      <c r="F1050" s="23">
        <f t="shared" ref="F1050:Q1062" si="771">F996+F1014+F1032</f>
        <v>17895476.38560136</v>
      </c>
      <c r="G1050" s="23">
        <f t="shared" si="771"/>
        <v>17500412.892721012</v>
      </c>
      <c r="H1050" s="23">
        <f t="shared" si="771"/>
        <v>23090830.501611918</v>
      </c>
      <c r="I1050" s="23">
        <f t="shared" si="771"/>
        <v>40239162.637023941</v>
      </c>
      <c r="J1050" s="23">
        <f t="shared" si="771"/>
        <v>58725833.395403244</v>
      </c>
      <c r="K1050" s="23">
        <f t="shared" si="771"/>
        <v>69096672.586960167</v>
      </c>
      <c r="L1050" s="23">
        <f t="shared" si="771"/>
        <v>75092740.454523966</v>
      </c>
      <c r="M1050" s="23">
        <f t="shared" si="771"/>
        <v>57986934.766775168</v>
      </c>
      <c r="N1050" s="23">
        <f t="shared" si="771"/>
        <v>60784752.731697656</v>
      </c>
      <c r="O1050" s="23">
        <f t="shared" si="771"/>
        <v>43139498.076193944</v>
      </c>
      <c r="P1050" s="23">
        <f t="shared" si="771"/>
        <v>29926771.145883936</v>
      </c>
      <c r="Q1050" s="23">
        <f t="shared" si="771"/>
        <v>21605207.176652629</v>
      </c>
      <c r="R1050" s="23">
        <f t="shared" si="770"/>
        <v>515084292.75104892</v>
      </c>
      <c r="S1050" s="36"/>
      <c r="U1050" s="23"/>
    </row>
    <row r="1051" spans="2:21" x14ac:dyDescent="0.2">
      <c r="B1051" s="80" t="s">
        <v>191</v>
      </c>
      <c r="F1051" s="23">
        <f t="shared" si="771"/>
        <v>57.686039294227399</v>
      </c>
      <c r="G1051" s="23">
        <f t="shared" si="771"/>
        <v>59.538079194654998</v>
      </c>
      <c r="H1051" s="23">
        <f t="shared" si="771"/>
        <v>132.59050736013609</v>
      </c>
      <c r="I1051" s="23">
        <f t="shared" si="771"/>
        <v>283.95237312507294</v>
      </c>
      <c r="J1051" s="23">
        <f t="shared" si="771"/>
        <v>362.11806361479103</v>
      </c>
      <c r="K1051" s="23">
        <f t="shared" si="771"/>
        <v>362.66863023050541</v>
      </c>
      <c r="L1051" s="23">
        <f t="shared" si="771"/>
        <v>307.55199095</v>
      </c>
      <c r="M1051" s="23">
        <f t="shared" si="771"/>
        <v>41.812365589999992</v>
      </c>
      <c r="N1051" s="23">
        <f t="shared" si="771"/>
        <v>0</v>
      </c>
      <c r="O1051" s="23">
        <f t="shared" si="771"/>
        <v>0</v>
      </c>
      <c r="P1051" s="23">
        <f t="shared" si="771"/>
        <v>0</v>
      </c>
      <c r="Q1051" s="23">
        <f t="shared" si="771"/>
        <v>0</v>
      </c>
      <c r="R1051" s="23">
        <f t="shared" si="770"/>
        <v>1607.9180493593876</v>
      </c>
      <c r="S1051" s="36"/>
      <c r="U1051" s="23"/>
    </row>
    <row r="1052" spans="2:21" x14ac:dyDescent="0.2">
      <c r="B1052" s="81" t="s">
        <v>154</v>
      </c>
      <c r="F1052" s="23">
        <f t="shared" si="771"/>
        <v>6954375.5030576047</v>
      </c>
      <c r="G1052" s="23">
        <f t="shared" si="771"/>
        <v>6882918.6663720962</v>
      </c>
      <c r="H1052" s="23">
        <f t="shared" si="771"/>
        <v>7855608.0228288267</v>
      </c>
      <c r="I1052" s="23">
        <f t="shared" si="771"/>
        <v>12592466.18425346</v>
      </c>
      <c r="J1052" s="23">
        <f t="shared" si="771"/>
        <v>17972485.787997007</v>
      </c>
      <c r="K1052" s="23">
        <f t="shared" si="771"/>
        <v>21729305.708811186</v>
      </c>
      <c r="L1052" s="23">
        <f t="shared" si="771"/>
        <v>23277668.363565966</v>
      </c>
      <c r="M1052" s="23">
        <f t="shared" si="771"/>
        <v>18623059.211536683</v>
      </c>
      <c r="N1052" s="23">
        <f t="shared" si="771"/>
        <v>19257350.356838696</v>
      </c>
      <c r="O1052" s="23">
        <f t="shared" si="771"/>
        <v>14049213.973122582</v>
      </c>
      <c r="P1052" s="23">
        <f t="shared" si="771"/>
        <v>10005719.674492661</v>
      </c>
      <c r="Q1052" s="23">
        <f t="shared" si="771"/>
        <v>7728491.3400269421</v>
      </c>
      <c r="R1052" s="23">
        <f t="shared" si="770"/>
        <v>166928662.79290375</v>
      </c>
      <c r="S1052" s="36"/>
      <c r="U1052" s="23"/>
    </row>
    <row r="1053" spans="2:21" x14ac:dyDescent="0.2">
      <c r="B1053" s="80" t="s">
        <v>153</v>
      </c>
      <c r="F1053" s="23">
        <f t="shared" si="771"/>
        <v>2079136.8186312814</v>
      </c>
      <c r="G1053" s="23">
        <f t="shared" si="771"/>
        <v>2008261.426441601</v>
      </c>
      <c r="H1053" s="23">
        <f t="shared" si="771"/>
        <v>2150489.0498591145</v>
      </c>
      <c r="I1053" s="23">
        <f t="shared" si="771"/>
        <v>2789676.2896580603</v>
      </c>
      <c r="J1053" s="23">
        <f t="shared" si="771"/>
        <v>3226877.1488860208</v>
      </c>
      <c r="K1053" s="23">
        <f t="shared" si="771"/>
        <v>3644104.4513044031</v>
      </c>
      <c r="L1053" s="23">
        <f t="shared" si="771"/>
        <v>3798578.8847787483</v>
      </c>
      <c r="M1053" s="23">
        <f t="shared" si="771"/>
        <v>3271259.0401445343</v>
      </c>
      <c r="N1053" s="23">
        <f t="shared" si="771"/>
        <v>3455958.1746310689</v>
      </c>
      <c r="O1053" s="23">
        <f t="shared" si="771"/>
        <v>2935753.370015665</v>
      </c>
      <c r="P1053" s="23">
        <f t="shared" si="771"/>
        <v>2480804.4599421779</v>
      </c>
      <c r="Q1053" s="23">
        <f t="shared" si="771"/>
        <v>1637633.0113892134</v>
      </c>
      <c r="R1053" s="23">
        <f t="shared" si="770"/>
        <v>33478532.125681892</v>
      </c>
      <c r="S1053" s="36"/>
      <c r="U1053" s="23"/>
    </row>
    <row r="1054" spans="2:21" x14ac:dyDescent="0.2">
      <c r="B1054" s="80" t="s">
        <v>156</v>
      </c>
      <c r="F1054" s="23">
        <f t="shared" si="771"/>
        <v>336511.0267554507</v>
      </c>
      <c r="G1054" s="23">
        <f t="shared" si="771"/>
        <v>313860.5664194831</v>
      </c>
      <c r="H1054" s="23">
        <f t="shared" si="771"/>
        <v>358909.18151254131</v>
      </c>
      <c r="I1054" s="23">
        <f t="shared" si="771"/>
        <v>521915.68074458803</v>
      </c>
      <c r="J1054" s="23">
        <f t="shared" si="771"/>
        <v>629177.38351590489</v>
      </c>
      <c r="K1054" s="23">
        <f t="shared" si="771"/>
        <v>737197.03348463785</v>
      </c>
      <c r="L1054" s="23">
        <f t="shared" si="771"/>
        <v>704620.65402878774</v>
      </c>
      <c r="M1054" s="23">
        <f t="shared" si="771"/>
        <v>618695.1361870009</v>
      </c>
      <c r="N1054" s="23">
        <f t="shared" si="771"/>
        <v>658171.74340305803</v>
      </c>
      <c r="O1054" s="23">
        <f t="shared" si="771"/>
        <v>527681.75537359214</v>
      </c>
      <c r="P1054" s="23">
        <f t="shared" si="771"/>
        <v>408736.68712224998</v>
      </c>
      <c r="Q1054" s="23">
        <f t="shared" si="771"/>
        <v>323438.66763620003</v>
      </c>
      <c r="R1054" s="23">
        <f t="shared" si="770"/>
        <v>6138915.5161834937</v>
      </c>
      <c r="S1054" s="36"/>
      <c r="U1054" s="23"/>
    </row>
    <row r="1055" spans="2:21" x14ac:dyDescent="0.2">
      <c r="B1055" s="80" t="s">
        <v>157</v>
      </c>
      <c r="F1055" s="23">
        <f t="shared" si="771"/>
        <v>143490.60337929369</v>
      </c>
      <c r="G1055" s="23">
        <f t="shared" si="771"/>
        <v>153157.67814795751</v>
      </c>
      <c r="H1055" s="23">
        <f t="shared" si="771"/>
        <v>221740.44463285877</v>
      </c>
      <c r="I1055" s="23">
        <f t="shared" si="771"/>
        <v>400058.23828687909</v>
      </c>
      <c r="J1055" s="23">
        <f t="shared" si="771"/>
        <v>495620.92233320058</v>
      </c>
      <c r="K1055" s="23">
        <f t="shared" si="771"/>
        <v>602771.40463722707</v>
      </c>
      <c r="L1055" s="23">
        <f t="shared" si="771"/>
        <v>592189.58007773082</v>
      </c>
      <c r="M1055" s="23">
        <f t="shared" si="771"/>
        <v>500464.18308792234</v>
      </c>
      <c r="N1055" s="23">
        <f t="shared" si="771"/>
        <v>532909.84189052135</v>
      </c>
      <c r="O1055" s="23">
        <f t="shared" si="771"/>
        <v>422100.92488032795</v>
      </c>
      <c r="P1055" s="23">
        <f t="shared" si="771"/>
        <v>260311.71756058</v>
      </c>
      <c r="Q1055" s="23">
        <f t="shared" si="771"/>
        <v>184357.49805006001</v>
      </c>
      <c r="R1055" s="23">
        <f t="shared" si="770"/>
        <v>4509173.0369645599</v>
      </c>
      <c r="S1055" s="36"/>
      <c r="U1055" s="23"/>
    </row>
    <row r="1056" spans="2:21" x14ac:dyDescent="0.2">
      <c r="B1056" s="80" t="s">
        <v>158</v>
      </c>
      <c r="F1056" s="23">
        <f t="shared" si="771"/>
        <v>393408.40213373076</v>
      </c>
      <c r="G1056" s="23">
        <f t="shared" si="771"/>
        <v>389196.13125797408</v>
      </c>
      <c r="H1056" s="23">
        <f t="shared" si="771"/>
        <v>462575.01001967199</v>
      </c>
      <c r="I1056" s="23">
        <f t="shared" si="771"/>
        <v>621251.56171628973</v>
      </c>
      <c r="J1056" s="23">
        <f t="shared" si="771"/>
        <v>740084.72121536708</v>
      </c>
      <c r="K1056" s="23">
        <f t="shared" si="771"/>
        <v>881888.17842896027</v>
      </c>
      <c r="L1056" s="23">
        <f t="shared" si="771"/>
        <v>810745.95910099172</v>
      </c>
      <c r="M1056" s="23">
        <f t="shared" si="771"/>
        <v>771885.92516783695</v>
      </c>
      <c r="N1056" s="23">
        <f t="shared" si="771"/>
        <v>766421.75157833996</v>
      </c>
      <c r="O1056" s="23">
        <f t="shared" si="771"/>
        <v>657985.80779310444</v>
      </c>
      <c r="P1056" s="23">
        <f t="shared" si="771"/>
        <v>479403.80963767</v>
      </c>
      <c r="Q1056" s="23">
        <f t="shared" si="771"/>
        <v>459653.94069274003</v>
      </c>
      <c r="R1056" s="23">
        <f t="shared" si="770"/>
        <v>7434501.1987426765</v>
      </c>
      <c r="S1056" s="36"/>
      <c r="U1056" s="23"/>
    </row>
    <row r="1057" spans="2:21" x14ac:dyDescent="0.2">
      <c r="B1057" s="30" t="s">
        <v>389</v>
      </c>
      <c r="C1057" s="21"/>
      <c r="F1057" s="23">
        <f t="shared" si="771"/>
        <v>1340.1652623</v>
      </c>
      <c r="G1057" s="23">
        <f t="shared" si="771"/>
        <v>1330.7915642999997</v>
      </c>
      <c r="H1057" s="23">
        <f t="shared" si="771"/>
        <v>1797.1378392999998</v>
      </c>
      <c r="I1057" s="23">
        <f t="shared" si="771"/>
        <v>2237.2312241999998</v>
      </c>
      <c r="J1057" s="23">
        <f t="shared" si="771"/>
        <v>2827.9457430000002</v>
      </c>
      <c r="K1057" s="23">
        <f t="shared" si="771"/>
        <v>3519.6407454204004</v>
      </c>
      <c r="L1057" s="23">
        <f t="shared" si="771"/>
        <v>2593.7779011000002</v>
      </c>
      <c r="M1057" s="23">
        <f t="shared" si="771"/>
        <v>3067.9093484999999</v>
      </c>
      <c r="N1057" s="23">
        <f t="shared" si="771"/>
        <v>2612.6202594000001</v>
      </c>
      <c r="O1057" s="23">
        <f t="shared" si="771"/>
        <v>2138.8441548000001</v>
      </c>
      <c r="P1057" s="23">
        <f t="shared" si="771"/>
        <v>1557.0530288999998</v>
      </c>
      <c r="Q1057" s="23">
        <f t="shared" si="771"/>
        <v>1365.3241452</v>
      </c>
      <c r="R1057" s="23">
        <f t="shared" si="770"/>
        <v>26388.441216420397</v>
      </c>
      <c r="S1057" s="36"/>
      <c r="U1057" s="23"/>
    </row>
    <row r="1058" spans="2:21" x14ac:dyDescent="0.2">
      <c r="B1058" t="s">
        <v>272</v>
      </c>
      <c r="F1058" s="23">
        <f t="shared" si="771"/>
        <v>323116.99922399997</v>
      </c>
      <c r="G1058" s="23">
        <f t="shared" si="771"/>
        <v>323401.11765850993</v>
      </c>
      <c r="H1058" s="23">
        <f t="shared" si="771"/>
        <v>314616.7699664</v>
      </c>
      <c r="I1058" s="23">
        <f t="shared" si="771"/>
        <v>339821.14276119997</v>
      </c>
      <c r="J1058" s="23">
        <f t="shared" si="771"/>
        <v>370414.45003344002</v>
      </c>
      <c r="K1058" s="23">
        <f t="shared" si="771"/>
        <v>368968.81636292755</v>
      </c>
      <c r="L1058" s="23">
        <f t="shared" si="771"/>
        <v>379235.07509440003</v>
      </c>
      <c r="M1058" s="23">
        <f t="shared" si="771"/>
        <v>362831.05546963401</v>
      </c>
      <c r="N1058" s="23">
        <f t="shared" si="771"/>
        <v>379999.29155999993</v>
      </c>
      <c r="O1058" s="23">
        <f t="shared" si="771"/>
        <v>357558.45135679992</v>
      </c>
      <c r="P1058" s="23">
        <f t="shared" si="771"/>
        <v>318478.60048279993</v>
      </c>
      <c r="Q1058" s="23">
        <f t="shared" si="771"/>
        <v>290365.36339959997</v>
      </c>
      <c r="R1058" s="23">
        <f t="shared" si="770"/>
        <v>4128807.1333697112</v>
      </c>
      <c r="S1058" s="36"/>
      <c r="U1058" s="23"/>
    </row>
    <row r="1059" spans="2:21" x14ac:dyDescent="0.2">
      <c r="B1059" t="s">
        <v>273</v>
      </c>
      <c r="F1059" s="23">
        <f t="shared" si="771"/>
        <v>581739.81162433256</v>
      </c>
      <c r="G1059" s="23">
        <f t="shared" si="771"/>
        <v>610605.08700773388</v>
      </c>
      <c r="H1059" s="23">
        <f t="shared" si="771"/>
        <v>600260.6895054999</v>
      </c>
      <c r="I1059" s="23">
        <f t="shared" si="771"/>
        <v>644326.81461469945</v>
      </c>
      <c r="J1059" s="23">
        <f t="shared" si="771"/>
        <v>619969.13977390015</v>
      </c>
      <c r="K1059" s="23">
        <f t="shared" si="771"/>
        <v>626981.89144150482</v>
      </c>
      <c r="L1059" s="23">
        <f t="shared" si="771"/>
        <v>620444.45209689997</v>
      </c>
      <c r="M1059" s="23">
        <f t="shared" si="771"/>
        <v>590745.78879380005</v>
      </c>
      <c r="N1059" s="23">
        <f t="shared" si="771"/>
        <v>644552.39645250002</v>
      </c>
      <c r="O1059" s="23">
        <f t="shared" si="771"/>
        <v>609547.04023881932</v>
      </c>
      <c r="P1059" s="23">
        <f t="shared" si="771"/>
        <v>601490.30222059996</v>
      </c>
      <c r="Q1059" s="23">
        <f t="shared" si="771"/>
        <v>593747.95705610001</v>
      </c>
      <c r="R1059" s="23">
        <f t="shared" si="770"/>
        <v>7344411.3708263896</v>
      </c>
      <c r="S1059" s="36"/>
      <c r="U1059" s="23"/>
    </row>
    <row r="1060" spans="2:21" x14ac:dyDescent="0.2">
      <c r="B1060" s="83" t="s">
        <v>328</v>
      </c>
      <c r="F1060" s="23">
        <f t="shared" si="771"/>
        <v>8941.2504589</v>
      </c>
      <c r="G1060" s="23">
        <f t="shared" si="771"/>
        <v>5482.2096490000004</v>
      </c>
      <c r="H1060" s="23">
        <f t="shared" si="771"/>
        <v>7443.3510100000003</v>
      </c>
      <c r="I1060" s="23">
        <f t="shared" si="771"/>
        <v>10508.8132286</v>
      </c>
      <c r="J1060" s="23">
        <f t="shared" si="771"/>
        <v>5958.9423538000001</v>
      </c>
      <c r="K1060" s="23">
        <f t="shared" si="771"/>
        <v>6129.2640578878136</v>
      </c>
      <c r="L1060" s="23">
        <f t="shared" si="771"/>
        <v>8895.7540706</v>
      </c>
      <c r="M1060" s="23">
        <f t="shared" si="771"/>
        <v>9357.0015662999995</v>
      </c>
      <c r="N1060" s="23">
        <f t="shared" si="771"/>
        <v>7690.5040482999993</v>
      </c>
      <c r="O1060" s="23">
        <f t="shared" si="771"/>
        <v>5420.9803950000005</v>
      </c>
      <c r="P1060" s="23">
        <f t="shared" si="771"/>
        <v>5427.2863382000005</v>
      </c>
      <c r="Q1060" s="23">
        <f t="shared" si="771"/>
        <v>4873.3711100999999</v>
      </c>
      <c r="R1060" s="23">
        <f t="shared" si="770"/>
        <v>86128.728286687823</v>
      </c>
      <c r="S1060" s="36"/>
      <c r="U1060" s="23"/>
    </row>
    <row r="1061" spans="2:21" x14ac:dyDescent="0.2">
      <c r="B1061" t="s">
        <v>274</v>
      </c>
      <c r="F1061" s="23">
        <f t="shared" si="771"/>
        <v>319958.64540410007</v>
      </c>
      <c r="G1061" s="23">
        <f t="shared" si="771"/>
        <v>322695.23954109999</v>
      </c>
      <c r="H1061" s="23">
        <f t="shared" si="771"/>
        <v>315297.23766029999</v>
      </c>
      <c r="I1061" s="23">
        <f t="shared" si="771"/>
        <v>326729.70688249997</v>
      </c>
      <c r="J1061" s="23">
        <f t="shared" si="771"/>
        <v>308078.13318299997</v>
      </c>
      <c r="K1061" s="23">
        <f t="shared" si="771"/>
        <v>346814.37059236865</v>
      </c>
      <c r="L1061" s="23">
        <f t="shared" si="771"/>
        <v>316158.90844250011</v>
      </c>
      <c r="M1061" s="23">
        <f t="shared" si="771"/>
        <v>323918.79316545883</v>
      </c>
      <c r="N1061" s="23">
        <f t="shared" si="771"/>
        <v>341080.94763399998</v>
      </c>
      <c r="O1061" s="23">
        <f t="shared" si="771"/>
        <v>312634.22373309999</v>
      </c>
      <c r="P1061" s="23">
        <f t="shared" si="771"/>
        <v>314234.87300969998</v>
      </c>
      <c r="Q1061" s="23">
        <f t="shared" si="771"/>
        <v>299322.9410239</v>
      </c>
      <c r="R1061" s="23">
        <f t="shared" si="770"/>
        <v>3846924.0202720272</v>
      </c>
      <c r="S1061" s="36"/>
      <c r="U1061" s="23"/>
    </row>
    <row r="1062" spans="2:21" x14ac:dyDescent="0.2">
      <c r="B1062" s="80" t="s">
        <v>238</v>
      </c>
      <c r="F1062" s="23">
        <f t="shared" si="771"/>
        <v>0</v>
      </c>
      <c r="G1062" s="23">
        <f t="shared" si="771"/>
        <v>0</v>
      </c>
      <c r="H1062" s="23">
        <f t="shared" si="771"/>
        <v>0</v>
      </c>
      <c r="I1062" s="23">
        <f t="shared" si="771"/>
        <v>0</v>
      </c>
      <c r="J1062" s="23">
        <f t="shared" si="771"/>
        <v>0</v>
      </c>
      <c r="K1062" s="23">
        <f t="shared" si="771"/>
        <v>0</v>
      </c>
      <c r="L1062" s="23">
        <f t="shared" si="771"/>
        <v>0</v>
      </c>
      <c r="M1062" s="23">
        <f t="shared" si="771"/>
        <v>0</v>
      </c>
      <c r="N1062" s="23">
        <f t="shared" si="771"/>
        <v>0</v>
      </c>
      <c r="O1062" s="23">
        <f t="shared" si="771"/>
        <v>0</v>
      </c>
      <c r="P1062" s="23">
        <f t="shared" si="771"/>
        <v>0</v>
      </c>
      <c r="Q1062" s="23">
        <f t="shared" si="771"/>
        <v>0</v>
      </c>
      <c r="R1062" s="23">
        <f t="shared" si="770"/>
        <v>0</v>
      </c>
      <c r="S1062" s="36"/>
      <c r="U1062" s="23"/>
    </row>
    <row r="1063" spans="2:21" x14ac:dyDescent="0.2">
      <c r="B1063" s="80" t="s">
        <v>214</v>
      </c>
      <c r="F1063" s="24">
        <f t="shared" ref="F1063:R1063" si="772">SUM(F1049:F1062)</f>
        <v>29038253.723064281</v>
      </c>
      <c r="G1063" s="24">
        <f t="shared" si="772"/>
        <v>28512077.404542595</v>
      </c>
      <c r="H1063" s="24">
        <f t="shared" si="772"/>
        <v>35380356.696689591</v>
      </c>
      <c r="I1063" s="24">
        <f t="shared" si="772"/>
        <v>58489136.987558074</v>
      </c>
      <c r="J1063" s="24">
        <f t="shared" si="772"/>
        <v>83098354.455574661</v>
      </c>
      <c r="K1063" s="24">
        <f t="shared" si="772"/>
        <v>98045394.421971157</v>
      </c>
      <c r="L1063" s="24">
        <f t="shared" si="772"/>
        <v>105604855.7211037</v>
      </c>
      <c r="M1063" s="24">
        <f t="shared" si="772"/>
        <v>83062874.179741606</v>
      </c>
      <c r="N1063" s="24">
        <f t="shared" si="772"/>
        <v>86832209.077896714</v>
      </c>
      <c r="O1063" s="24">
        <f t="shared" ref="O1063:Q1063" si="773">SUM(O1049:O1062)</f>
        <v>63020230.120816141</v>
      </c>
      <c r="P1063" s="24">
        <f t="shared" si="773"/>
        <v>44803629.75994315</v>
      </c>
      <c r="Q1063" s="24">
        <f t="shared" si="773"/>
        <v>33129105.529115323</v>
      </c>
      <c r="R1063" s="684">
        <f t="shared" si="772"/>
        <v>749016478.07801688</v>
      </c>
      <c r="S1063" s="36"/>
    </row>
    <row r="1064" spans="2:21" s="30" customFormat="1" x14ac:dyDescent="0.2">
      <c r="B1064" s="30" t="s">
        <v>114</v>
      </c>
      <c r="F1064" s="692">
        <f>F1063-F1009-F1027-F1045</f>
        <v>-3.8417056202888489E-9</v>
      </c>
      <c r="G1064" s="692">
        <f t="shared" ref="G1064:R1064" si="774">G1063-G1009-G1027-G1045</f>
        <v>2.4447217583656311E-9</v>
      </c>
      <c r="H1064" s="692">
        <f t="shared" si="774"/>
        <v>2.1536834537982941E-9</v>
      </c>
      <c r="I1064" s="692">
        <f t="shared" si="774"/>
        <v>-5.9371814131736755E-9</v>
      </c>
      <c r="J1064" s="692">
        <f t="shared" si="774"/>
        <v>3.2596290111541748E-9</v>
      </c>
      <c r="K1064" s="692">
        <f t="shared" si="774"/>
        <v>3.4924596548080444E-8</v>
      </c>
      <c r="L1064" s="692">
        <f t="shared" si="774"/>
        <v>1.1641532182693481E-8</v>
      </c>
      <c r="M1064" s="692">
        <f t="shared" si="774"/>
        <v>1.5133991837501526E-8</v>
      </c>
      <c r="N1064" s="692">
        <f t="shared" si="774"/>
        <v>1.6298145055770874E-8</v>
      </c>
      <c r="O1064" s="692">
        <f t="shared" si="774"/>
        <v>-1.0360963642597198E-8</v>
      </c>
      <c r="P1064" s="692">
        <f t="shared" si="774"/>
        <v>-7.6834112405776978E-9</v>
      </c>
      <c r="Q1064" s="692">
        <f t="shared" si="774"/>
        <v>4.6566128730773926E-10</v>
      </c>
      <c r="R1064" s="692">
        <f t="shared" si="774"/>
        <v>-8.3819031715393066E-8</v>
      </c>
      <c r="S1064" s="31"/>
    </row>
    <row r="1065" spans="2:21" x14ac:dyDescent="0.2">
      <c r="B1065" t="s">
        <v>114</v>
      </c>
      <c r="F1065" s="694">
        <f>F1063-SUM(F988:F990,F992)</f>
        <v>0</v>
      </c>
      <c r="G1065" s="694">
        <f t="shared" ref="G1065:R1065" si="775">G1063-SUM(G988:G990,G992)</f>
        <v>0</v>
      </c>
      <c r="H1065" s="694">
        <f t="shared" si="775"/>
        <v>0</v>
      </c>
      <c r="I1065" s="694">
        <f t="shared" si="775"/>
        <v>0</v>
      </c>
      <c r="J1065" s="694">
        <f t="shared" si="775"/>
        <v>0</v>
      </c>
      <c r="K1065" s="694">
        <f t="shared" si="775"/>
        <v>0</v>
      </c>
      <c r="L1065" s="694">
        <f t="shared" si="775"/>
        <v>0</v>
      </c>
      <c r="M1065" s="694">
        <f t="shared" si="775"/>
        <v>0</v>
      </c>
      <c r="N1065" s="694">
        <f t="shared" si="775"/>
        <v>0</v>
      </c>
      <c r="O1065" s="694">
        <f t="shared" si="775"/>
        <v>0</v>
      </c>
      <c r="P1065" s="694">
        <f t="shared" si="775"/>
        <v>0</v>
      </c>
      <c r="Q1065" s="694">
        <f t="shared" si="775"/>
        <v>0</v>
      </c>
      <c r="R1065" s="694">
        <f t="shared" si="775"/>
        <v>0</v>
      </c>
      <c r="S1065" s="31"/>
    </row>
    <row r="1066" spans="2:21" x14ac:dyDescent="0.2">
      <c r="F1066" s="23"/>
      <c r="G1066" s="23"/>
      <c r="H1066" s="23"/>
      <c r="I1066" s="23"/>
      <c r="J1066" s="23"/>
      <c r="K1066" s="23"/>
      <c r="L1066" s="23"/>
      <c r="M1066" s="23"/>
      <c r="N1066" s="23"/>
      <c r="O1066" s="23"/>
      <c r="P1066" s="23"/>
      <c r="Q1066" s="23"/>
      <c r="R1066" s="23"/>
      <c r="S1066" s="31"/>
    </row>
    <row r="1067" spans="2:21" x14ac:dyDescent="0.2">
      <c r="B1067" s="69" t="s">
        <v>344</v>
      </c>
      <c r="S1067" s="31"/>
    </row>
    <row r="1068" spans="2:21" x14ac:dyDescent="0.2">
      <c r="B1068" s="80" t="s">
        <v>155</v>
      </c>
      <c r="F1068" s="23">
        <f t="shared" ref="F1068:Q1068" si="776">F25</f>
        <v>257.3878905263158</v>
      </c>
      <c r="G1068" s="23">
        <f t="shared" si="776"/>
        <v>255.7835705263158</v>
      </c>
      <c r="H1068" s="23">
        <f t="shared" si="776"/>
        <v>241.32350315789472</v>
      </c>
      <c r="I1068" s="23">
        <f t="shared" si="776"/>
        <v>256.76660210526313</v>
      </c>
      <c r="J1068" s="23">
        <f t="shared" si="776"/>
        <v>244.13737263157893</v>
      </c>
      <c r="K1068" s="23">
        <f t="shared" si="776"/>
        <v>249.29649684210526</v>
      </c>
      <c r="L1068" s="23">
        <f t="shared" si="776"/>
        <v>248.52440421052634</v>
      </c>
      <c r="M1068" s="23">
        <f t="shared" si="776"/>
        <v>225.46569263157895</v>
      </c>
      <c r="N1068" s="23">
        <f t="shared" si="776"/>
        <v>260.43513263157894</v>
      </c>
      <c r="O1068" s="23">
        <f t="shared" si="776"/>
        <v>256.0091536842105</v>
      </c>
      <c r="P1068" s="23">
        <f t="shared" si="776"/>
        <v>255.08189473684209</v>
      </c>
      <c r="Q1068" s="23">
        <f t="shared" si="776"/>
        <v>238.46757052631577</v>
      </c>
      <c r="R1068" s="23">
        <f t="shared" ref="R1068:R1076" si="777">SUM(F1068:Q1068)</f>
        <v>2988.6792842105265</v>
      </c>
      <c r="S1068" s="36"/>
      <c r="U1068" s="23"/>
    </row>
    <row r="1069" spans="2:21" x14ac:dyDescent="0.2">
      <c r="B1069" s="80" t="s">
        <v>240</v>
      </c>
      <c r="F1069" s="34">
        <f t="shared" ref="F1069:Q1069" si="778">F46</f>
        <v>4191791.3801694</v>
      </c>
      <c r="G1069" s="34">
        <f t="shared" si="778"/>
        <v>3971087.9114522003</v>
      </c>
      <c r="H1069" s="34">
        <f t="shared" si="778"/>
        <v>6749759.0763566</v>
      </c>
      <c r="I1069" s="34">
        <f t="shared" si="778"/>
        <v>14391432.77115</v>
      </c>
      <c r="J1069" s="34">
        <f t="shared" si="778"/>
        <v>22992723.534799799</v>
      </c>
      <c r="K1069" s="34">
        <f t="shared" si="778"/>
        <v>27597300.335098602</v>
      </c>
      <c r="L1069" s="34">
        <f t="shared" si="778"/>
        <v>30315282.672859199</v>
      </c>
      <c r="M1069" s="34">
        <f t="shared" si="778"/>
        <v>22876119.374505401</v>
      </c>
      <c r="N1069" s="34">
        <f t="shared" si="778"/>
        <v>23648022.128043003</v>
      </c>
      <c r="O1069" s="34">
        <f t="shared" si="778"/>
        <v>15674099.336749</v>
      </c>
      <c r="P1069" s="34">
        <f t="shared" si="778"/>
        <v>9630639.1078428011</v>
      </c>
      <c r="Q1069" s="34">
        <f t="shared" si="778"/>
        <v>6010053.7767305998</v>
      </c>
      <c r="R1069" s="23">
        <f t="shared" si="777"/>
        <v>188048311.40575659</v>
      </c>
      <c r="S1069" s="36"/>
      <c r="U1069" s="23"/>
    </row>
    <row r="1070" spans="2:21" x14ac:dyDescent="0.2">
      <c r="B1070" s="80" t="s">
        <v>191</v>
      </c>
      <c r="F1070" s="34">
        <f t="shared" ref="F1070:Q1070" si="779">F66</f>
        <v>43.307671519999992</v>
      </c>
      <c r="G1070" s="34">
        <f t="shared" si="779"/>
        <v>44.663440099999995</v>
      </c>
      <c r="H1070" s="34">
        <f t="shared" si="779"/>
        <v>113.52879166000001</v>
      </c>
      <c r="I1070" s="34">
        <f t="shared" si="779"/>
        <v>253.89410890000002</v>
      </c>
      <c r="J1070" s="34">
        <f t="shared" si="779"/>
        <v>326.66330474</v>
      </c>
      <c r="K1070" s="34">
        <f t="shared" si="779"/>
        <v>327.53349663000006</v>
      </c>
      <c r="L1070" s="34">
        <f t="shared" si="779"/>
        <v>273.62967635000001</v>
      </c>
      <c r="M1070" s="34">
        <f t="shared" si="779"/>
        <v>36.360559469999998</v>
      </c>
      <c r="N1070" s="34">
        <f t="shared" si="779"/>
        <v>0</v>
      </c>
      <c r="O1070" s="34">
        <f t="shared" si="779"/>
        <v>0</v>
      </c>
      <c r="P1070" s="34">
        <f t="shared" si="779"/>
        <v>0</v>
      </c>
      <c r="Q1070" s="34">
        <f t="shared" si="779"/>
        <v>0</v>
      </c>
      <c r="R1070" s="23">
        <f t="shared" si="777"/>
        <v>1419.5810493699998</v>
      </c>
      <c r="S1070" s="36"/>
      <c r="U1070" s="23"/>
    </row>
    <row r="1071" spans="2:21" x14ac:dyDescent="0.2">
      <c r="B1071" s="81" t="s">
        <v>154</v>
      </c>
      <c r="F1071" s="23">
        <f t="shared" ref="F1071:Q1071" si="780">F89+F112</f>
        <v>2440982.2616635202</v>
      </c>
      <c r="G1071" s="23">
        <f t="shared" si="780"/>
        <v>2393974.4146007202</v>
      </c>
      <c r="H1071" s="23">
        <f t="shared" si="780"/>
        <v>2914105.7095085606</v>
      </c>
      <c r="I1071" s="23">
        <f t="shared" si="780"/>
        <v>5152262.7881824803</v>
      </c>
      <c r="J1071" s="23">
        <f t="shared" si="780"/>
        <v>7772629.5789024793</v>
      </c>
      <c r="K1071" s="23">
        <f t="shared" si="780"/>
        <v>9546478.7973876819</v>
      </c>
      <c r="L1071" s="23">
        <f t="shared" si="780"/>
        <v>10289934.2506084</v>
      </c>
      <c r="M1071" s="23">
        <f t="shared" si="780"/>
        <v>8134575.5345219206</v>
      </c>
      <c r="N1071" s="23">
        <f t="shared" si="780"/>
        <v>8324250.1710830405</v>
      </c>
      <c r="O1071" s="23">
        <f t="shared" si="780"/>
        <v>5842326.8063212009</v>
      </c>
      <c r="P1071" s="23">
        <f t="shared" si="780"/>
        <v>3894987.5076768803</v>
      </c>
      <c r="Q1071" s="23">
        <f t="shared" si="780"/>
        <v>2844195.9862159202</v>
      </c>
      <c r="R1071" s="23">
        <f t="shared" si="777"/>
        <v>69550703.806672812</v>
      </c>
      <c r="S1071" s="36"/>
      <c r="U1071" s="23"/>
    </row>
    <row r="1072" spans="2:21" x14ac:dyDescent="0.2">
      <c r="B1072" s="80" t="s">
        <v>153</v>
      </c>
      <c r="F1072" s="23">
        <f t="shared" ref="F1072:Q1072" si="781">F202+F248</f>
        <v>1025663.2426449999</v>
      </c>
      <c r="G1072" s="23">
        <f t="shared" si="781"/>
        <v>983594.45260880003</v>
      </c>
      <c r="H1072" s="23">
        <f t="shared" si="781"/>
        <v>1090993.0481095798</v>
      </c>
      <c r="I1072" s="23">
        <f t="shared" si="781"/>
        <v>1479574.0045866801</v>
      </c>
      <c r="J1072" s="23">
        <f t="shared" si="781"/>
        <v>1758914.0606048801</v>
      </c>
      <c r="K1072" s="23">
        <f t="shared" si="781"/>
        <v>2003965.43015464</v>
      </c>
      <c r="L1072" s="23">
        <f t="shared" si="781"/>
        <v>2101912.7679004599</v>
      </c>
      <c r="M1072" s="23">
        <f t="shared" si="781"/>
        <v>1790208.5843786802</v>
      </c>
      <c r="N1072" s="23">
        <f t="shared" si="781"/>
        <v>1883176.0877218</v>
      </c>
      <c r="O1072" s="23">
        <f t="shared" si="781"/>
        <v>1568371.7867161799</v>
      </c>
      <c r="P1072" s="23">
        <f t="shared" si="781"/>
        <v>1291433.71062396</v>
      </c>
      <c r="Q1072" s="23">
        <f t="shared" si="781"/>
        <v>791358.24567460001</v>
      </c>
      <c r="R1072" s="23">
        <f t="shared" si="777"/>
        <v>17769165.421725258</v>
      </c>
      <c r="S1072" s="36"/>
      <c r="U1072" s="23"/>
    </row>
    <row r="1073" spans="2:21" x14ac:dyDescent="0.2">
      <c r="B1073" s="80" t="s">
        <v>156</v>
      </c>
      <c r="F1073" s="23">
        <f t="shared" ref="F1073:Q1073" si="782">F371+F418</f>
        <v>223310.74765439998</v>
      </c>
      <c r="G1073" s="23">
        <f t="shared" si="782"/>
        <v>206590.40054207994</v>
      </c>
      <c r="H1073" s="23">
        <f t="shared" si="782"/>
        <v>241571.87631647999</v>
      </c>
      <c r="I1073" s="23">
        <f t="shared" si="782"/>
        <v>363827.82065376005</v>
      </c>
      <c r="J1073" s="23">
        <f t="shared" si="782"/>
        <v>447088.79010207998</v>
      </c>
      <c r="K1073" s="23">
        <f t="shared" si="782"/>
        <v>530635.28522624006</v>
      </c>
      <c r="L1073" s="23">
        <f t="shared" si="782"/>
        <v>505878.60774047999</v>
      </c>
      <c r="M1073" s="23">
        <f t="shared" si="782"/>
        <v>440221.99884928</v>
      </c>
      <c r="N1073" s="23">
        <f t="shared" si="782"/>
        <v>468817.37270623998</v>
      </c>
      <c r="O1073" s="23">
        <f t="shared" si="782"/>
        <v>368320.45540095988</v>
      </c>
      <c r="P1073" s="23">
        <f t="shared" si="782"/>
        <v>277329.34271712002</v>
      </c>
      <c r="Q1073" s="23">
        <f t="shared" si="782"/>
        <v>216908.32584479998</v>
      </c>
      <c r="R1073" s="23">
        <f t="shared" si="777"/>
        <v>4290501.0237539206</v>
      </c>
      <c r="S1073" s="36"/>
      <c r="U1073" s="23"/>
    </row>
    <row r="1074" spans="2:21" x14ac:dyDescent="0.2">
      <c r="B1074" s="80" t="s">
        <v>157</v>
      </c>
      <c r="F1074" s="23">
        <f t="shared" ref="F1074:Q1074" si="783">F536+F580</f>
        <v>61989.387999499995</v>
      </c>
      <c r="G1074" s="23">
        <f t="shared" si="783"/>
        <v>58021.732298579998</v>
      </c>
      <c r="H1074" s="23">
        <f t="shared" si="783"/>
        <v>103636.08092826001</v>
      </c>
      <c r="I1074" s="23">
        <f t="shared" si="783"/>
        <v>215846.57437864001</v>
      </c>
      <c r="J1074" s="23">
        <f t="shared" si="783"/>
        <v>275185.04367986007</v>
      </c>
      <c r="K1074" s="23">
        <f t="shared" si="783"/>
        <v>339759.56745034002</v>
      </c>
      <c r="L1074" s="23">
        <f t="shared" si="783"/>
        <v>333312.34096727998</v>
      </c>
      <c r="M1074" s="23">
        <f t="shared" si="783"/>
        <v>279583.76816482004</v>
      </c>
      <c r="N1074" s="23">
        <f t="shared" si="783"/>
        <v>295844.74226782005</v>
      </c>
      <c r="O1074" s="23">
        <f t="shared" si="783"/>
        <v>229090.27557590004</v>
      </c>
      <c r="P1074" s="23">
        <f t="shared" si="783"/>
        <v>131725.21777742001</v>
      </c>
      <c r="Q1074" s="23">
        <f t="shared" si="783"/>
        <v>87624.369184340001</v>
      </c>
      <c r="R1074" s="23">
        <f t="shared" si="777"/>
        <v>2411619.10067276</v>
      </c>
      <c r="S1074" s="36"/>
      <c r="U1074" s="23"/>
    </row>
    <row r="1075" spans="2:21" x14ac:dyDescent="0.2">
      <c r="B1075" s="80" t="s">
        <v>158</v>
      </c>
      <c r="F1075" s="23">
        <f t="shared" ref="F1075:Q1075" si="784">F670+F726</f>
        <v>311112.86304209998</v>
      </c>
      <c r="G1075" s="23">
        <f t="shared" si="784"/>
        <v>307516.793787</v>
      </c>
      <c r="H1075" s="23">
        <f t="shared" si="784"/>
        <v>334937.75655374996</v>
      </c>
      <c r="I1075" s="23">
        <f t="shared" si="784"/>
        <v>505164.15686054993</v>
      </c>
      <c r="J1075" s="23">
        <f t="shared" si="784"/>
        <v>605633.15626064991</v>
      </c>
      <c r="K1075" s="23">
        <f t="shared" si="784"/>
        <v>727331.81197829999</v>
      </c>
      <c r="L1075" s="23">
        <f t="shared" si="784"/>
        <v>666567.92931705003</v>
      </c>
      <c r="M1075" s="23">
        <f t="shared" si="784"/>
        <v>633466.47906030004</v>
      </c>
      <c r="N1075" s="23">
        <f t="shared" si="784"/>
        <v>627826.06032254989</v>
      </c>
      <c r="O1075" s="23">
        <f t="shared" si="784"/>
        <v>535576.03881539998</v>
      </c>
      <c r="P1075" s="23">
        <f t="shared" si="784"/>
        <v>383536.08864630002</v>
      </c>
      <c r="Q1075" s="23">
        <f t="shared" si="784"/>
        <v>369296.76517425</v>
      </c>
      <c r="R1075" s="23">
        <f t="shared" si="777"/>
        <v>6007965.8998181997</v>
      </c>
      <c r="S1075" s="36"/>
      <c r="U1075" s="23"/>
    </row>
    <row r="1076" spans="2:21" x14ac:dyDescent="0.2">
      <c r="B1076" s="30" t="s">
        <v>389</v>
      </c>
      <c r="F1076" s="23">
        <f t="shared" ref="F1076:Q1076" si="785">F134+F156</f>
        <v>0.63721700000000003</v>
      </c>
      <c r="G1076" s="23">
        <f t="shared" si="785"/>
        <v>0.61579699999999993</v>
      </c>
      <c r="H1076" s="23">
        <f t="shared" si="785"/>
        <v>0.87304700000000002</v>
      </c>
      <c r="I1076" s="23">
        <f t="shared" si="785"/>
        <v>2.6871179999999999</v>
      </c>
      <c r="J1076" s="23">
        <f t="shared" si="785"/>
        <v>4.0369700000000002</v>
      </c>
      <c r="K1076" s="23">
        <f t="shared" si="785"/>
        <v>5.6175489999999995</v>
      </c>
      <c r="L1076" s="23">
        <f t="shared" si="785"/>
        <v>3.5018690000000001</v>
      </c>
      <c r="M1076" s="23">
        <f t="shared" si="785"/>
        <v>4.5853149999999996</v>
      </c>
      <c r="N1076" s="23">
        <f t="shared" si="785"/>
        <v>3.5449260000000002</v>
      </c>
      <c r="O1076" s="23">
        <f t="shared" si="785"/>
        <v>2.4622920000000001</v>
      </c>
      <c r="P1076" s="23">
        <f t="shared" si="785"/>
        <v>1.1328309999999999</v>
      </c>
      <c r="Q1076" s="23">
        <f t="shared" si="785"/>
        <v>0.69470799999999999</v>
      </c>
      <c r="R1076" s="23">
        <f t="shared" si="777"/>
        <v>30.389638999999999</v>
      </c>
      <c r="S1076" s="36"/>
      <c r="U1076" s="23"/>
    </row>
    <row r="1077" spans="2:21" x14ac:dyDescent="0.2">
      <c r="B1077" t="s">
        <v>272</v>
      </c>
      <c r="F1077" s="23">
        <f t="shared" ref="F1077:Q1077" si="786">F286+F324</f>
        <v>986.43729099999996</v>
      </c>
      <c r="G1077" s="23">
        <f t="shared" si="786"/>
        <v>1019.187946</v>
      </c>
      <c r="H1077" s="23">
        <f t="shared" si="786"/>
        <v>963.29769199999998</v>
      </c>
      <c r="I1077" s="23">
        <f t="shared" si="786"/>
        <v>1111.1800840000001</v>
      </c>
      <c r="J1077" s="23">
        <f t="shared" si="786"/>
        <v>1177.6272963000001</v>
      </c>
      <c r="K1077" s="23">
        <f t="shared" si="786"/>
        <v>1218.109179</v>
      </c>
      <c r="L1077" s="23">
        <f t="shared" si="786"/>
        <v>1327.8818700000002</v>
      </c>
      <c r="M1077" s="23">
        <f t="shared" si="786"/>
        <v>1223.4244189999999</v>
      </c>
      <c r="N1077" s="23">
        <f t="shared" si="786"/>
        <v>1332.6316779999997</v>
      </c>
      <c r="O1077" s="23">
        <f t="shared" si="786"/>
        <v>1187.1301679999999</v>
      </c>
      <c r="P1077" s="23">
        <f t="shared" si="786"/>
        <v>1041.9764109999999</v>
      </c>
      <c r="Q1077" s="23">
        <f t="shared" si="786"/>
        <v>889.09062900000004</v>
      </c>
      <c r="R1077" s="23">
        <f>SUM(F1077:Q1077)</f>
        <v>13477.9746633</v>
      </c>
      <c r="S1077" s="36"/>
      <c r="U1077" s="23"/>
    </row>
    <row r="1078" spans="2:21" x14ac:dyDescent="0.2">
      <c r="B1078" t="s">
        <v>273</v>
      </c>
      <c r="F1078" s="23">
        <f t="shared" ref="F1078:Q1078" si="787">F455+F492</f>
        <v>4096.2345830000004</v>
      </c>
      <c r="G1078" s="23">
        <f t="shared" si="787"/>
        <v>4457.4953990000004</v>
      </c>
      <c r="H1078" s="23">
        <f t="shared" si="787"/>
        <v>4336.3402670000005</v>
      </c>
      <c r="I1078" s="23">
        <f t="shared" si="787"/>
        <v>4863.9228539999995</v>
      </c>
      <c r="J1078" s="23">
        <f t="shared" si="787"/>
        <v>4520.0581579999998</v>
      </c>
      <c r="K1078" s="23">
        <f t="shared" si="787"/>
        <v>4723.9728340000001</v>
      </c>
      <c r="L1078" s="23">
        <f t="shared" si="787"/>
        <v>4674.3326280000001</v>
      </c>
      <c r="M1078" s="23">
        <f t="shared" si="787"/>
        <v>4257.0931270000001</v>
      </c>
      <c r="N1078" s="23">
        <f t="shared" si="787"/>
        <v>4884.1060449999995</v>
      </c>
      <c r="O1078" s="23">
        <f t="shared" si="787"/>
        <v>4321.0180440000004</v>
      </c>
      <c r="P1078" s="23">
        <f t="shared" si="787"/>
        <v>4284.0913430000001</v>
      </c>
      <c r="Q1078" s="23">
        <f t="shared" si="787"/>
        <v>4189.1457019999998</v>
      </c>
      <c r="R1078" s="23">
        <f>SUM(F1078:Q1078)</f>
        <v>53607.810984000011</v>
      </c>
      <c r="S1078" s="36"/>
      <c r="U1078" s="23"/>
    </row>
    <row r="1079" spans="2:21" x14ac:dyDescent="0.2">
      <c r="B1079" s="83" t="s">
        <v>328</v>
      </c>
      <c r="F1079" s="23">
        <f t="shared" ref="F1079:Q1079" si="788">F614</f>
        <v>17.384927000000001</v>
      </c>
      <c r="G1079" s="23">
        <f t="shared" si="788"/>
        <v>13.26507</v>
      </c>
      <c r="H1079" s="23">
        <f t="shared" si="788"/>
        <v>9.9742999999999995</v>
      </c>
      <c r="I1079" s="23">
        <f t="shared" si="788"/>
        <v>21.950697999999999</v>
      </c>
      <c r="J1079" s="23">
        <f t="shared" si="788"/>
        <v>20.011333999999998</v>
      </c>
      <c r="K1079" s="23">
        <f t="shared" si="788"/>
        <v>20.854036000000001</v>
      </c>
      <c r="L1079" s="23">
        <f t="shared" si="788"/>
        <v>34.540758000000004</v>
      </c>
      <c r="M1079" s="23">
        <f t="shared" si="788"/>
        <v>36.822709000000003</v>
      </c>
      <c r="N1079" s="23">
        <f t="shared" si="788"/>
        <v>28.577969</v>
      </c>
      <c r="O1079" s="23">
        <f t="shared" si="788"/>
        <v>17.34985</v>
      </c>
      <c r="P1079" s="23">
        <f t="shared" si="788"/>
        <v>12.854226000000001</v>
      </c>
      <c r="Q1079" s="23">
        <f t="shared" si="788"/>
        <v>14.659813</v>
      </c>
      <c r="R1079" s="23">
        <f>SUM(F1079:Q1079)</f>
        <v>248.24569000000002</v>
      </c>
      <c r="S1079" s="36"/>
      <c r="U1079" s="23"/>
    </row>
    <row r="1080" spans="2:21" x14ac:dyDescent="0.2">
      <c r="B1080" t="s">
        <v>274</v>
      </c>
      <c r="F1080" s="23">
        <f t="shared" ref="F1080:Q1080" si="789">F772+F818</f>
        <v>6077.6991379999999</v>
      </c>
      <c r="G1080" s="23">
        <f t="shared" si="789"/>
        <v>6167.8379490000007</v>
      </c>
      <c r="H1080" s="23">
        <f t="shared" si="789"/>
        <v>5928.4017309999999</v>
      </c>
      <c r="I1080" s="23">
        <f t="shared" si="789"/>
        <v>6255.900294</v>
      </c>
      <c r="J1080" s="23">
        <f t="shared" si="789"/>
        <v>5678.0972780000002</v>
      </c>
      <c r="K1080" s="23">
        <f t="shared" si="789"/>
        <v>6890.7131930000005</v>
      </c>
      <c r="L1080" s="23">
        <f t="shared" si="789"/>
        <v>5905.6189640000002</v>
      </c>
      <c r="M1080" s="23">
        <f t="shared" si="789"/>
        <v>6144.1487730000008</v>
      </c>
      <c r="N1080" s="23">
        <f t="shared" si="789"/>
        <v>6681.7542119999998</v>
      </c>
      <c r="O1080" s="23">
        <f t="shared" si="789"/>
        <v>5776.8476359999995</v>
      </c>
      <c r="P1080" s="23">
        <f t="shared" si="789"/>
        <v>5839.2529020000002</v>
      </c>
      <c r="Q1080" s="23">
        <f t="shared" si="789"/>
        <v>5372.7528050000001</v>
      </c>
      <c r="R1080" s="23">
        <f>SUM(F1080:Q1080)</f>
        <v>72719.024875000003</v>
      </c>
      <c r="S1080" s="36"/>
      <c r="U1080" s="23"/>
    </row>
    <row r="1081" spans="2:21" x14ac:dyDescent="0.2">
      <c r="B1081" s="80" t="s">
        <v>238</v>
      </c>
      <c r="R1081" s="23">
        <f>SUM(F1081:Q1081)</f>
        <v>0</v>
      </c>
      <c r="S1081" s="36"/>
      <c r="U1081" s="23"/>
    </row>
    <row r="1082" spans="2:21" x14ac:dyDescent="0.2">
      <c r="B1082" s="80" t="s">
        <v>345</v>
      </c>
      <c r="F1082" s="24">
        <f t="shared" ref="F1082:N1082" si="790">SUM(F1068:F1081)</f>
        <v>8266328.9718919657</v>
      </c>
      <c r="G1082" s="24">
        <f t="shared" si="790"/>
        <v>7932744.5544610061</v>
      </c>
      <c r="H1082" s="24">
        <f t="shared" si="790"/>
        <v>11446597.287105052</v>
      </c>
      <c r="I1082" s="24">
        <f t="shared" si="790"/>
        <v>22120874.417571116</v>
      </c>
      <c r="J1082" s="24">
        <f t="shared" si="790"/>
        <v>33864144.796063416</v>
      </c>
      <c r="K1082" s="24">
        <f t="shared" si="790"/>
        <v>40758907.324080274</v>
      </c>
      <c r="L1082" s="24">
        <f t="shared" si="790"/>
        <v>44225356.599562429</v>
      </c>
      <c r="M1082" s="24">
        <f t="shared" si="790"/>
        <v>34166103.640075505</v>
      </c>
      <c r="N1082" s="24">
        <f t="shared" si="790"/>
        <v>35261127.612107091</v>
      </c>
      <c r="O1082" s="24">
        <f t="shared" ref="O1082:Q1082" si="791">SUM(O1068:O1081)</f>
        <v>24229345.516722318</v>
      </c>
      <c r="P1082" s="24">
        <f t="shared" si="791"/>
        <v>15621085.364892218</v>
      </c>
      <c r="Q1082" s="24">
        <f t="shared" si="791"/>
        <v>10330142.280052038</v>
      </c>
      <c r="R1082" s="684">
        <f>SUM(R1068:R1081)</f>
        <v>288222758.36458451</v>
      </c>
      <c r="S1082" s="40"/>
    </row>
    <row r="1083" spans="2:21" x14ac:dyDescent="0.2">
      <c r="B1083" s="30" t="s">
        <v>114</v>
      </c>
      <c r="C1083" s="30"/>
      <c r="D1083" s="30"/>
      <c r="E1083" s="30"/>
      <c r="F1083" s="692">
        <f t="shared" ref="F1083:R1083" si="792">F1082-F991</f>
        <v>0</v>
      </c>
      <c r="G1083" s="692">
        <f t="shared" si="792"/>
        <v>0</v>
      </c>
      <c r="H1083" s="692">
        <f t="shared" si="792"/>
        <v>0</v>
      </c>
      <c r="I1083" s="692">
        <f t="shared" si="792"/>
        <v>0</v>
      </c>
      <c r="J1083" s="692">
        <f t="shared" si="792"/>
        <v>0</v>
      </c>
      <c r="K1083" s="692">
        <f t="shared" si="792"/>
        <v>0</v>
      </c>
      <c r="L1083" s="692">
        <f t="shared" si="792"/>
        <v>0</v>
      </c>
      <c r="M1083" s="692">
        <f t="shared" si="792"/>
        <v>0</v>
      </c>
      <c r="N1083" s="692">
        <f t="shared" si="792"/>
        <v>0</v>
      </c>
      <c r="O1083" s="692">
        <f t="shared" si="792"/>
        <v>0</v>
      </c>
      <c r="P1083" s="692">
        <f t="shared" si="792"/>
        <v>0</v>
      </c>
      <c r="Q1083" s="692">
        <f t="shared" si="792"/>
        <v>0</v>
      </c>
      <c r="R1083" s="692">
        <f t="shared" si="792"/>
        <v>0</v>
      </c>
    </row>
    <row r="1085" spans="2:21" ht="13.5" thickBot="1" x14ac:dyDescent="0.25"/>
    <row r="1086" spans="2:21" x14ac:dyDescent="0.2">
      <c r="B1086" s="194" t="s">
        <v>341</v>
      </c>
      <c r="C1086" s="195"/>
      <c r="D1086" s="195"/>
      <c r="E1086" s="195"/>
      <c r="F1086" s="196">
        <f>'Weather Adj'!D231</f>
        <v>44767990.108999997</v>
      </c>
      <c r="G1086" s="196">
        <f>'Weather Adj'!E231</f>
        <v>44321712.204000011</v>
      </c>
      <c r="H1086" s="196">
        <f>'Weather Adj'!F231</f>
        <v>55528619.809999995</v>
      </c>
      <c r="I1086" s="196">
        <f>'Weather Adj'!G231</f>
        <v>93099778.638000011</v>
      </c>
      <c r="J1086" s="196">
        <f>'Weather Adj'!H231</f>
        <v>131215309.395</v>
      </c>
      <c r="K1086" s="196">
        <f>'Weather Adj'!I231</f>
        <v>156530872.37799999</v>
      </c>
      <c r="L1086" s="196">
        <f>'Weather Adj'!J231</f>
        <v>166549704.64199999</v>
      </c>
      <c r="M1086" s="196">
        <f>'Weather Adj'!K231</f>
        <v>132716463.97799999</v>
      </c>
      <c r="N1086" s="196">
        <f>'Weather Adj'!L231</f>
        <v>138023239.37000003</v>
      </c>
      <c r="O1086" s="196">
        <f>'Weather Adj'!M231</f>
        <v>98978841.535999998</v>
      </c>
      <c r="P1086" s="196">
        <f>'Weather Adj'!N231</f>
        <v>69771203.847000003</v>
      </c>
      <c r="Q1086" s="196">
        <f>'Weather Adj'!O231</f>
        <v>50266421.470000006</v>
      </c>
      <c r="R1086" s="197">
        <f>SUM(F1086:Q1086)</f>
        <v>1181770157.3770001</v>
      </c>
      <c r="S1086"/>
    </row>
    <row r="1087" spans="2:21" x14ac:dyDescent="0.2">
      <c r="B1087" s="52" t="s">
        <v>114</v>
      </c>
      <c r="C1087" s="50"/>
      <c r="D1087" s="50"/>
      <c r="E1087" s="50"/>
      <c r="F1087" s="698">
        <f t="shared" ref="F1087:R1087" si="793">F935-F1086</f>
        <v>0</v>
      </c>
      <c r="G1087" s="698">
        <f t="shared" si="793"/>
        <v>0</v>
      </c>
      <c r="H1087" s="698">
        <f t="shared" si="793"/>
        <v>0</v>
      </c>
      <c r="I1087" s="698">
        <f t="shared" si="793"/>
        <v>0</v>
      </c>
      <c r="J1087" s="698">
        <f t="shared" si="793"/>
        <v>0</v>
      </c>
      <c r="K1087" s="698">
        <f t="shared" si="793"/>
        <v>0</v>
      </c>
      <c r="L1087" s="698">
        <f t="shared" si="793"/>
        <v>0</v>
      </c>
      <c r="M1087" s="698">
        <f t="shared" si="793"/>
        <v>0</v>
      </c>
      <c r="N1087" s="698">
        <f t="shared" si="793"/>
        <v>0</v>
      </c>
      <c r="O1087" s="698">
        <f t="shared" si="793"/>
        <v>0</v>
      </c>
      <c r="P1087" s="698">
        <f t="shared" si="793"/>
        <v>0</v>
      </c>
      <c r="Q1087" s="698">
        <f t="shared" si="793"/>
        <v>0</v>
      </c>
      <c r="R1087" s="699">
        <f t="shared" si="793"/>
        <v>0</v>
      </c>
      <c r="S1087"/>
    </row>
    <row r="1088" spans="2:21" x14ac:dyDescent="0.2">
      <c r="B1088" s="52"/>
      <c r="C1088" s="50"/>
      <c r="D1088" s="50"/>
      <c r="E1088" s="50"/>
      <c r="F1088" s="66"/>
      <c r="G1088" s="66"/>
      <c r="H1088" s="66"/>
      <c r="I1088" s="66"/>
      <c r="J1088" s="66"/>
      <c r="K1088" s="66"/>
      <c r="L1088" s="66"/>
      <c r="M1088" s="66"/>
      <c r="N1088" s="66"/>
      <c r="O1088" s="66"/>
      <c r="P1088" s="66"/>
      <c r="Q1088" s="66"/>
      <c r="R1088" s="53"/>
      <c r="S1088"/>
    </row>
    <row r="1089" spans="2:19" x14ac:dyDescent="0.2">
      <c r="B1089" s="67" t="s">
        <v>347</v>
      </c>
      <c r="C1089" s="50"/>
      <c r="D1089" s="50"/>
      <c r="E1089" s="50"/>
      <c r="F1089" s="78">
        <f>'(R) Data'!C35</f>
        <v>851159.17105035076</v>
      </c>
      <c r="G1089" s="78">
        <f>'(R) Data'!D35</f>
        <v>860099.8230356623</v>
      </c>
      <c r="H1089" s="78">
        <f>'(R) Data'!E35</f>
        <v>810762.8218296495</v>
      </c>
      <c r="I1089" s="78">
        <f>'(R) Data'!F35</f>
        <v>848487.73557747283</v>
      </c>
      <c r="J1089" s="78">
        <f>'(R) Data'!G35</f>
        <v>811672.60593412525</v>
      </c>
      <c r="K1089" s="78">
        <f>'(R) Data'!H35</f>
        <v>838433.51595005032</v>
      </c>
      <c r="L1089" s="78">
        <f>'(R) Data'!I35</f>
        <v>841603.52068070101</v>
      </c>
      <c r="M1089" s="78">
        <f>'(R) Data'!J35</f>
        <v>764493.72807058494</v>
      </c>
      <c r="N1089" s="78">
        <f>'(R) Data'!K35</f>
        <v>872555.52159902721</v>
      </c>
      <c r="O1089" s="78">
        <f>'(R) Data'!L35</f>
        <v>857050.96012735355</v>
      </c>
      <c r="P1089" s="78">
        <f>'(R) Data'!M35</f>
        <v>861214.74799908488</v>
      </c>
      <c r="Q1089" s="78">
        <f>'(R) Data'!N35</f>
        <v>823300.032169502</v>
      </c>
      <c r="R1089" s="53">
        <f>SUM(F1089:Q1089)</f>
        <v>10040834.184023567</v>
      </c>
      <c r="S1089"/>
    </row>
    <row r="1090" spans="2:19" x14ac:dyDescent="0.2">
      <c r="B1090" s="67" t="s">
        <v>114</v>
      </c>
      <c r="C1090" s="50"/>
      <c r="D1090" s="50"/>
      <c r="E1090" s="50"/>
      <c r="F1090" s="698">
        <f t="shared" ref="F1090:R1090" si="794">F887-F1089</f>
        <v>0</v>
      </c>
      <c r="G1090" s="698">
        <f t="shared" si="794"/>
        <v>0</v>
      </c>
      <c r="H1090" s="698">
        <f t="shared" si="794"/>
        <v>0</v>
      </c>
      <c r="I1090" s="698">
        <f t="shared" si="794"/>
        <v>0</v>
      </c>
      <c r="J1090" s="698">
        <f t="shared" si="794"/>
        <v>0</v>
      </c>
      <c r="K1090" s="698">
        <f t="shared" si="794"/>
        <v>0</v>
      </c>
      <c r="L1090" s="698">
        <f t="shared" si="794"/>
        <v>0</v>
      </c>
      <c r="M1090" s="698">
        <f t="shared" si="794"/>
        <v>0</v>
      </c>
      <c r="N1090" s="698">
        <f t="shared" si="794"/>
        <v>0</v>
      </c>
      <c r="O1090" s="698">
        <f t="shared" si="794"/>
        <v>0</v>
      </c>
      <c r="P1090" s="698">
        <f t="shared" si="794"/>
        <v>0</v>
      </c>
      <c r="Q1090" s="698">
        <f t="shared" si="794"/>
        <v>0</v>
      </c>
      <c r="R1090" s="699">
        <f t="shared" si="794"/>
        <v>0</v>
      </c>
      <c r="S1090"/>
    </row>
    <row r="1091" spans="2:19" x14ac:dyDescent="0.2">
      <c r="B1091" s="67"/>
      <c r="C1091" s="50"/>
      <c r="D1091" s="50"/>
      <c r="E1091" s="50"/>
      <c r="F1091" s="66"/>
      <c r="G1091" s="66"/>
      <c r="H1091" s="66"/>
      <c r="I1091" s="66"/>
      <c r="J1091" s="66"/>
      <c r="K1091" s="66"/>
      <c r="L1091" s="66"/>
      <c r="M1091" s="66"/>
      <c r="N1091" s="66"/>
      <c r="O1091" s="66"/>
      <c r="P1091" s="66"/>
      <c r="Q1091" s="66"/>
      <c r="R1091" s="53"/>
      <c r="S1091"/>
    </row>
    <row r="1092" spans="2:19" x14ac:dyDescent="0.2">
      <c r="B1092" s="67" t="s">
        <v>348</v>
      </c>
      <c r="C1092" s="50"/>
      <c r="D1092" s="50"/>
      <c r="E1092" s="50"/>
      <c r="F1092" s="78">
        <f>'(R) Data'!C55</f>
        <v>537554.5290000001</v>
      </c>
      <c r="G1092" s="78">
        <f>'(R) Data'!D55</f>
        <v>516778.20099999994</v>
      </c>
      <c r="H1092" s="78">
        <f>'(R) Data'!E55</f>
        <v>502588.34699999995</v>
      </c>
      <c r="I1092" s="78">
        <f>'(R) Data'!F55</f>
        <v>516025.26299999992</v>
      </c>
      <c r="J1092" s="78">
        <f>'(R) Data'!G55</f>
        <v>517769.82400000002</v>
      </c>
      <c r="K1092" s="78">
        <f>'(R) Data'!H55</f>
        <v>520712.13900000002</v>
      </c>
      <c r="L1092" s="78">
        <f>'(R) Data'!I55</f>
        <v>518744.90100000001</v>
      </c>
      <c r="M1092" s="78">
        <f>'(R) Data'!J55</f>
        <v>492664.87200000003</v>
      </c>
      <c r="N1092" s="78">
        <f>'(R) Data'!K55</f>
        <v>521726.08500000002</v>
      </c>
      <c r="O1092" s="78">
        <f>'(R) Data'!L55</f>
        <v>517767.875</v>
      </c>
      <c r="P1092" s="78">
        <f>'(R) Data'!M55</f>
        <v>504104.69500000001</v>
      </c>
      <c r="Q1092" s="78">
        <f>'(R) Data'!N55</f>
        <v>555383.80599999998</v>
      </c>
      <c r="R1092" s="53">
        <f>SUM(F1092:Q1092)</f>
        <v>6221820.5370000005</v>
      </c>
      <c r="S1092"/>
    </row>
    <row r="1093" spans="2:19" x14ac:dyDescent="0.2">
      <c r="B1093" s="67" t="s">
        <v>114</v>
      </c>
      <c r="C1093" s="50"/>
      <c r="D1093" s="50"/>
      <c r="E1093" s="50"/>
      <c r="F1093" s="698">
        <f t="shared" ref="F1093:R1093" si="795">F972-F1092</f>
        <v>0</v>
      </c>
      <c r="G1093" s="698">
        <f t="shared" si="795"/>
        <v>0</v>
      </c>
      <c r="H1093" s="698">
        <f t="shared" si="795"/>
        <v>0</v>
      </c>
      <c r="I1093" s="698">
        <f t="shared" si="795"/>
        <v>0</v>
      </c>
      <c r="J1093" s="698">
        <f t="shared" si="795"/>
        <v>0</v>
      </c>
      <c r="K1093" s="698">
        <f t="shared" si="795"/>
        <v>0</v>
      </c>
      <c r="L1093" s="698">
        <f t="shared" si="795"/>
        <v>0</v>
      </c>
      <c r="M1093" s="698">
        <f t="shared" si="795"/>
        <v>0</v>
      </c>
      <c r="N1093" s="698">
        <f t="shared" si="795"/>
        <v>0</v>
      </c>
      <c r="O1093" s="698">
        <f t="shared" si="795"/>
        <v>0</v>
      </c>
      <c r="P1093" s="698">
        <f t="shared" si="795"/>
        <v>0</v>
      </c>
      <c r="Q1093" s="698">
        <f t="shared" si="795"/>
        <v>0</v>
      </c>
      <c r="R1093" s="699">
        <f t="shared" si="795"/>
        <v>0</v>
      </c>
      <c r="S1093"/>
    </row>
    <row r="1094" spans="2:19" ht="13.5" thickBot="1" x14ac:dyDescent="0.25">
      <c r="B1094" s="68"/>
      <c r="C1094" s="54"/>
      <c r="D1094" s="54"/>
      <c r="E1094" s="54"/>
      <c r="F1094" s="695"/>
      <c r="G1094" s="695"/>
      <c r="H1094" s="695"/>
      <c r="I1094" s="695"/>
      <c r="J1094" s="695"/>
      <c r="K1094" s="695"/>
      <c r="L1094" s="695"/>
      <c r="M1094" s="695"/>
      <c r="N1094" s="695"/>
      <c r="O1094" s="695"/>
      <c r="P1094" s="695"/>
      <c r="Q1094" s="695"/>
      <c r="R1094" s="696"/>
      <c r="S1094"/>
    </row>
    <row r="1095" spans="2:19" x14ac:dyDescent="0.2">
      <c r="B1095" s="31"/>
      <c r="C1095" s="50"/>
      <c r="D1095" s="50"/>
      <c r="E1095" s="50"/>
      <c r="F1095" s="66"/>
      <c r="G1095" s="66"/>
      <c r="H1095" s="66"/>
      <c r="I1095" s="66"/>
      <c r="J1095" s="66"/>
      <c r="K1095" s="66"/>
      <c r="L1095" s="66"/>
      <c r="M1095" s="66"/>
      <c r="N1095" s="66"/>
      <c r="O1095" s="66"/>
      <c r="P1095" s="66"/>
      <c r="Q1095" s="66"/>
      <c r="S1095"/>
    </row>
    <row r="1097" spans="2:19" s="30" customFormat="1" x14ac:dyDescent="0.2">
      <c r="B1097" s="77"/>
      <c r="C1097" s="77"/>
      <c r="D1097" s="77"/>
      <c r="E1097" s="77"/>
      <c r="F1097" s="77"/>
      <c r="G1097" s="77"/>
      <c r="H1097" s="77"/>
      <c r="I1097" s="77"/>
      <c r="J1097" s="77"/>
      <c r="K1097" s="77"/>
      <c r="L1097" s="77"/>
      <c r="M1097" s="77"/>
      <c r="N1097" s="77"/>
      <c r="O1097" s="77"/>
      <c r="P1097" s="77"/>
      <c r="Q1097" s="77"/>
    </row>
  </sheetData>
  <mergeCells count="4">
    <mergeCell ref="B1:R1"/>
    <mergeCell ref="B2:R2"/>
    <mergeCell ref="B3:R3"/>
    <mergeCell ref="B4:R4"/>
  </mergeCells>
  <printOptions horizontalCentered="1"/>
  <pageMargins left="0.2" right="0.21" top="0.75" bottom="0.75" header="0.5" footer="0.25"/>
  <pageSetup scale="56" fitToHeight="17" orientation="landscape" horizontalDpi="300" verticalDpi="300" r:id="rId1"/>
  <headerFooter alignWithMargins="0">
    <oddFooter>&amp;L&amp;F  
&amp;A&amp;C&amp;P&amp;R&amp;D</oddFooter>
  </headerFooter>
  <rowBreaks count="13" manualBreakCount="13">
    <brk id="47" max="16383" man="1"/>
    <brk id="67" max="16383" man="1"/>
    <brk id="249" min="1" max="17" man="1"/>
    <brk id="419" min="1" max="17" man="1"/>
    <brk id="727" min="1" max="17" man="1"/>
    <brk id="287" min="1" max="17" man="1"/>
    <brk id="456" min="1" max="17" man="1"/>
    <brk id="773" min="1" max="17" man="1"/>
    <brk id="819" max="16383" man="1"/>
    <brk id="859" max="16383" man="1"/>
    <brk id="921" max="16383" man="1"/>
    <brk id="986" min="1" max="17" man="1"/>
    <brk id="1066" max="16383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9BEE985E9E72046AD1023F69CC62719" ma:contentTypeVersion="76" ma:contentTypeDescription="" ma:contentTypeScope="" ma:versionID="4c200c49b790e16bfdf64fd8e32983ab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2018-11-13T08:00:00+00:00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180899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A386D78E-B236-4909-A5B1-88D0AB8459B2}"/>
</file>

<file path=customXml/itemProps2.xml><?xml version="1.0" encoding="utf-8"?>
<ds:datastoreItem xmlns:ds="http://schemas.openxmlformats.org/officeDocument/2006/customXml" ds:itemID="{2610C174-A667-4C25-AA40-6F19674E427D}"/>
</file>

<file path=customXml/itemProps3.xml><?xml version="1.0" encoding="utf-8"?>
<ds:datastoreItem xmlns:ds="http://schemas.openxmlformats.org/officeDocument/2006/customXml" ds:itemID="{90EF5087-58B5-40E0-BE15-5C8AE46FCFDB}"/>
</file>

<file path=customXml/itemProps4.xml><?xml version="1.0" encoding="utf-8"?>
<ds:datastoreItem xmlns:ds="http://schemas.openxmlformats.org/officeDocument/2006/customXml" ds:itemID="{C7F706AE-334A-4762-A3F9-872FB47806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25</vt:i4>
      </vt:variant>
    </vt:vector>
  </HeadingPairs>
  <TitlesOfParts>
    <vt:vector size="43" baseType="lpstr">
      <vt:lpstr>REDACTED</vt:lpstr>
      <vt:lpstr>Exh. JAP-3 Page 1</vt:lpstr>
      <vt:lpstr>Exh. JAP-3 Page 2</vt:lpstr>
      <vt:lpstr>Exh. JAP-3 Page 3</vt:lpstr>
      <vt:lpstr>Work Papers --&gt;</vt:lpstr>
      <vt:lpstr>(R) Data</vt:lpstr>
      <vt:lpstr>Therms</vt:lpstr>
      <vt:lpstr>(R) Therms By Block</vt:lpstr>
      <vt:lpstr>(R) Restated Norm Revenue</vt:lpstr>
      <vt:lpstr>Restated Rental Revenue</vt:lpstr>
      <vt:lpstr>Rate Design Res</vt:lpstr>
      <vt:lpstr>Rate Design C&amp;I</vt:lpstr>
      <vt:lpstr>Rate Design Int &amp; Trans</vt:lpstr>
      <vt:lpstr>Rate Design Rental</vt:lpstr>
      <vt:lpstr>Weather Normalization--&gt;</vt:lpstr>
      <vt:lpstr>Weather Adj</vt:lpstr>
      <vt:lpstr>(R) Weather Adj Revenue</vt:lpstr>
      <vt:lpstr>SystemWeatherAdj</vt:lpstr>
      <vt:lpstr>'(R) Data'!Print_Area</vt:lpstr>
      <vt:lpstr>'(R) Restated Norm Revenue'!Print_Area</vt:lpstr>
      <vt:lpstr>'(R) Therms By Block'!Print_Area</vt:lpstr>
      <vt:lpstr>'(R) Weather Adj Revenue'!Print_Area</vt:lpstr>
      <vt:lpstr>'Exh. JAP-3 Page 1'!Print_Area</vt:lpstr>
      <vt:lpstr>'Exh. JAP-3 Page 2'!Print_Area</vt:lpstr>
      <vt:lpstr>'Exh. JAP-3 Page 3'!Print_Area</vt:lpstr>
      <vt:lpstr>'Rate Design C&amp;I'!Print_Area</vt:lpstr>
      <vt:lpstr>'Rate Design Int &amp; Trans'!Print_Area</vt:lpstr>
      <vt:lpstr>'Rate Design Rental'!Print_Area</vt:lpstr>
      <vt:lpstr>'Rate Design Res'!Print_Area</vt:lpstr>
      <vt:lpstr>'Restated Rental Revenue'!Print_Area</vt:lpstr>
      <vt:lpstr>Therms!Print_Area</vt:lpstr>
      <vt:lpstr>'(R) Data'!Print_Titles</vt:lpstr>
      <vt:lpstr>'(R) Restated Norm Revenue'!Print_Titles</vt:lpstr>
      <vt:lpstr>'(R) Therms By Block'!Print_Titles</vt:lpstr>
      <vt:lpstr>'Exh. JAP-3 Page 1'!Print_Titles</vt:lpstr>
      <vt:lpstr>'Exh. JAP-3 Page 2'!Print_Titles</vt:lpstr>
      <vt:lpstr>'Rate Design C&amp;I'!Print_Titles</vt:lpstr>
      <vt:lpstr>'Rate Design Int &amp; Trans'!Print_Titles</vt:lpstr>
      <vt:lpstr>'Rate Design Res'!Print_Titles</vt:lpstr>
      <vt:lpstr>'Restated Rental Revenue'!Print_Titles</vt:lpstr>
      <vt:lpstr>SystemWeatherAdj!Print_Titles</vt:lpstr>
      <vt:lpstr>Therms!Print_Titles</vt:lpstr>
      <vt:lpstr>'Weather Adj'!Print_Titles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Janet Phelps</dc:creator>
  <cp:lastModifiedBy>Paul Schmidt</cp:lastModifiedBy>
  <cp:lastPrinted>2018-10-29T20:42:27Z</cp:lastPrinted>
  <dcterms:created xsi:type="dcterms:W3CDTF">2005-10-10T18:21:10Z</dcterms:created>
  <dcterms:modified xsi:type="dcterms:W3CDTF">2018-11-07T22:56:40Z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0x0101006E56B4D1795A2E4DB2F0B01679ED314A0019BEE985E9E72046AD1023F69CC62719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