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" yWindow="2772" windowWidth="16332" windowHeight="4536" tabRatio="883" activeTab="0"/>
  </bookViews>
  <sheets>
    <sheet name="Pg 1 CofCap" sheetId="1" r:id="rId1"/>
    <sheet name="Pg 2 CapStructure" sheetId="2" r:id="rId2"/>
    <sheet name="Pg 3 STD Cost Rate" sheetId="3" r:id="rId3"/>
    <sheet name="Pg 4 STD OS &amp; Comm Fees" sheetId="4" r:id="rId4"/>
    <sheet name="Pg 5 STD Amort" sheetId="5" r:id="rId5"/>
    <sheet name="Pg 6 LTD Cost " sheetId="6" r:id="rId6"/>
    <sheet name="Pg 7 Reacquired Debt" sheetId="7" r:id="rId7"/>
  </sheets>
  <externalReferences>
    <externalReference r:id="rId10"/>
    <externalReference r:id="rId11"/>
    <externalReference r:id="rId12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a">'[1]STD Cost'!#REF!</definedName>
    <definedName name="CASHFLOWS">'[2]CST STD!'!#REF!</definedName>
    <definedName name="P">#REF!</definedName>
    <definedName name="pagea">#REF!</definedName>
    <definedName name="pageb">#REF!</definedName>
    <definedName name="_xlnm.Print_Area" localSheetId="0">'Pg 1 CofCap'!$A$1:$F$26</definedName>
    <definedName name="_xlnm.Print_Area" localSheetId="1">'Pg 2 CapStructure'!$A$1:$Q$38</definedName>
    <definedName name="_xlnm.Print_Area" localSheetId="2">'Pg 3 STD Cost Rate'!$A$1:$G$29</definedName>
    <definedName name="_xlnm.Print_Area" localSheetId="3">'Pg 4 STD OS &amp; Comm Fees'!$A$1:$K$35</definedName>
    <definedName name="_xlnm.Print_Area" localSheetId="4">'Pg 5 STD Amort'!$A$1:$G$35</definedName>
    <definedName name="_xlnm.Print_Area" localSheetId="5">'Pg 6 LTD Cost '!$A$1:$V$33</definedName>
    <definedName name="_xlnm.Print_Area" localSheetId="6">'Pg 7 Reacquired Debt'!$A$1:$J$40</definedName>
    <definedName name="_xlnm.Print_Titles" localSheetId="6">'Pg 7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comments4.xml><?xml version="1.0" encoding="utf-8"?>
<comments xmlns="http://schemas.openxmlformats.org/spreadsheetml/2006/main">
  <authors>
    <author>jsant</author>
    <author>Puget Sound Energy</author>
  </authors>
  <commentList>
    <comment ref="F9" authorId="0">
      <text>
        <r>
          <rPr>
            <sz val="8"/>
            <rFont val="Tahoma"/>
            <family val="2"/>
          </rPr>
          <t>Includes Credit Facility and Letter of Credit Fees.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sz val="8"/>
            <rFont val="Tahoma"/>
            <family val="2"/>
          </rPr>
          <t xml:space="preserve">Based on daily balances outstanding
</t>
        </r>
      </text>
    </comment>
    <comment ref="J30" authorId="1">
      <text>
        <r>
          <rPr>
            <b/>
            <sz val="8"/>
            <rFont val="Tahoma"/>
            <family val="2"/>
          </rPr>
          <t>Puget Sound Energy:</t>
        </r>
        <r>
          <rPr>
            <sz val="8"/>
            <rFont val="Tahoma"/>
            <family val="2"/>
          </rPr>
          <t xml:space="preserve">
Added $12.92 monthly to cover cost of annual amendment fees</t>
        </r>
      </text>
    </comment>
  </commentList>
</comments>
</file>

<file path=xl/sharedStrings.xml><?xml version="1.0" encoding="utf-8"?>
<sst xmlns="http://schemas.openxmlformats.org/spreadsheetml/2006/main" count="306" uniqueCount="191">
  <si>
    <t>($ thousands)</t>
  </si>
  <si>
    <t xml:space="preserve"> 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</si>
  <si>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</si>
  <si>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</si>
  <si>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</si>
  <si>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</si>
  <si>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</si>
  <si>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</si>
  <si>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</si>
  <si>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</si>
  <si>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</si>
  <si>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</si>
  <si>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</si>
  <si>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</si>
  <si>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</si>
  <si>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</si>
  <si>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</si>
  <si>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</si>
  <si>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Schedule of Annual Charges on Reacquired Debt</t>
  </si>
  <si>
    <t>(B)</t>
  </si>
  <si>
    <t xml:space="preserve">Total Amortization on Reacquired Debt 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</si>
  <si>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</si>
  <si>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</si>
  <si>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</si>
  <si>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</si>
  <si>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</si>
  <si>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</si>
  <si>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</si>
  <si>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</si>
  <si>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</si>
  <si>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</si>
  <si>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</si>
  <si>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</si>
  <si>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</si>
  <si>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</si>
  <si>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</si>
  <si>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</si>
  <si>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</si>
  <si>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SAP  #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</si>
  <si>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</si>
  <si>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</si>
  <si>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</si>
  <si>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</si>
  <si>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</si>
  <si>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</si>
  <si>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</si>
  <si>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</si>
  <si>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</si>
  <si>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</si>
  <si>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</si>
  <si>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</si>
  <si>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</si>
  <si>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</si>
  <si>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</si>
  <si>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</si>
  <si>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</si>
  <si>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</si>
  <si>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</si>
  <si>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Outstanding (i)</t>
  </si>
  <si>
    <t>Amount (i)</t>
  </si>
  <si>
    <t>Consol. Common Equity</t>
  </si>
  <si>
    <t>Commitment fees are calculated for actual days elapsed on the basis of a 360 day year.</t>
  </si>
  <si>
    <t>Total Capital</t>
  </si>
  <si>
    <t>(P)</t>
  </si>
  <si>
    <t>(Q)</t>
  </si>
  <si>
    <t>(R)</t>
  </si>
  <si>
    <t>(S)</t>
  </si>
  <si>
    <t>(T)</t>
  </si>
  <si>
    <t>(U)</t>
  </si>
  <si>
    <t>Bank Facility Fees</t>
  </si>
  <si>
    <t>Rate (365)</t>
  </si>
  <si>
    <t>Regulated Common Equity</t>
  </si>
  <si>
    <t>Commitment Fee Calculation</t>
  </si>
  <si>
    <t>Maturity</t>
  </si>
  <si>
    <t>Date</t>
  </si>
  <si>
    <t xml:space="preserve">      Total Debt</t>
  </si>
  <si>
    <t>Common</t>
  </si>
  <si>
    <t xml:space="preserve">     Total</t>
  </si>
  <si>
    <t>Avg of  Mo-end Balances</t>
  </si>
  <si>
    <t>Period</t>
  </si>
  <si>
    <t>Demand Promissory Note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</si>
  <si>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</si>
  <si>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</si>
  <si>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</si>
  <si>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</si>
  <si>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</si>
  <si>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Long-term Bonds</t>
  </si>
  <si>
    <t>TOTAL LONG TERM DEBT</t>
  </si>
  <si>
    <t>Bank Facility Commitment Fees</t>
  </si>
  <si>
    <t>Commitment</t>
  </si>
  <si>
    <t>Letters of Credit (LC) Fees</t>
  </si>
  <si>
    <t>(i) Applicable monthly amortization during the 12 month reporting period;</t>
  </si>
  <si>
    <t>Amortization (i)</t>
  </si>
  <si>
    <t>Redemption</t>
  </si>
  <si>
    <t>Refinance</t>
  </si>
  <si>
    <t>for Amort.</t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</si>
  <si>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</si>
  <si>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</si>
  <si>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</si>
  <si>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</si>
  <si>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</si>
  <si>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</si>
  <si>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</si>
  <si>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</si>
  <si>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</si>
  <si>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</si>
  <si>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</si>
  <si>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</si>
  <si>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</si>
  <si>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</si>
  <si>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$400 million</t>
  </si>
  <si>
    <t>Working Cap Fac</t>
  </si>
  <si>
    <t>TOTAL</t>
  </si>
  <si>
    <t>AMORTIZATION</t>
  </si>
  <si>
    <t>(V)</t>
  </si>
  <si>
    <t>Other Comprehensive Income Adjustments (OCI) and Derivative Accounting</t>
  </si>
  <si>
    <t>Derivative Impacts through Income</t>
  </si>
  <si>
    <t>Total Amortization for 12 months ended</t>
  </si>
  <si>
    <t>Facility</t>
  </si>
  <si>
    <t>Wells Fargo (not within facility)</t>
  </si>
  <si>
    <t>$650mm Liquidity  Facility</t>
  </si>
  <si>
    <t xml:space="preserve">Wgtd Avg </t>
  </si>
  <si>
    <t>$650 million</t>
  </si>
  <si>
    <t>Liquidity Fac</t>
  </si>
  <si>
    <t>Capex Fac</t>
  </si>
  <si>
    <t>18101083/18900403</t>
  </si>
  <si>
    <t>Liquidity Refinance</t>
  </si>
  <si>
    <t>Cost Rate</t>
  </si>
  <si>
    <t>Short-Term Debt Cost of Interest</t>
  </si>
  <si>
    <t>Blended Cost of Interest (ST&amp;LT Debt)</t>
  </si>
  <si>
    <t>Total Debt</t>
  </si>
  <si>
    <t>Total Capitalization</t>
  </si>
  <si>
    <t>Weighted Cost of Short Term Debt Issuance Cost Amortization</t>
  </si>
  <si>
    <t>Weighted Cost of Reacquired Debt</t>
  </si>
  <si>
    <t xml:space="preserve">Amortization of Short-Term Debt Issue Cost </t>
  </si>
  <si>
    <t>Weighted Short-Term Debt Rate</t>
  </si>
  <si>
    <t>Amortization of Reacquired Debt</t>
  </si>
  <si>
    <t>Weighted Long-Term Debt Rate</t>
  </si>
  <si>
    <t xml:space="preserve">($ in dollars) </t>
  </si>
  <si>
    <t>As of: 9/30/15</t>
  </si>
  <si>
    <t xml:space="preserve">Amortization of Short Term Debt Issue Costs </t>
  </si>
  <si>
    <t>Cost of Long Term Debt ($in 000's)</t>
  </si>
  <si>
    <t>September 30, 2015 Through September 30, 2016</t>
  </si>
  <si>
    <t>Type</t>
  </si>
  <si>
    <t>Interest Rate</t>
  </si>
  <si>
    <t>Issue Date</t>
  </si>
  <si>
    <t>Mat. Date</t>
  </si>
  <si>
    <t>W. Avg. Amt O/S</t>
  </si>
  <si>
    <t>Net Proceeds (i)</t>
  </si>
  <si>
    <t>Cost Rate (ii)</t>
  </si>
  <si>
    <t>Annual Charge</t>
  </si>
  <si>
    <t>MTN-A</t>
  </si>
  <si>
    <t>MTN-C</t>
  </si>
  <si>
    <t>MTN-B</t>
  </si>
  <si>
    <t>PCB</t>
  </si>
  <si>
    <t>SN</t>
  </si>
  <si>
    <t>JrSubN</t>
  </si>
  <si>
    <t>8.231% Capital Trust I (Call)</t>
  </si>
  <si>
    <t>JrSubN 6.974%</t>
  </si>
  <si>
    <t>9.14% PP</t>
  </si>
  <si>
    <t>20 Yr 6.740%</t>
  </si>
  <si>
    <t>WNG 8.4%</t>
  </si>
  <si>
    <t>WNG 8.39%</t>
  </si>
  <si>
    <t>WNG 8.25%</t>
  </si>
  <si>
    <t>WNG 7.19%</t>
  </si>
  <si>
    <t>9.625% PP</t>
  </si>
  <si>
    <t>30 Yr 7.350%</t>
  </si>
  <si>
    <t>8.231% Capital Trust I (Tender)</t>
  </si>
  <si>
    <t>PCB Series 1991A</t>
  </si>
  <si>
    <t>2003 PCB's</t>
  </si>
  <si>
    <t>PCB Series 1991B</t>
  </si>
  <si>
    <t>PCB Series 1992</t>
  </si>
  <si>
    <t>PCB Series 1993</t>
  </si>
  <si>
    <t>PCB Series 2003</t>
  </si>
  <si>
    <t>2013 PCB's</t>
  </si>
  <si>
    <t>$200mm VRN</t>
  </si>
  <si>
    <t>30 Yr 5.483%</t>
  </si>
  <si>
    <t>8.40% Capital Trust II</t>
  </si>
  <si>
    <t>30 Yr 6.724%</t>
  </si>
  <si>
    <t>$25M 9.57% Gas FMB's</t>
  </si>
  <si>
    <t>40 Yr 4.70%</t>
  </si>
  <si>
    <t>SN 5.197%</t>
  </si>
  <si>
    <t>30 Yr 4.30%</t>
  </si>
  <si>
    <t>SN 6.75%</t>
  </si>
  <si>
    <r>
      <t>(i)</t>
    </r>
    <r>
      <rPr>
        <sz val="9"/>
        <rFont val="Times New Roman"/>
        <family val="1"/>
      </rPr>
      <t xml:space="preserve"> -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Average of Month-End Balances.</t>
    </r>
  </si>
  <si>
    <r>
      <t xml:space="preserve">(i) </t>
    </r>
    <r>
      <rPr>
        <sz val="9"/>
        <rFont val="Times New Roman"/>
        <family val="1"/>
      </rPr>
      <t xml:space="preserve"> Weighted Average Daily Balance Outstanding for 12 Months Ended.</t>
    </r>
  </si>
  <si>
    <r>
      <t>(i)</t>
    </r>
    <r>
      <rPr>
        <sz val="8"/>
        <rFont val="Times New Roman"/>
        <family val="1"/>
      </rPr>
      <t xml:space="preserve"> Net proceeds are the net proceeds per $100 face amount and are the proceeds less underwriter's fees and issuance expenses.</t>
    </r>
  </si>
  <si>
    <r>
      <t>(ii)</t>
    </r>
    <r>
      <rPr>
        <sz val="8"/>
        <rFont val="Times New Roman"/>
        <family val="1"/>
      </rPr>
      <t xml:space="preserve"> Yield to Maturity based on Net Proceeds.</t>
    </r>
  </si>
  <si>
    <r>
      <t xml:space="preserve">  </t>
    </r>
    <r>
      <rPr>
        <sz val="9"/>
        <rFont val="Times New Roman"/>
        <family val="1"/>
      </rPr>
      <t xml:space="preserve">  Amortization is over life of replacement issue or remaining life of called bond if no replacement issue.</t>
    </r>
  </si>
  <si>
    <t>Puget Sound Energy</t>
  </si>
  <si>
    <t>PUGET SOUND ENERGY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</si>
</sst>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%"/>
    <numFmt numFmtId="219" formatCode="0.000000000%"/>
    <numFmt numFmtId="220" formatCode="_(* &quot;$&quot;#,##0.00_);_(* \(&quot;$&quot;#,##0.00\);_(* &quot;-&quot;??_);_(@_)"/>
    <numFmt numFmtId="221" formatCode="&quot;$&quot;_(* #,##0.00_);_(* \(#,##0.00\);_(* &quot;-&quot;??_);_(@_)"/>
    <numFmt numFmtId="222" formatCode="&quot;$&quot;_(&quot;$&quot;* #,##0.00_);_(* \(#,##0.00\);_(* &quot;-&quot;??_);_(@_)"/>
    <numFmt numFmtId="223" formatCode="&quot;$&quot;_$\(* #,##0.00_);_(* \(#,##0.00\);_(* &quot;-&quot;??_);_(@_)"/>
  </numFmts>
  <fonts count="62">
    <font>
      <sz val="8"/>
      <name val="Arial"/>
      <family val="2"/>
    </font>
    <font>
      <sz val="10"/>
      <name val="Arial"/>
      <family val="0"/>
    </font>
    <font>
      <b/>
      <i/>
      <sz val="12"/>
      <name val="Times New Roman"/>
      <family val="1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b/>
      <sz val="8"/>
      <color indexed="12"/>
      <name val="Times New Roman"/>
      <family val="1"/>
    </font>
    <font>
      <b/>
      <i/>
      <sz val="9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9"/>
      <color indexed="12"/>
      <name val="Times New Roman"/>
      <family val="1"/>
    </font>
    <font>
      <i/>
      <sz val="8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b/>
      <sz val="7"/>
      <name val="Times New Roman"/>
      <family val="1"/>
    </font>
    <font>
      <b/>
      <u val="single"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177" fontId="0" fillId="0" borderId="0">
      <alignment/>
      <protection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12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" fontId="12" fillId="0" borderId="0">
      <alignment/>
      <protection/>
    </xf>
    <xf numFmtId="10" fontId="3" fillId="0" borderId="0">
      <alignment/>
      <protection/>
    </xf>
    <xf numFmtId="0" fontId="3" fillId="0" borderId="0">
      <alignment/>
      <protection/>
    </xf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2" fillId="16" borderId="8" applyNumberFormat="0" applyAlignment="0" applyProtection="0"/>
    <xf numFmtId="0" fontId="32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410">
    <xf numFmtId="37" fontId="0" fillId="0" borderId="0" xfId="0" applyAlignment="1">
      <alignment/>
    </xf>
    <xf numFmtId="0" fontId="4" fillId="0" borderId="0" xfId="106" applyFont="1">
      <alignment/>
      <protection/>
    </xf>
    <xf numFmtId="0" fontId="4" fillId="0" borderId="0" xfId="106" applyFont="1" applyFill="1">
      <alignment/>
      <protection/>
    </xf>
    <xf numFmtId="37" fontId="4" fillId="0" borderId="0" xfId="107" applyFont="1" applyAlignment="1" applyProtection="1">
      <alignment horizontal="center"/>
      <protection/>
    </xf>
    <xf numFmtId="37" fontId="4" fillId="0" borderId="0" xfId="107" applyFont="1" applyProtection="1">
      <alignment/>
      <protection/>
    </xf>
    <xf numFmtId="37" fontId="4" fillId="0" borderId="0" xfId="107" applyFont="1">
      <alignment/>
      <protection/>
    </xf>
    <xf numFmtId="37" fontId="5" fillId="0" borderId="0" xfId="0" applyFont="1" applyAlignment="1">
      <alignment horizontal="centerContinuous"/>
    </xf>
    <xf numFmtId="37" fontId="4" fillId="0" borderId="0" xfId="107" applyFont="1" applyAlignment="1">
      <alignment horizontal="centerContinuous"/>
      <protection/>
    </xf>
    <xf numFmtId="37" fontId="4" fillId="0" borderId="0" xfId="107" applyFont="1" applyAlignment="1" applyProtection="1">
      <alignment horizontal="left"/>
      <protection/>
    </xf>
    <xf numFmtId="10" fontId="4" fillId="0" borderId="0" xfId="107" applyNumberFormat="1" applyFont="1" applyProtection="1">
      <alignment/>
      <protection/>
    </xf>
    <xf numFmtId="37" fontId="4" fillId="0" borderId="0" xfId="107" applyNumberFormat="1" applyFont="1" applyProtection="1">
      <alignment/>
      <protection/>
    </xf>
    <xf numFmtId="37" fontId="4" fillId="0" borderId="0" xfId="107" applyFont="1" applyAlignment="1">
      <alignment horizontal="center"/>
      <protection/>
    </xf>
    <xf numFmtId="15" fontId="4" fillId="0" borderId="0" xfId="107" applyNumberFormat="1" applyFont="1" applyProtection="1">
      <alignment/>
      <protection/>
    </xf>
    <xf numFmtId="7" fontId="4" fillId="0" borderId="0" xfId="107" applyNumberFormat="1" applyFont="1" applyProtection="1">
      <alignment/>
      <protection/>
    </xf>
    <xf numFmtId="168" fontId="4" fillId="0" borderId="0" xfId="107" applyNumberFormat="1" applyFont="1" applyProtection="1">
      <alignment/>
      <protection/>
    </xf>
    <xf numFmtId="1" fontId="4" fillId="0" borderId="0" xfId="111" applyNumberFormat="1" applyFont="1" applyProtection="1">
      <alignment/>
      <protection/>
    </xf>
    <xf numFmtId="10" fontId="4" fillId="0" borderId="0" xfId="111" applyFont="1">
      <alignment/>
      <protection/>
    </xf>
    <xf numFmtId="10" fontId="4" fillId="0" borderId="0" xfId="111" applyFont="1" applyAlignment="1">
      <alignment horizontal="centerContinuous"/>
      <protection/>
    </xf>
    <xf numFmtId="1" fontId="4" fillId="0" borderId="0" xfId="111" applyNumberFormat="1" applyFont="1" applyAlignment="1" applyProtection="1">
      <alignment horizontal="center"/>
      <protection/>
    </xf>
    <xf numFmtId="37" fontId="4" fillId="0" borderId="0" xfId="0" applyFont="1" applyAlignment="1">
      <alignment/>
    </xf>
    <xf numFmtId="5" fontId="4" fillId="0" borderId="0" xfId="111" applyNumberFormat="1" applyFont="1" applyProtection="1">
      <alignment/>
      <protection/>
    </xf>
    <xf numFmtId="165" fontId="4" fillId="0" borderId="0" xfId="111" applyNumberFormat="1" applyFont="1" applyProtection="1">
      <alignment/>
      <protection/>
    </xf>
    <xf numFmtId="10" fontId="4" fillId="0" borderId="0" xfId="111" applyNumberFormat="1" applyFont="1" applyProtection="1">
      <alignment/>
      <protection/>
    </xf>
    <xf numFmtId="37" fontId="4" fillId="0" borderId="0" xfId="108" applyFont="1">
      <alignment/>
      <protection/>
    </xf>
    <xf numFmtId="37" fontId="4" fillId="0" borderId="0" xfId="108" applyFont="1" applyAlignment="1" applyProtection="1">
      <alignment horizontal="center"/>
      <protection/>
    </xf>
    <xf numFmtId="37" fontId="6" fillId="0" borderId="0" xfId="108" applyFont="1" applyAlignment="1">
      <alignment horizontal="center"/>
      <protection/>
    </xf>
    <xf numFmtId="5" fontId="4" fillId="0" borderId="0" xfId="108" applyNumberFormat="1" applyFont="1">
      <alignment/>
      <protection/>
    </xf>
    <xf numFmtId="37" fontId="7" fillId="0" borderId="0" xfId="108" applyFont="1">
      <alignment/>
      <protection/>
    </xf>
    <xf numFmtId="37" fontId="7" fillId="0" borderId="0" xfId="108" applyFont="1" applyFill="1">
      <alignment/>
      <protection/>
    </xf>
    <xf numFmtId="15" fontId="4" fillId="0" borderId="0" xfId="108" applyNumberFormat="1" applyFont="1" applyProtection="1">
      <alignment/>
      <protection/>
    </xf>
    <xf numFmtId="0" fontId="4" fillId="0" borderId="0" xfId="112" applyFont="1" applyAlignment="1" applyProtection="1">
      <alignment horizontal="left"/>
      <protection/>
    </xf>
    <xf numFmtId="0" fontId="5" fillId="0" borderId="0" xfId="112" applyFont="1">
      <alignment/>
      <protection/>
    </xf>
    <xf numFmtId="5" fontId="5" fillId="0" borderId="0" xfId="112" applyNumberFormat="1" applyFont="1" applyProtection="1">
      <alignment/>
      <protection/>
    </xf>
    <xf numFmtId="37" fontId="2" fillId="0" borderId="0" xfId="107" applyFont="1" applyAlignment="1" applyProtection="1">
      <alignment horizontal="centerContinuous"/>
      <protection/>
    </xf>
    <xf numFmtId="37" fontId="10" fillId="0" borderId="0" xfId="108" applyFont="1" applyFill="1" applyAlignment="1">
      <alignment horizontal="center"/>
      <protection/>
    </xf>
    <xf numFmtId="5" fontId="7" fillId="0" borderId="0" xfId="108" applyNumberFormat="1" applyFont="1" applyFill="1">
      <alignment/>
      <protection/>
    </xf>
    <xf numFmtId="37" fontId="7" fillId="0" borderId="0" xfId="108" applyFont="1" applyFill="1" applyAlignment="1">
      <alignment horizontal="center"/>
      <protection/>
    </xf>
    <xf numFmtId="37" fontId="7" fillId="0" borderId="0" xfId="0" applyFont="1" applyFill="1" applyAlignment="1">
      <alignment/>
    </xf>
    <xf numFmtId="10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5" fontId="7" fillId="0" borderId="0" xfId="108" applyNumberFormat="1" applyFont="1" applyFill="1" applyProtection="1">
      <alignment/>
      <protection/>
    </xf>
    <xf numFmtId="37" fontId="10" fillId="0" borderId="0" xfId="108" applyFont="1" applyFill="1" applyAlignment="1" applyProtection="1">
      <alignment horizontal="center"/>
      <protection/>
    </xf>
    <xf numFmtId="10" fontId="7" fillId="0" borderId="0" xfId="108" applyNumberFormat="1" applyFont="1" applyFill="1" applyProtection="1">
      <alignment/>
      <protection/>
    </xf>
    <xf numFmtId="168" fontId="7" fillId="0" borderId="0" xfId="108" applyNumberFormat="1" applyFont="1" applyFill="1" applyAlignment="1" applyProtection="1">
      <alignment horizontal="fill"/>
      <protection/>
    </xf>
    <xf numFmtId="166" fontId="4" fillId="0" borderId="0" xfId="108" applyNumberFormat="1" applyFont="1" applyFill="1">
      <alignment/>
      <protection/>
    </xf>
    <xf numFmtId="0" fontId="8" fillId="0" borderId="0" xfId="106" applyFont="1">
      <alignment/>
      <protection/>
    </xf>
    <xf numFmtId="0" fontId="8" fillId="0" borderId="0" xfId="106" applyFont="1" applyFill="1">
      <alignment/>
      <protection/>
    </xf>
    <xf numFmtId="164" fontId="8" fillId="0" borderId="0" xfId="106" applyNumberFormat="1" applyFont="1">
      <alignment/>
      <protection/>
    </xf>
    <xf numFmtId="0" fontId="8" fillId="0" borderId="0" xfId="106" applyFont="1" applyBorder="1">
      <alignment/>
      <protection/>
    </xf>
    <xf numFmtId="0" fontId="4" fillId="0" borderId="0" xfId="106" applyFont="1" applyBorder="1">
      <alignment/>
      <protection/>
    </xf>
    <xf numFmtId="15" fontId="14" fillId="0" borderId="0" xfId="112" applyNumberFormat="1" applyFont="1" applyBorder="1" applyAlignment="1">
      <alignment horizontal="left"/>
      <protection/>
    </xf>
    <xf numFmtId="0" fontId="13" fillId="0" borderId="0" xfId="112" applyFont="1">
      <alignment/>
      <protection/>
    </xf>
    <xf numFmtId="0" fontId="14" fillId="0" borderId="0" xfId="112" applyFont="1" applyAlignment="1" quotePrefix="1">
      <alignment horizontal="left"/>
      <protection/>
    </xf>
    <xf numFmtId="37" fontId="14" fillId="0" borderId="0" xfId="0" applyFont="1" applyBorder="1" applyAlignment="1">
      <alignment/>
    </xf>
    <xf numFmtId="37" fontId="13" fillId="0" borderId="0" xfId="0" applyFont="1" applyBorder="1" applyAlignment="1">
      <alignment/>
    </xf>
    <xf numFmtId="37" fontId="15" fillId="0" borderId="0" xfId="108" applyFont="1">
      <alignment/>
      <protection/>
    </xf>
    <xf numFmtId="0" fontId="15" fillId="0" borderId="0" xfId="106" applyFont="1" applyFill="1" applyAlignment="1">
      <alignment horizontal="centerContinuous"/>
      <protection/>
    </xf>
    <xf numFmtId="0" fontId="15" fillId="0" borderId="0" xfId="106" applyFont="1" applyAlignment="1">
      <alignment horizontal="centerContinuous"/>
      <protection/>
    </xf>
    <xf numFmtId="10" fontId="4" fillId="0" borderId="0" xfId="111" applyFont="1" applyBorder="1">
      <alignment/>
      <protection/>
    </xf>
    <xf numFmtId="37" fontId="10" fillId="0" borderId="0" xfId="108" applyFont="1" applyAlignment="1">
      <alignment horizontal="center"/>
      <protection/>
    </xf>
    <xf numFmtId="0" fontId="18" fillId="0" borderId="0" xfId="112" applyFont="1">
      <alignment/>
      <protection/>
    </xf>
    <xf numFmtId="0" fontId="5" fillId="0" borderId="0" xfId="112" applyFont="1" applyFill="1">
      <alignment/>
      <protection/>
    </xf>
    <xf numFmtId="0" fontId="5" fillId="0" borderId="0" xfId="112" applyFont="1" applyAlignment="1">
      <alignment horizontal="center"/>
      <protection/>
    </xf>
    <xf numFmtId="37" fontId="4" fillId="0" borderId="0" xfId="111" applyNumberFormat="1" applyFont="1">
      <alignment/>
      <protection/>
    </xf>
    <xf numFmtId="167" fontId="4" fillId="0" borderId="0" xfId="111" applyNumberFormat="1" applyFont="1">
      <alignment/>
      <protection/>
    </xf>
    <xf numFmtId="10" fontId="7" fillId="0" borderId="0" xfId="111" applyFont="1">
      <alignment/>
      <protection/>
    </xf>
    <xf numFmtId="37" fontId="4" fillId="0" borderId="0" xfId="111" applyNumberFormat="1" applyFont="1" applyBorder="1">
      <alignment/>
      <protection/>
    </xf>
    <xf numFmtId="5" fontId="15" fillId="0" borderId="0" xfId="108" applyNumberFormat="1" applyFont="1" applyFill="1">
      <alignment/>
      <protection/>
    </xf>
    <xf numFmtId="5" fontId="4" fillId="0" borderId="0" xfId="108" applyNumberFormat="1" applyFont="1" applyFill="1">
      <alignment/>
      <protection/>
    </xf>
    <xf numFmtId="37" fontId="4" fillId="0" borderId="0" xfId="108" applyFont="1" applyFill="1">
      <alignment/>
      <protection/>
    </xf>
    <xf numFmtId="37" fontId="10" fillId="0" borderId="0" xfId="108" applyFont="1" applyAlignment="1">
      <alignment horizontal="right"/>
      <protection/>
    </xf>
    <xf numFmtId="175" fontId="4" fillId="0" borderId="0" xfId="106" applyNumberFormat="1" applyFont="1">
      <alignment/>
      <protection/>
    </xf>
    <xf numFmtId="0" fontId="36" fillId="0" borderId="0" xfId="106" applyFont="1" applyBorder="1" applyAlignment="1" applyProtection="1">
      <alignment horizontal="centerContinuous" vertical="center" wrapText="1"/>
      <protection/>
    </xf>
    <xf numFmtId="10" fontId="6" fillId="0" borderId="0" xfId="111" applyFont="1" applyAlignment="1">
      <alignment horizontal="centerContinuous"/>
      <protection/>
    </xf>
    <xf numFmtId="10" fontId="36" fillId="0" borderId="0" xfId="111" applyFont="1" applyBorder="1" applyAlignment="1" applyProtection="1">
      <alignment horizontal="centerContinuous" vertical="center" wrapText="1"/>
      <protection/>
    </xf>
    <xf numFmtId="172" fontId="36" fillId="0" borderId="0" xfId="111" applyNumberFormat="1" applyFont="1" applyBorder="1" applyAlignment="1" applyProtection="1">
      <alignment horizontal="centerContinuous" vertical="center" wrapText="1"/>
      <protection/>
    </xf>
    <xf numFmtId="181" fontId="37" fillId="0" borderId="0" xfId="111" applyNumberFormat="1" applyFont="1" applyBorder="1" applyAlignment="1" applyProtection="1">
      <alignment horizontal="centerContinuous" vertical="center" wrapText="1"/>
      <protection/>
    </xf>
    <xf numFmtId="1" fontId="15" fillId="0" borderId="0" xfId="111" applyNumberFormat="1" applyFont="1" applyAlignment="1" applyProtection="1">
      <alignment horizontal="center"/>
      <protection/>
    </xf>
    <xf numFmtId="37" fontId="38" fillId="0" borderId="0" xfId="107" applyFont="1" applyAlignment="1" applyProtection="1">
      <alignment horizontal="center"/>
      <protection/>
    </xf>
    <xf numFmtId="10" fontId="4" fillId="0" borderId="0" xfId="111" applyFont="1" applyAlignment="1">
      <alignment horizontal="center"/>
      <protection/>
    </xf>
    <xf numFmtId="10" fontId="6" fillId="0" borderId="0" xfId="111" applyFont="1" applyAlignment="1">
      <alignment horizontal="center"/>
      <protection/>
    </xf>
    <xf numFmtId="10" fontId="39" fillId="0" borderId="0" xfId="111" applyFont="1" applyAlignment="1" applyProtection="1">
      <alignment horizontal="right"/>
      <protection/>
    </xf>
    <xf numFmtId="10" fontId="6" fillId="0" borderId="0" xfId="111" applyFont="1" applyAlignment="1" applyProtection="1">
      <alignment horizontal="center"/>
      <protection/>
    </xf>
    <xf numFmtId="10" fontId="40" fillId="0" borderId="0" xfId="111" applyFont="1" applyAlignment="1" applyProtection="1">
      <alignment horizontal="center"/>
      <protection/>
    </xf>
    <xf numFmtId="10" fontId="40" fillId="0" borderId="0" xfId="111" applyFont="1" applyAlignment="1" applyProtection="1">
      <alignment horizontal="right"/>
      <protection/>
    </xf>
    <xf numFmtId="10" fontId="4" fillId="0" borderId="0" xfId="111" applyFont="1" applyAlignment="1" applyProtection="1">
      <alignment horizontal="left"/>
      <protection/>
    </xf>
    <xf numFmtId="10" fontId="4" fillId="0" borderId="0" xfId="111" applyFont="1" applyAlignment="1" applyProtection="1">
      <alignment horizontal="left" indent="2"/>
      <protection/>
    </xf>
    <xf numFmtId="5" fontId="4" fillId="0" borderId="0" xfId="69" applyNumberFormat="1" applyFont="1" applyAlignment="1" applyProtection="1">
      <alignment/>
      <protection/>
    </xf>
    <xf numFmtId="165" fontId="4" fillId="0" borderId="0" xfId="111" applyNumberFormat="1" applyFont="1" applyAlignment="1" applyProtection="1">
      <alignment/>
      <protection/>
    </xf>
    <xf numFmtId="10" fontId="4" fillId="0" borderId="0" xfId="111" applyFont="1" applyFill="1" applyAlignment="1" applyProtection="1">
      <alignment/>
      <protection/>
    </xf>
    <xf numFmtId="10" fontId="4" fillId="0" borderId="0" xfId="111" applyNumberFormat="1" applyFont="1" applyAlignment="1" applyProtection="1">
      <alignment/>
      <protection/>
    </xf>
    <xf numFmtId="10" fontId="4" fillId="0" borderId="0" xfId="111" applyFont="1" applyAlignment="1">
      <alignment horizontal="left" indent="2"/>
      <protection/>
    </xf>
    <xf numFmtId="5" fontId="4" fillId="0" borderId="0" xfId="111" applyNumberFormat="1" applyFont="1" applyAlignment="1">
      <alignment/>
      <protection/>
    </xf>
    <xf numFmtId="10" fontId="4" fillId="0" borderId="0" xfId="111" applyFont="1" applyAlignment="1">
      <alignment/>
      <protection/>
    </xf>
    <xf numFmtId="10" fontId="41" fillId="0" borderId="0" xfId="111" applyFont="1" applyBorder="1">
      <alignment/>
      <protection/>
    </xf>
    <xf numFmtId="10" fontId="4" fillId="0" borderId="10" xfId="111" applyFont="1" applyBorder="1" applyAlignment="1">
      <alignment horizontal="left" indent="2"/>
      <protection/>
    </xf>
    <xf numFmtId="5" fontId="4" fillId="0" borderId="10" xfId="111" applyNumberFormat="1" applyFont="1" applyBorder="1" applyAlignment="1">
      <alignment/>
      <protection/>
    </xf>
    <xf numFmtId="165" fontId="4" fillId="0" borderId="10" xfId="111" applyNumberFormat="1" applyFont="1" applyBorder="1" applyAlignment="1" applyProtection="1">
      <alignment/>
      <protection/>
    </xf>
    <xf numFmtId="10" fontId="4" fillId="0" borderId="10" xfId="111" applyFont="1" applyBorder="1" applyAlignment="1">
      <alignment/>
      <protection/>
    </xf>
    <xf numFmtId="10" fontId="4" fillId="0" borderId="10" xfId="111" applyNumberFormat="1" applyFont="1" applyBorder="1" applyAlignment="1" applyProtection="1">
      <alignment/>
      <protection/>
    </xf>
    <xf numFmtId="10" fontId="6" fillId="0" borderId="0" xfId="111" applyFont="1" applyAlignment="1" applyProtection="1">
      <alignment horizontal="left" indent="1"/>
      <protection/>
    </xf>
    <xf numFmtId="10" fontId="6" fillId="0" borderId="0" xfId="111" applyNumberFormat="1" applyFont="1" applyAlignment="1" applyProtection="1">
      <alignment/>
      <protection/>
    </xf>
    <xf numFmtId="5" fontId="4" fillId="0" borderId="0" xfId="111" applyNumberFormat="1" applyFont="1" applyAlignment="1" applyProtection="1">
      <alignment/>
      <protection/>
    </xf>
    <xf numFmtId="165" fontId="59" fillId="0" borderId="0" xfId="111" applyNumberFormat="1" applyFont="1" applyFill="1" applyAlignment="1" applyProtection="1">
      <alignment/>
      <protection/>
    </xf>
    <xf numFmtId="10" fontId="4" fillId="0" borderId="0" xfId="111" applyFont="1" applyBorder="1" applyAlignment="1" applyProtection="1">
      <alignment/>
      <protection/>
    </xf>
    <xf numFmtId="10" fontId="4" fillId="0" borderId="10" xfId="111" applyNumberFormat="1" applyFont="1" applyBorder="1" applyAlignment="1">
      <alignment/>
      <protection/>
    </xf>
    <xf numFmtId="10" fontId="6" fillId="0" borderId="11" xfId="111" applyFont="1" applyBorder="1" applyAlignment="1" applyProtection="1">
      <alignment horizontal="left" indent="1"/>
      <protection/>
    </xf>
    <xf numFmtId="5" fontId="4" fillId="0" borderId="11" xfId="111" applyNumberFormat="1" applyFont="1" applyBorder="1" applyAlignment="1">
      <alignment/>
      <protection/>
    </xf>
    <xf numFmtId="165" fontId="4" fillId="0" borderId="11" xfId="111" applyNumberFormat="1" applyFont="1" applyBorder="1" applyAlignment="1" applyProtection="1">
      <alignment/>
      <protection/>
    </xf>
    <xf numFmtId="10" fontId="4" fillId="0" borderId="11" xfId="111" applyFont="1" applyBorder="1" applyAlignment="1">
      <alignment/>
      <protection/>
    </xf>
    <xf numFmtId="10" fontId="6" fillId="0" borderId="11" xfId="111" applyNumberFormat="1" applyFont="1" applyBorder="1" applyAlignment="1" applyProtection="1">
      <alignment/>
      <protection/>
    </xf>
    <xf numFmtId="10" fontId="6" fillId="0" borderId="0" xfId="111" applyFont="1" applyAlignment="1" applyProtection="1">
      <alignment horizontal="left"/>
      <protection/>
    </xf>
    <xf numFmtId="5" fontId="6" fillId="0" borderId="0" xfId="111" applyNumberFormat="1" applyFont="1" applyAlignment="1">
      <alignment/>
      <protection/>
    </xf>
    <xf numFmtId="165" fontId="6" fillId="0" borderId="0" xfId="111" applyNumberFormat="1" applyFont="1" applyAlignment="1" applyProtection="1">
      <alignment/>
      <protection/>
    </xf>
    <xf numFmtId="10" fontId="6" fillId="0" borderId="0" xfId="111" applyNumberFormat="1" applyFont="1" applyAlignment="1">
      <alignment/>
      <protection/>
    </xf>
    <xf numFmtId="5" fontId="40" fillId="0" borderId="0" xfId="111" applyNumberFormat="1" applyFont="1" applyBorder="1" applyAlignment="1" applyProtection="1">
      <alignment/>
      <protection/>
    </xf>
    <xf numFmtId="165" fontId="40" fillId="0" borderId="0" xfId="111" applyNumberFormat="1" applyFont="1" applyFill="1" applyAlignment="1" applyProtection="1">
      <alignment/>
      <protection/>
    </xf>
    <xf numFmtId="10" fontId="42" fillId="0" borderId="0" xfId="111" applyNumberFormat="1" applyFont="1" applyFill="1" applyBorder="1" applyAlignment="1" applyProtection="1">
      <alignment/>
      <protection/>
    </xf>
    <xf numFmtId="10" fontId="40" fillId="0" borderId="0" xfId="111" applyNumberFormat="1" applyFont="1" applyAlignment="1" applyProtection="1">
      <alignment/>
      <protection/>
    </xf>
    <xf numFmtId="182" fontId="42" fillId="0" borderId="0" xfId="111" applyNumberFormat="1" applyFont="1" applyBorder="1" applyAlignment="1">
      <alignment horizontal="center"/>
      <protection/>
    </xf>
    <xf numFmtId="37" fontId="4" fillId="0" borderId="0" xfId="111" applyNumberFormat="1" applyFont="1" applyBorder="1" applyAlignment="1">
      <alignment horizontal="center"/>
      <protection/>
    </xf>
    <xf numFmtId="10" fontId="42" fillId="0" borderId="0" xfId="111" applyFont="1" applyBorder="1" applyAlignment="1" applyProtection="1">
      <alignment/>
      <protection/>
    </xf>
    <xf numFmtId="5" fontId="43" fillId="0" borderId="0" xfId="111" applyNumberFormat="1" applyFont="1" applyBorder="1" applyAlignment="1" applyProtection="1">
      <alignment/>
      <protection/>
    </xf>
    <xf numFmtId="10" fontId="43" fillId="0" borderId="0" xfId="111" applyFont="1" applyBorder="1" applyAlignment="1">
      <alignment/>
      <protection/>
    </xf>
    <xf numFmtId="10" fontId="43" fillId="0" borderId="0" xfId="111" applyNumberFormat="1" applyFont="1" applyBorder="1" applyAlignment="1" applyProtection="1">
      <alignment/>
      <protection/>
    </xf>
    <xf numFmtId="10" fontId="4" fillId="0" borderId="0" xfId="111" applyNumberFormat="1" applyFont="1" applyBorder="1" applyAlignment="1" applyProtection="1">
      <alignment/>
      <protection/>
    </xf>
    <xf numFmtId="38" fontId="4" fillId="0" borderId="0" xfId="111" applyNumberFormat="1" applyFont="1">
      <alignment/>
      <protection/>
    </xf>
    <xf numFmtId="10" fontId="14" fillId="0" borderId="0" xfId="111" applyFont="1" applyAlignment="1" applyProtection="1">
      <alignment horizontal="left"/>
      <protection/>
    </xf>
    <xf numFmtId="5" fontId="4" fillId="0" borderId="0" xfId="111" applyNumberFormat="1" applyFont="1">
      <alignment/>
      <protection/>
    </xf>
    <xf numFmtId="0" fontId="38" fillId="0" borderId="0" xfId="106" applyFont="1" applyAlignment="1" applyProtection="1">
      <alignment horizontal="centerContinuous"/>
      <protection/>
    </xf>
    <xf numFmtId="1" fontId="13" fillId="0" borderId="0" xfId="111" applyNumberFormat="1" applyFont="1" applyAlignment="1" applyProtection="1">
      <alignment horizontal="center"/>
      <protection/>
    </xf>
    <xf numFmtId="37" fontId="38" fillId="0" borderId="0" xfId="107" applyFont="1" applyFill="1" applyAlignment="1" applyProtection="1">
      <alignment horizontal="center"/>
      <protection/>
    </xf>
    <xf numFmtId="0" fontId="45" fillId="0" borderId="0" xfId="106" applyFont="1" applyAlignment="1">
      <alignment horizontal="left"/>
      <protection/>
    </xf>
    <xf numFmtId="17" fontId="46" fillId="0" borderId="0" xfId="106" applyNumberFormat="1" applyFont="1" applyFill="1" applyAlignment="1" applyProtection="1">
      <alignment horizontal="center"/>
      <protection/>
    </xf>
    <xf numFmtId="0" fontId="47" fillId="0" borderId="0" xfId="106" applyFont="1" applyAlignment="1" applyProtection="1">
      <alignment horizontal="center" wrapText="1"/>
      <protection/>
    </xf>
    <xf numFmtId="0" fontId="48" fillId="0" borderId="0" xfId="106" applyFont="1" applyAlignment="1" applyProtection="1">
      <alignment horizontal="center" wrapText="1"/>
      <protection/>
    </xf>
    <xf numFmtId="17" fontId="48" fillId="0" borderId="0" xfId="106" applyNumberFormat="1" applyFont="1" applyFill="1" applyAlignment="1" applyProtection="1">
      <alignment horizontal="center"/>
      <protection/>
    </xf>
    <xf numFmtId="0" fontId="15" fillId="0" borderId="0" xfId="106" applyFont="1">
      <alignment/>
      <protection/>
    </xf>
    <xf numFmtId="164" fontId="49" fillId="0" borderId="10" xfId="106" applyNumberFormat="1" applyFont="1" applyFill="1" applyBorder="1" applyProtection="1">
      <alignment/>
      <protection/>
    </xf>
    <xf numFmtId="43" fontId="49" fillId="0" borderId="10" xfId="69" applyFont="1" applyFill="1" applyBorder="1" applyAlignment="1" applyProtection="1">
      <alignment/>
      <protection/>
    </xf>
    <xf numFmtId="176" fontId="49" fillId="0" borderId="0" xfId="106" applyNumberFormat="1" applyFont="1" applyFill="1" applyProtection="1">
      <alignment/>
      <protection/>
    </xf>
    <xf numFmtId="175" fontId="50" fillId="0" borderId="12" xfId="106" applyNumberFormat="1" applyFont="1" applyFill="1" applyBorder="1" applyProtection="1">
      <alignment/>
      <protection/>
    </xf>
    <xf numFmtId="0" fontId="38" fillId="0" borderId="0" xfId="106" applyFont="1" applyAlignment="1" applyProtection="1">
      <alignment horizontal="left"/>
      <protection/>
    </xf>
    <xf numFmtId="164" fontId="15" fillId="0" borderId="0" xfId="106" applyNumberFormat="1" applyFont="1" applyFill="1" applyBorder="1" applyProtection="1">
      <alignment/>
      <protection/>
    </xf>
    <xf numFmtId="43" fontId="15" fillId="0" borderId="0" xfId="69" applyFont="1" applyFill="1" applyAlignment="1" applyProtection="1">
      <alignment/>
      <protection/>
    </xf>
    <xf numFmtId="164" fontId="47" fillId="2" borderId="13" xfId="106" applyNumberFormat="1" applyFont="1" applyFill="1" applyBorder="1" applyProtection="1">
      <alignment/>
      <protection/>
    </xf>
    <xf numFmtId="175" fontId="50" fillId="0" borderId="0" xfId="106" applyNumberFormat="1" applyFont="1" applyFill="1" applyProtection="1">
      <alignment/>
      <protection/>
    </xf>
    <xf numFmtId="164" fontId="50" fillId="0" borderId="0" xfId="106" applyNumberFormat="1" applyFont="1" applyFill="1" applyProtection="1">
      <alignment/>
      <protection/>
    </xf>
    <xf numFmtId="0" fontId="15" fillId="0" borderId="0" xfId="106" applyFont="1" applyAlignment="1" applyProtection="1">
      <alignment horizontal="left"/>
      <protection/>
    </xf>
    <xf numFmtId="164" fontId="15" fillId="0" borderId="0" xfId="106" applyNumberFormat="1" applyFont="1" applyFill="1" applyProtection="1">
      <alignment/>
      <protection/>
    </xf>
    <xf numFmtId="164" fontId="49" fillId="0" borderId="0" xfId="106" applyNumberFormat="1" applyFont="1" applyFill="1" applyProtection="1">
      <alignment/>
      <protection/>
    </xf>
    <xf numFmtId="175" fontId="49" fillId="0" borderId="0" xfId="106" applyNumberFormat="1" applyFont="1" applyFill="1" applyProtection="1">
      <alignment/>
      <protection/>
    </xf>
    <xf numFmtId="164" fontId="50" fillId="0" borderId="12" xfId="106" applyNumberFormat="1" applyFont="1" applyFill="1" applyBorder="1" applyProtection="1">
      <alignment/>
      <protection/>
    </xf>
    <xf numFmtId="175" fontId="47" fillId="0" borderId="12" xfId="106" applyNumberFormat="1" applyFont="1" applyFill="1" applyBorder="1" applyProtection="1">
      <alignment/>
      <protection/>
    </xf>
    <xf numFmtId="164" fontId="50" fillId="0" borderId="14" xfId="106" applyNumberFormat="1" applyFont="1" applyFill="1" applyBorder="1" applyProtection="1">
      <alignment/>
      <protection/>
    </xf>
    <xf numFmtId="164" fontId="50" fillId="0" borderId="0" xfId="106" applyNumberFormat="1" applyFont="1" applyFill="1" applyBorder="1" applyProtection="1">
      <alignment/>
      <protection/>
    </xf>
    <xf numFmtId="175" fontId="50" fillId="0" borderId="10" xfId="106" applyNumberFormat="1" applyFont="1" applyFill="1" applyBorder="1" applyProtection="1">
      <alignment/>
      <protection/>
    </xf>
    <xf numFmtId="175" fontId="50" fillId="0" borderId="0" xfId="106" applyNumberFormat="1" applyFont="1" applyFill="1" applyBorder="1" applyProtection="1">
      <alignment/>
      <protection/>
    </xf>
    <xf numFmtId="175" fontId="47" fillId="2" borderId="13" xfId="106" applyNumberFormat="1" applyFont="1" applyFill="1" applyBorder="1" applyProtection="1">
      <alignment/>
      <protection/>
    </xf>
    <xf numFmtId="175" fontId="50" fillId="0" borderId="15" xfId="106" applyNumberFormat="1" applyFont="1" applyFill="1" applyBorder="1" applyProtection="1">
      <alignment/>
      <protection/>
    </xf>
    <xf numFmtId="164" fontId="50" fillId="0" borderId="16" xfId="106" applyNumberFormat="1" applyFont="1" applyFill="1" applyBorder="1" applyProtection="1">
      <alignment/>
      <protection/>
    </xf>
    <xf numFmtId="164" fontId="47" fillId="0" borderId="17" xfId="106" applyNumberFormat="1" applyFont="1" applyFill="1" applyBorder="1" applyProtection="1">
      <alignment/>
      <protection/>
    </xf>
    <xf numFmtId="164" fontId="50" fillId="0" borderId="18" xfId="106" applyNumberFormat="1" applyFont="1" applyFill="1" applyBorder="1" applyProtection="1">
      <alignment/>
      <protection/>
    </xf>
    <xf numFmtId="37" fontId="15" fillId="0" borderId="0" xfId="109" applyFont="1" applyBorder="1" applyAlignment="1" applyProtection="1">
      <alignment horizontal="left"/>
      <protection/>
    </xf>
    <xf numFmtId="165" fontId="50" fillId="0" borderId="0" xfId="106" applyNumberFormat="1" applyFont="1" applyFill="1" applyProtection="1">
      <alignment/>
      <protection/>
    </xf>
    <xf numFmtId="165" fontId="50" fillId="0" borderId="12" xfId="106" applyNumberFormat="1" applyFont="1" applyFill="1" applyBorder="1" applyProtection="1">
      <alignment/>
      <protection/>
    </xf>
    <xf numFmtId="165" fontId="50" fillId="0" borderId="10" xfId="106" applyNumberFormat="1" applyFont="1" applyFill="1" applyBorder="1" applyProtection="1">
      <alignment/>
      <protection/>
    </xf>
    <xf numFmtId="165" fontId="50" fillId="0" borderId="15" xfId="106" applyNumberFormat="1" applyFont="1" applyFill="1" applyBorder="1" applyProtection="1">
      <alignment/>
      <protection/>
    </xf>
    <xf numFmtId="1" fontId="13" fillId="0" borderId="0" xfId="111" applyNumberFormat="1" applyFont="1" applyFill="1" applyAlignment="1" applyProtection="1">
      <alignment horizontal="center"/>
      <protection/>
    </xf>
    <xf numFmtId="0" fontId="50" fillId="0" borderId="0" xfId="106" applyFont="1" applyFill="1">
      <alignment/>
      <protection/>
    </xf>
    <xf numFmtId="165" fontId="50" fillId="0" borderId="0" xfId="106" applyNumberFormat="1" applyFont="1" applyFill="1">
      <alignment/>
      <protection/>
    </xf>
    <xf numFmtId="0" fontId="50" fillId="0" borderId="12" xfId="106" applyFont="1" applyFill="1" applyBorder="1">
      <alignment/>
      <protection/>
    </xf>
    <xf numFmtId="165" fontId="50" fillId="0" borderId="19" xfId="106" applyNumberFormat="1" applyFont="1" applyFill="1" applyBorder="1" applyProtection="1">
      <alignment/>
      <protection/>
    </xf>
    <xf numFmtId="165" fontId="50" fillId="0" borderId="20" xfId="106" applyNumberFormat="1" applyFont="1" applyFill="1" applyBorder="1" applyProtection="1">
      <alignment/>
      <protection/>
    </xf>
    <xf numFmtId="10" fontId="50" fillId="0" borderId="0" xfId="117" applyNumberFormat="1" applyFont="1" applyFill="1" applyBorder="1" applyAlignment="1" applyProtection="1">
      <alignment/>
      <protection/>
    </xf>
    <xf numFmtId="184" fontId="50" fillId="0" borderId="0" xfId="106" applyNumberFormat="1" applyFont="1" applyFill="1" applyBorder="1" applyProtection="1">
      <alignment/>
      <protection/>
    </xf>
    <xf numFmtId="164" fontId="49" fillId="0" borderId="0" xfId="106" applyNumberFormat="1" applyFont="1" applyFill="1" applyBorder="1" applyProtection="1">
      <alignment/>
      <protection/>
    </xf>
    <xf numFmtId="175" fontId="47" fillId="0" borderId="0" xfId="106" applyNumberFormat="1" applyFont="1" applyFill="1" applyBorder="1" applyProtection="1">
      <alignment/>
      <protection/>
    </xf>
    <xf numFmtId="0" fontId="49" fillId="0" borderId="0" xfId="106" applyFont="1" applyFill="1">
      <alignment/>
      <protection/>
    </xf>
    <xf numFmtId="164" fontId="49" fillId="0" borderId="0" xfId="106" applyNumberFormat="1" applyFont="1" applyFill="1">
      <alignment/>
      <protection/>
    </xf>
    <xf numFmtId="5" fontId="50" fillId="0" borderId="0" xfId="106" applyNumberFormat="1" applyFont="1" applyFill="1" applyProtection="1">
      <alignment/>
      <protection/>
    </xf>
    <xf numFmtId="175" fontId="49" fillId="0" borderId="0" xfId="106" applyNumberFormat="1" applyFont="1" applyFill="1" applyBorder="1" applyProtection="1">
      <alignment/>
      <protection/>
    </xf>
    <xf numFmtId="0" fontId="15" fillId="0" borderId="11" xfId="106" applyFont="1" applyBorder="1" applyAlignment="1" applyProtection="1">
      <alignment horizontal="left"/>
      <protection/>
    </xf>
    <xf numFmtId="164" fontId="15" fillId="0" borderId="11" xfId="106" applyNumberFormat="1" applyFont="1" applyFill="1" applyBorder="1" applyProtection="1">
      <alignment/>
      <protection/>
    </xf>
    <xf numFmtId="0" fontId="15" fillId="0" borderId="0" xfId="106" applyFont="1" applyBorder="1" applyAlignment="1" applyProtection="1">
      <alignment horizontal="left"/>
      <protection/>
    </xf>
    <xf numFmtId="0" fontId="15" fillId="0" borderId="0" xfId="106" applyFont="1" applyBorder="1" applyAlignment="1" applyProtection="1">
      <alignment horizontal="left" indent="1"/>
      <protection/>
    </xf>
    <xf numFmtId="0" fontId="15" fillId="0" borderId="11" xfId="106" applyFont="1" applyBorder="1" applyAlignment="1" applyProtection="1">
      <alignment horizontal="left" indent="2"/>
      <protection/>
    </xf>
    <xf numFmtId="175" fontId="15" fillId="0" borderId="11" xfId="106" applyNumberFormat="1" applyFont="1" applyFill="1" applyBorder="1" applyProtection="1">
      <alignment/>
      <protection/>
    </xf>
    <xf numFmtId="175" fontId="15" fillId="0" borderId="0" xfId="106" applyNumberFormat="1" applyFont="1" applyFill="1" applyBorder="1" applyProtection="1">
      <alignment/>
      <protection/>
    </xf>
    <xf numFmtId="5" fontId="50" fillId="0" borderId="0" xfId="106" applyNumberFormat="1" applyFont="1" applyProtection="1">
      <alignment/>
      <protection/>
    </xf>
    <xf numFmtId="179" fontId="49" fillId="0" borderId="0" xfId="106" applyNumberFormat="1" applyFont="1" applyFill="1" applyBorder="1" applyProtection="1">
      <alignment/>
      <protection/>
    </xf>
    <xf numFmtId="0" fontId="6" fillId="0" borderId="0" xfId="112" applyFont="1" applyFill="1" applyBorder="1" applyAlignment="1" applyProtection="1" quotePrefix="1">
      <alignment horizontal="centerContinuous" vertical="center" wrapText="1"/>
      <protection/>
    </xf>
    <xf numFmtId="0" fontId="14" fillId="0" borderId="0" xfId="112" applyFont="1" applyFill="1" applyBorder="1" applyAlignment="1" applyProtection="1" quotePrefix="1">
      <alignment horizontal="centerContinuous" vertical="center" wrapText="1"/>
      <protection/>
    </xf>
    <xf numFmtId="181" fontId="6" fillId="0" borderId="0" xfId="112" applyNumberFormat="1" applyFont="1" applyFill="1" applyBorder="1" applyAlignment="1" applyProtection="1" quotePrefix="1">
      <alignment horizontal="centerContinuous" vertical="center" wrapText="1"/>
      <protection/>
    </xf>
    <xf numFmtId="172" fontId="46" fillId="0" borderId="0" xfId="112" applyNumberFormat="1" applyFont="1" applyFill="1" applyBorder="1" applyAlignment="1" applyProtection="1" quotePrefix="1">
      <alignment horizontal="centerContinuous" vertical="center" wrapText="1"/>
      <protection/>
    </xf>
    <xf numFmtId="37" fontId="6" fillId="0" borderId="0" xfId="107" applyFont="1" applyAlignment="1" applyProtection="1">
      <alignment horizontal="center"/>
      <protection/>
    </xf>
    <xf numFmtId="37" fontId="6" fillId="0" borderId="0" xfId="107" applyFont="1">
      <alignment/>
      <protection/>
    </xf>
    <xf numFmtId="37" fontId="40" fillId="0" borderId="0" xfId="107" applyFont="1" applyAlignment="1" applyProtection="1">
      <alignment horizontal="center"/>
      <protection/>
    </xf>
    <xf numFmtId="37" fontId="4" fillId="0" borderId="0" xfId="107" applyFont="1" applyAlignment="1" applyProtection="1">
      <alignment horizontal="fill"/>
      <protection/>
    </xf>
    <xf numFmtId="5" fontId="4" fillId="0" borderId="0" xfId="107" applyNumberFormat="1" applyFont="1" applyProtection="1">
      <alignment/>
      <protection/>
    </xf>
    <xf numFmtId="10" fontId="8" fillId="0" borderId="0" xfId="107" applyNumberFormat="1" applyFont="1" applyProtection="1">
      <alignment/>
      <protection/>
    </xf>
    <xf numFmtId="5" fontId="8" fillId="0" borderId="0" xfId="107" applyNumberFormat="1" applyFont="1">
      <alignment/>
      <protection/>
    </xf>
    <xf numFmtId="168" fontId="8" fillId="0" borderId="0" xfId="107" applyNumberFormat="1" applyFont="1" applyAlignment="1" applyProtection="1">
      <alignment horizontal="right"/>
      <protection/>
    </xf>
    <xf numFmtId="37" fontId="4" fillId="0" borderId="0" xfId="107" applyFont="1" applyAlignment="1">
      <alignment horizontal="left" indent="1"/>
      <protection/>
    </xf>
    <xf numFmtId="5" fontId="8" fillId="0" borderId="14" xfId="107" applyNumberFormat="1" applyFont="1" applyBorder="1">
      <alignment/>
      <protection/>
    </xf>
    <xf numFmtId="10" fontId="8" fillId="0" borderId="14" xfId="107" applyNumberFormat="1" applyFont="1" applyBorder="1" applyProtection="1">
      <alignment/>
      <protection/>
    </xf>
    <xf numFmtId="5" fontId="4" fillId="0" borderId="14" xfId="107" applyNumberFormat="1" applyFont="1" applyBorder="1" applyProtection="1">
      <alignment/>
      <protection/>
    </xf>
    <xf numFmtId="170" fontId="8" fillId="0" borderId="0" xfId="69" applyNumberFormat="1" applyFont="1" applyAlignment="1">
      <alignment/>
    </xf>
    <xf numFmtId="168" fontId="8" fillId="0" borderId="0" xfId="107" applyNumberFormat="1" applyFont="1">
      <alignment/>
      <protection/>
    </xf>
    <xf numFmtId="5" fontId="4" fillId="0" borderId="0" xfId="107" applyNumberFormat="1" applyFont="1">
      <alignment/>
      <protection/>
    </xf>
    <xf numFmtId="37" fontId="6" fillId="0" borderId="21" xfId="107" applyFont="1" applyBorder="1" applyAlignment="1" applyProtection="1">
      <alignment horizontal="left"/>
      <protection/>
    </xf>
    <xf numFmtId="5" fontId="6" fillId="0" borderId="11" xfId="107" applyNumberFormat="1" applyFont="1" applyBorder="1" applyProtection="1">
      <alignment/>
      <protection/>
    </xf>
    <xf numFmtId="5" fontId="6" fillId="0" borderId="11" xfId="107" applyNumberFormat="1" applyFont="1" applyBorder="1">
      <alignment/>
      <protection/>
    </xf>
    <xf numFmtId="10" fontId="6" fillId="2" borderId="13" xfId="107" applyNumberFormat="1" applyFont="1" applyFill="1" applyBorder="1" applyAlignment="1" applyProtection="1">
      <alignment horizontal="right"/>
      <protection/>
    </xf>
    <xf numFmtId="37" fontId="14" fillId="0" borderId="0" xfId="107" applyFont="1" applyAlignment="1" applyProtection="1">
      <alignment horizontal="left"/>
      <protection/>
    </xf>
    <xf numFmtId="37" fontId="13" fillId="0" borderId="0" xfId="107" applyFont="1" applyAlignment="1" applyProtection="1">
      <alignment horizontal="left"/>
      <protection/>
    </xf>
    <xf numFmtId="37" fontId="14" fillId="0" borderId="0" xfId="0" applyFont="1" applyAlignment="1">
      <alignment horizontal="center"/>
    </xf>
    <xf numFmtId="37" fontId="13" fillId="0" borderId="0" xfId="0" applyFont="1" applyAlignment="1">
      <alignment/>
    </xf>
    <xf numFmtId="37" fontId="15" fillId="0" borderId="0" xfId="0" applyFont="1" applyAlignment="1">
      <alignment/>
    </xf>
    <xf numFmtId="37" fontId="14" fillId="0" borderId="0" xfId="0" applyFont="1" applyAlignment="1">
      <alignment/>
    </xf>
    <xf numFmtId="166" fontId="14" fillId="0" borderId="0" xfId="0" applyNumberFormat="1" applyFont="1" applyAlignment="1">
      <alignment horizontal="left"/>
    </xf>
    <xf numFmtId="37" fontId="15" fillId="0" borderId="0" xfId="107" applyFont="1" applyAlignment="1" applyProtection="1">
      <alignment horizontal="center"/>
      <protection/>
    </xf>
    <xf numFmtId="37" fontId="6" fillId="0" borderId="0" xfId="107" applyFont="1" applyBorder="1" applyAlignment="1" applyProtection="1">
      <alignment horizontal="center"/>
      <protection/>
    </xf>
    <xf numFmtId="37" fontId="51" fillId="0" borderId="22" xfId="0" applyFont="1" applyFill="1" applyBorder="1" applyAlignment="1">
      <alignment/>
    </xf>
    <xf numFmtId="37" fontId="13" fillId="0" borderId="23" xfId="0" applyFont="1" applyFill="1" applyBorder="1" applyAlignment="1">
      <alignment/>
    </xf>
    <xf numFmtId="37" fontId="15" fillId="0" borderId="23" xfId="0" applyFont="1" applyBorder="1" applyAlignment="1">
      <alignment/>
    </xf>
    <xf numFmtId="37" fontId="15" fillId="0" borderId="24" xfId="0" applyFont="1" applyBorder="1" applyAlignment="1">
      <alignment/>
    </xf>
    <xf numFmtId="37" fontId="13" fillId="0" borderId="25" xfId="0" applyFont="1" applyFill="1" applyBorder="1" applyAlignment="1">
      <alignment/>
    </xf>
    <xf numFmtId="37" fontId="13" fillId="0" borderId="0" xfId="0" applyFont="1" applyFill="1" applyBorder="1" applyAlignment="1">
      <alignment/>
    </xf>
    <xf numFmtId="37" fontId="13" fillId="0" borderId="26" xfId="0" applyFont="1" applyBorder="1" applyAlignment="1">
      <alignment/>
    </xf>
    <xf numFmtId="37" fontId="13" fillId="0" borderId="0" xfId="0" applyFont="1" applyFill="1" applyBorder="1" applyAlignment="1">
      <alignment horizontal="center"/>
    </xf>
    <xf numFmtId="178" fontId="13" fillId="0" borderId="0" xfId="117" applyNumberFormat="1" applyFont="1" applyAlignment="1">
      <alignment/>
    </xf>
    <xf numFmtId="37" fontId="52" fillId="0" borderId="0" xfId="0" applyFont="1" applyFill="1" applyBorder="1" applyAlignment="1">
      <alignment horizontal="center"/>
    </xf>
    <xf numFmtId="37" fontId="52" fillId="0" borderId="0" xfId="0" applyFont="1" applyBorder="1" applyAlignment="1">
      <alignment horizontal="center"/>
    </xf>
    <xf numFmtId="37" fontId="15" fillId="0" borderId="0" xfId="0" applyFont="1" applyBorder="1" applyAlignment="1">
      <alignment/>
    </xf>
    <xf numFmtId="37" fontId="15" fillId="0" borderId="0" xfId="0" applyFont="1" applyFill="1" applyBorder="1" applyAlignment="1">
      <alignment/>
    </xf>
    <xf numFmtId="5" fontId="53" fillId="0" borderId="0" xfId="74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 horizontal="center"/>
    </xf>
    <xf numFmtId="5" fontId="53" fillId="0" borderId="0" xfId="69" applyNumberFormat="1" applyFont="1" applyFill="1" applyBorder="1" applyAlignment="1">
      <alignment/>
    </xf>
    <xf numFmtId="180" fontId="54" fillId="0" borderId="0" xfId="0" applyNumberFormat="1" applyFont="1" applyFill="1" applyBorder="1" applyAlignment="1">
      <alignment horizontal="left" indent="1"/>
    </xf>
    <xf numFmtId="168" fontId="13" fillId="0" borderId="0" xfId="0" applyNumberFormat="1" applyFont="1" applyFill="1" applyBorder="1" applyAlignment="1">
      <alignment horizontal="center"/>
    </xf>
    <xf numFmtId="180" fontId="53" fillId="0" borderId="0" xfId="0" applyNumberFormat="1" applyFont="1" applyFill="1" applyBorder="1" applyAlignment="1">
      <alignment/>
    </xf>
    <xf numFmtId="170" fontId="13" fillId="0" borderId="0" xfId="69" applyNumberFormat="1" applyFont="1" applyFill="1" applyBorder="1" applyAlignment="1">
      <alignment/>
    </xf>
    <xf numFmtId="168" fontId="53" fillId="0" borderId="0" xfId="117" applyNumberFormat="1" applyFont="1" applyFill="1" applyBorder="1" applyAlignment="1">
      <alignment/>
    </xf>
    <xf numFmtId="37" fontId="14" fillId="0" borderId="25" xfId="0" applyFont="1" applyFill="1" applyBorder="1" applyAlignment="1">
      <alignment horizontal="left" indent="1"/>
    </xf>
    <xf numFmtId="5" fontId="13" fillId="0" borderId="16" xfId="69" applyNumberFormat="1" applyFont="1" applyFill="1" applyBorder="1" applyAlignment="1">
      <alignment/>
    </xf>
    <xf numFmtId="5" fontId="14" fillId="0" borderId="16" xfId="69" applyNumberFormat="1" applyFont="1" applyFill="1" applyBorder="1" applyAlignment="1">
      <alignment/>
    </xf>
    <xf numFmtId="10" fontId="13" fillId="0" borderId="16" xfId="117" applyNumberFormat="1" applyFont="1" applyFill="1" applyBorder="1" applyAlignment="1">
      <alignment horizontal="center"/>
    </xf>
    <xf numFmtId="5" fontId="13" fillId="0" borderId="0" xfId="69" applyNumberFormat="1" applyFont="1" applyFill="1" applyBorder="1" applyAlignment="1">
      <alignment/>
    </xf>
    <xf numFmtId="5" fontId="14" fillId="0" borderId="0" xfId="69" applyNumberFormat="1" applyFont="1" applyFill="1" applyBorder="1" applyAlignment="1">
      <alignment/>
    </xf>
    <xf numFmtId="168" fontId="13" fillId="0" borderId="0" xfId="117" applyNumberFormat="1" applyFont="1" applyFill="1" applyBorder="1" applyAlignment="1">
      <alignment horizontal="center"/>
    </xf>
    <xf numFmtId="0" fontId="14" fillId="0" borderId="25" xfId="112" applyFont="1" applyFill="1" applyBorder="1" applyAlignment="1" applyProtection="1" quotePrefix="1">
      <alignment horizontal="left"/>
      <protection/>
    </xf>
    <xf numFmtId="44" fontId="55" fillId="0" borderId="0" xfId="74" applyFont="1" applyFill="1" applyBorder="1" applyAlignment="1">
      <alignment/>
    </xf>
    <xf numFmtId="167" fontId="55" fillId="0" borderId="0" xfId="0" applyNumberFormat="1" applyFont="1" applyFill="1" applyBorder="1" applyAlignment="1">
      <alignment/>
    </xf>
    <xf numFmtId="10" fontId="55" fillId="0" borderId="0" xfId="117" applyNumberFormat="1" applyFont="1" applyFill="1" applyBorder="1" applyAlignment="1">
      <alignment/>
    </xf>
    <xf numFmtId="37" fontId="38" fillId="0" borderId="27" xfId="0" applyFont="1" applyFill="1" applyBorder="1" applyAlignment="1">
      <alignment/>
    </xf>
    <xf numFmtId="37" fontId="13" fillId="0" borderId="28" xfId="0" applyFont="1" applyFill="1" applyBorder="1" applyAlignment="1">
      <alignment/>
    </xf>
    <xf numFmtId="37" fontId="13" fillId="0" borderId="28" xfId="0" applyFont="1" applyBorder="1" applyAlignment="1">
      <alignment/>
    </xf>
    <xf numFmtId="37" fontId="13" fillId="0" borderId="29" xfId="0" applyFont="1" applyBorder="1" applyAlignment="1">
      <alignment/>
    </xf>
    <xf numFmtId="37" fontId="13" fillId="0" borderId="23" xfId="0" applyFont="1" applyBorder="1" applyAlignment="1">
      <alignment horizontal="centerContinuous"/>
    </xf>
    <xf numFmtId="37" fontId="13" fillId="0" borderId="24" xfId="0" applyFont="1" applyBorder="1" applyAlignment="1">
      <alignment horizontal="centerContinuous"/>
    </xf>
    <xf numFmtId="37" fontId="14" fillId="0" borderId="25" xfId="0" applyFont="1" applyFill="1" applyBorder="1" applyAlignment="1">
      <alignment horizontal="left"/>
    </xf>
    <xf numFmtId="37" fontId="14" fillId="0" borderId="0" xfId="0" applyFont="1" applyFill="1" applyBorder="1" applyAlignment="1">
      <alignment horizontal="left"/>
    </xf>
    <xf numFmtId="37" fontId="13" fillId="0" borderId="0" xfId="0" applyFont="1" applyAlignment="1">
      <alignment horizontal="center"/>
    </xf>
    <xf numFmtId="170" fontId="13" fillId="0" borderId="0" xfId="69" applyNumberFormat="1" applyFont="1" applyBorder="1" applyAlignment="1">
      <alignment/>
    </xf>
    <xf numFmtId="37" fontId="15" fillId="0" borderId="26" xfId="0" applyFont="1" applyBorder="1" applyAlignment="1">
      <alignment/>
    </xf>
    <xf numFmtId="37" fontId="13" fillId="0" borderId="0" xfId="0" applyFont="1" applyBorder="1" applyAlignment="1">
      <alignment horizontal="center"/>
    </xf>
    <xf numFmtId="37" fontId="15" fillId="0" borderId="25" xfId="0" applyFont="1" applyBorder="1" applyAlignment="1">
      <alignment/>
    </xf>
    <xf numFmtId="37" fontId="52" fillId="0" borderId="0" xfId="0" applyFont="1" applyBorder="1" applyAlignment="1">
      <alignment horizontal="right"/>
    </xf>
    <xf numFmtId="170" fontId="13" fillId="0" borderId="26" xfId="69" applyNumberFormat="1" applyFont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69" fontId="53" fillId="0" borderId="0" xfId="0" applyNumberFormat="1" applyFont="1" applyFill="1" applyBorder="1" applyAlignment="1">
      <alignment horizontal="center"/>
    </xf>
    <xf numFmtId="5" fontId="13" fillId="0" borderId="0" xfId="74" applyNumberFormat="1" applyFont="1" applyFill="1" applyBorder="1" applyAlignment="1">
      <alignment/>
    </xf>
    <xf numFmtId="168" fontId="53" fillId="0" borderId="0" xfId="0" applyNumberFormat="1" applyFont="1" applyFill="1" applyBorder="1" applyAlignment="1">
      <alignment horizontal="center"/>
    </xf>
    <xf numFmtId="14" fontId="13" fillId="0" borderId="25" xfId="0" applyNumberFormat="1" applyFont="1" applyFill="1" applyBorder="1" applyAlignment="1">
      <alignment horizontal="left" indent="1"/>
    </xf>
    <xf numFmtId="14" fontId="13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center"/>
    </xf>
    <xf numFmtId="5" fontId="13" fillId="0" borderId="16" xfId="74" applyNumberFormat="1" applyFont="1" applyBorder="1" applyAlignment="1">
      <alignment/>
    </xf>
    <xf numFmtId="37" fontId="38" fillId="0" borderId="26" xfId="0" applyFont="1" applyBorder="1" applyAlignment="1">
      <alignment/>
    </xf>
    <xf numFmtId="5" fontId="13" fillId="0" borderId="0" xfId="74" applyNumberFormat="1" applyFont="1" applyBorder="1" applyAlignment="1">
      <alignment/>
    </xf>
    <xf numFmtId="14" fontId="13" fillId="0" borderId="25" xfId="0" applyNumberFormat="1" applyFont="1" applyFill="1" applyBorder="1" applyAlignment="1">
      <alignment/>
    </xf>
    <xf numFmtId="170" fontId="13" fillId="0" borderId="0" xfId="74" applyNumberFormat="1" applyFont="1" applyBorder="1" applyAlignment="1">
      <alignment/>
    </xf>
    <xf numFmtId="14" fontId="14" fillId="0" borderId="25" xfId="0" applyNumberFormat="1" applyFont="1" applyFill="1" applyBorder="1" applyAlignment="1">
      <alignment/>
    </xf>
    <xf numFmtId="37" fontId="13" fillId="0" borderId="0" xfId="0" applyFont="1" applyAlignment="1">
      <alignment horizontal="right"/>
    </xf>
    <xf numFmtId="1" fontId="53" fillId="0" borderId="0" xfId="0" applyNumberFormat="1" applyFont="1" applyFill="1" applyBorder="1" applyAlignment="1">
      <alignment horizontal="center"/>
    </xf>
    <xf numFmtId="14" fontId="14" fillId="0" borderId="25" xfId="0" applyNumberFormat="1" applyFont="1" applyFill="1" applyBorder="1" applyAlignment="1">
      <alignment horizontal="left" indent="2"/>
    </xf>
    <xf numFmtId="37" fontId="15" fillId="0" borderId="0" xfId="0" applyFont="1" applyFill="1" applyAlignment="1">
      <alignment horizontal="center"/>
    </xf>
    <xf numFmtId="169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center"/>
    </xf>
    <xf numFmtId="7" fontId="13" fillId="0" borderId="0" xfId="74" applyNumberFormat="1" applyFont="1" applyBorder="1" applyAlignment="1">
      <alignment/>
    </xf>
    <xf numFmtId="37" fontId="15" fillId="0" borderId="27" xfId="0" applyFont="1" applyBorder="1" applyAlignment="1">
      <alignment/>
    </xf>
    <xf numFmtId="37" fontId="14" fillId="0" borderId="28" xfId="0" applyFont="1" applyFill="1" applyBorder="1" applyAlignment="1">
      <alignment horizontal="left"/>
    </xf>
    <xf numFmtId="37" fontId="15" fillId="0" borderId="28" xfId="0" applyFont="1" applyBorder="1" applyAlignment="1">
      <alignment/>
    </xf>
    <xf numFmtId="7" fontId="13" fillId="0" borderId="28" xfId="74" applyNumberFormat="1" applyFont="1" applyBorder="1" applyAlignment="1">
      <alignment/>
    </xf>
    <xf numFmtId="37" fontId="15" fillId="0" borderId="29" xfId="0" applyFont="1" applyBorder="1" applyAlignment="1">
      <alignment/>
    </xf>
    <xf numFmtId="39" fontId="15" fillId="0" borderId="0" xfId="0" applyNumberFormat="1" applyFont="1" applyAlignment="1">
      <alignment/>
    </xf>
    <xf numFmtId="181" fontId="6" fillId="0" borderId="0" xfId="111" applyNumberFormat="1" applyFont="1" applyBorder="1" applyAlignment="1" applyProtection="1">
      <alignment horizontal="centerContinuous" vertical="center" wrapText="1"/>
      <protection/>
    </xf>
    <xf numFmtId="166" fontId="14" fillId="0" borderId="0" xfId="0" applyNumberFormat="1" applyFont="1" applyFill="1" applyBorder="1" applyAlignment="1">
      <alignment horizontal="centerContinuous" vertical="center" wrapText="1"/>
    </xf>
    <xf numFmtId="37" fontId="13" fillId="0" borderId="0" xfId="0" applyFont="1" applyFill="1" applyBorder="1" applyAlignment="1">
      <alignment horizontal="centerContinuous" vertical="center" wrapText="1"/>
    </xf>
    <xf numFmtId="37" fontId="13" fillId="0" borderId="0" xfId="0" applyFont="1" applyBorder="1" applyAlignment="1">
      <alignment horizontal="left" vertical="center" wrapText="1"/>
    </xf>
    <xf numFmtId="37" fontId="14" fillId="0" borderId="0" xfId="107" applyFont="1" applyAlignment="1" applyProtection="1">
      <alignment horizontal="center"/>
      <protection/>
    </xf>
    <xf numFmtId="37" fontId="14" fillId="0" borderId="10" xfId="0" applyFont="1" applyBorder="1" applyAlignment="1">
      <alignment/>
    </xf>
    <xf numFmtId="37" fontId="38" fillId="0" borderId="0" xfId="0" applyFont="1" applyBorder="1" applyAlignment="1">
      <alignment/>
    </xf>
    <xf numFmtId="37" fontId="54" fillId="0" borderId="0" xfId="0" applyFont="1" applyBorder="1" applyAlignment="1">
      <alignment horizontal="center"/>
    </xf>
    <xf numFmtId="37" fontId="14" fillId="0" borderId="0" xfId="0" applyFont="1" applyFill="1" applyBorder="1" applyAlignment="1">
      <alignment horizontal="center"/>
    </xf>
    <xf numFmtId="37" fontId="14" fillId="0" borderId="0" xfId="0" applyFont="1" applyBorder="1" applyAlignment="1">
      <alignment horizontal="center"/>
    </xf>
    <xf numFmtId="37" fontId="14" fillId="0" borderId="0" xfId="0" applyFont="1" applyBorder="1" applyAlignment="1">
      <alignment horizontal="left"/>
    </xf>
    <xf numFmtId="174" fontId="14" fillId="0" borderId="10" xfId="112" applyNumberFormat="1" applyFont="1" applyFill="1" applyBorder="1" applyAlignment="1">
      <alignment horizontal="center"/>
      <protection/>
    </xf>
    <xf numFmtId="174" fontId="14" fillId="0" borderId="0" xfId="112" applyNumberFormat="1" applyFont="1" applyFill="1" applyBorder="1" applyAlignment="1">
      <alignment horizontal="center"/>
      <protection/>
    </xf>
    <xf numFmtId="37" fontId="13" fillId="0" borderId="0" xfId="0" applyNumberFormat="1" applyFont="1" applyAlignment="1">
      <alignment/>
    </xf>
    <xf numFmtId="37" fontId="60" fillId="0" borderId="0" xfId="0" applyFont="1" applyAlignment="1">
      <alignment/>
    </xf>
    <xf numFmtId="5" fontId="53" fillId="0" borderId="0" xfId="74" applyNumberFormat="1" applyFont="1" applyFill="1" applyAlignment="1">
      <alignment/>
    </xf>
    <xf numFmtId="37" fontId="53" fillId="0" borderId="0" xfId="0" applyNumberFormat="1" applyFont="1" applyFill="1" applyAlignment="1">
      <alignment/>
    </xf>
    <xf numFmtId="173" fontId="53" fillId="0" borderId="0" xfId="0" applyNumberFormat="1" applyFont="1" applyBorder="1" applyAlignment="1">
      <alignment horizontal="left" indent="1"/>
    </xf>
    <xf numFmtId="37" fontId="53" fillId="0" borderId="0" xfId="0" applyNumberFormat="1" applyFont="1" applyAlignment="1">
      <alignment/>
    </xf>
    <xf numFmtId="39" fontId="49" fillId="0" borderId="0" xfId="0" applyNumberFormat="1" applyFont="1" applyAlignment="1">
      <alignment/>
    </xf>
    <xf numFmtId="37" fontId="14" fillId="0" borderId="11" xfId="0" applyFont="1" applyFill="1" applyBorder="1" applyAlignment="1">
      <alignment/>
    </xf>
    <xf numFmtId="5" fontId="14" fillId="0" borderId="11" xfId="74" applyNumberFormat="1" applyFont="1" applyFill="1" applyBorder="1" applyAlignment="1">
      <alignment/>
    </xf>
    <xf numFmtId="5" fontId="14" fillId="0" borderId="13" xfId="74" applyNumberFormat="1" applyFont="1" applyFill="1" applyBorder="1" applyAlignment="1">
      <alignment/>
    </xf>
    <xf numFmtId="37" fontId="13" fillId="0" borderId="0" xfId="0" applyNumberFormat="1" applyFont="1" applyBorder="1" applyAlignment="1">
      <alignment/>
    </xf>
    <xf numFmtId="37" fontId="13" fillId="0" borderId="0" xfId="0" applyFont="1" applyFill="1" applyBorder="1" applyAlignment="1">
      <alignment horizontal="left" indent="1"/>
    </xf>
    <xf numFmtId="5" fontId="13" fillId="0" borderId="16" xfId="74" applyNumberFormat="1" applyFont="1" applyFill="1" applyBorder="1" applyAlignment="1">
      <alignment/>
    </xf>
    <xf numFmtId="37" fontId="14" fillId="0" borderId="0" xfId="0" applyFont="1" applyFill="1" applyBorder="1" applyAlignment="1">
      <alignment/>
    </xf>
    <xf numFmtId="0" fontId="14" fillId="0" borderId="0" xfId="112" applyFont="1" applyFill="1" applyBorder="1" applyAlignment="1" applyProtection="1" quotePrefix="1">
      <alignment horizontal="left"/>
      <protection/>
    </xf>
    <xf numFmtId="39" fontId="13" fillId="0" borderId="0" xfId="0" applyNumberFormat="1" applyFont="1" applyAlignment="1">
      <alignment/>
    </xf>
    <xf numFmtId="10" fontId="13" fillId="0" borderId="0" xfId="117" applyNumberFormat="1" applyFont="1" applyAlignment="1">
      <alignment/>
    </xf>
    <xf numFmtId="37" fontId="56" fillId="0" borderId="0" xfId="0" applyFont="1" applyAlignment="1">
      <alignment horizontal="right"/>
    </xf>
    <xf numFmtId="37" fontId="38" fillId="0" borderId="0" xfId="0" applyFont="1" applyFill="1" applyBorder="1" applyAlignment="1">
      <alignment/>
    </xf>
    <xf numFmtId="14" fontId="15" fillId="0" borderId="0" xfId="0" applyNumberFormat="1" applyFont="1" applyBorder="1" applyAlignment="1">
      <alignment/>
    </xf>
    <xf numFmtId="181" fontId="14" fillId="0" borderId="0" xfId="108" applyNumberFormat="1" applyFont="1" applyFill="1" applyAlignment="1" applyProtection="1">
      <alignment horizontal="centerContinuous"/>
      <protection/>
    </xf>
    <xf numFmtId="166" fontId="15" fillId="0" borderId="0" xfId="108" applyNumberFormat="1" applyFont="1" applyFill="1" applyAlignment="1">
      <alignment horizontal="centerContinuous"/>
      <protection/>
    </xf>
    <xf numFmtId="166" fontId="15" fillId="0" borderId="0" xfId="0" applyNumberFormat="1" applyFont="1" applyFill="1" applyAlignment="1">
      <alignment horizontal="centerContinuous"/>
    </xf>
    <xf numFmtId="166" fontId="15" fillId="0" borderId="0" xfId="108" applyNumberFormat="1" applyFont="1" applyFill="1" applyAlignment="1" applyProtection="1">
      <alignment horizontal="centerContinuous"/>
      <protection/>
    </xf>
    <xf numFmtId="37" fontId="57" fillId="0" borderId="0" xfId="107" applyFont="1" applyAlignment="1" applyProtection="1">
      <alignment horizontal="center"/>
      <protection/>
    </xf>
    <xf numFmtId="37" fontId="15" fillId="0" borderId="0" xfId="108" applyNumberFormat="1" applyFont="1" applyBorder="1" applyAlignment="1">
      <alignment horizontal="center"/>
      <protection/>
    </xf>
    <xf numFmtId="37" fontId="38" fillId="0" borderId="0" xfId="108" applyNumberFormat="1" applyFont="1" applyBorder="1" applyAlignment="1" applyProtection="1">
      <alignment horizontal="center" wrapText="1"/>
      <protection/>
    </xf>
    <xf numFmtId="17" fontId="14" fillId="0" borderId="0" xfId="106" applyNumberFormat="1" applyFont="1" applyFill="1" applyAlignment="1" applyProtection="1">
      <alignment horizontal="right"/>
      <protection/>
    </xf>
    <xf numFmtId="37" fontId="15" fillId="0" borderId="0" xfId="108" applyNumberFormat="1" applyFont="1" applyAlignment="1">
      <alignment horizontal="center"/>
      <protection/>
    </xf>
    <xf numFmtId="3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7" fontId="15" fillId="0" borderId="0" xfId="0" applyNumberFormat="1" applyFont="1" applyAlignment="1">
      <alignment horizontal="center"/>
    </xf>
    <xf numFmtId="175" fontId="15" fillId="0" borderId="0" xfId="106" applyNumberFormat="1" applyFont="1" applyFill="1" applyProtection="1">
      <alignment/>
      <protection/>
    </xf>
    <xf numFmtId="39" fontId="15" fillId="0" borderId="0" xfId="0" applyNumberFormat="1" applyFont="1" applyFill="1" applyAlignment="1">
      <alignment horizontal="center"/>
    </xf>
    <xf numFmtId="10" fontId="15" fillId="0" borderId="0" xfId="0" applyNumberFormat="1" applyFont="1" applyAlignment="1">
      <alignment/>
    </xf>
    <xf numFmtId="37" fontId="15" fillId="0" borderId="0" xfId="108" applyNumberFormat="1" applyFont="1" applyAlignment="1" applyProtection="1">
      <alignment/>
      <protection/>
    </xf>
    <xf numFmtId="17" fontId="15" fillId="0" borderId="0" xfId="108" applyNumberFormat="1" applyFont="1" applyProtection="1">
      <alignment/>
      <protection/>
    </xf>
    <xf numFmtId="17" fontId="15" fillId="0" borderId="0" xfId="108" applyNumberFormat="1" applyFont="1" applyAlignment="1" applyProtection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37" fontId="38" fillId="0" borderId="0" xfId="108" applyNumberFormat="1" applyFont="1" applyAlignment="1" applyProtection="1">
      <alignment horizontal="left"/>
      <protection/>
    </xf>
    <xf numFmtId="175" fontId="38" fillId="0" borderId="16" xfId="106" applyNumberFormat="1" applyFont="1" applyFill="1" applyBorder="1" applyProtection="1">
      <alignment/>
      <protection/>
    </xf>
    <xf numFmtId="171" fontId="15" fillId="0" borderId="0" xfId="0" applyNumberFormat="1" applyFont="1" applyFill="1" applyAlignment="1">
      <alignment/>
    </xf>
    <xf numFmtId="10" fontId="38" fillId="2" borderId="13" xfId="108" applyNumberFormat="1" applyFont="1" applyFill="1" applyBorder="1" applyProtection="1">
      <alignment/>
      <protection/>
    </xf>
    <xf numFmtId="175" fontId="38" fillId="0" borderId="0" xfId="106" applyNumberFormat="1" applyFont="1" applyFill="1" applyBorder="1" applyProtection="1">
      <alignment/>
      <protection/>
    </xf>
    <xf numFmtId="3" fontId="38" fillId="0" borderId="0" xfId="110" applyFont="1">
      <alignment/>
      <protection/>
    </xf>
    <xf numFmtId="10" fontId="38" fillId="0" borderId="0" xfId="117" applyNumberFormat="1" applyFont="1" applyFill="1" applyAlignment="1">
      <alignment/>
    </xf>
    <xf numFmtId="171" fontId="38" fillId="0" borderId="0" xfId="0" applyNumberFormat="1" applyFont="1" applyFill="1" applyAlignment="1">
      <alignment/>
    </xf>
    <xf numFmtId="37" fontId="38" fillId="0" borderId="0" xfId="105" applyNumberFormat="1" applyFont="1" applyFill="1" applyBorder="1">
      <alignment/>
      <protection/>
    </xf>
    <xf numFmtId="171" fontId="15" fillId="0" borderId="0" xfId="0" applyNumberFormat="1" applyFont="1" applyFill="1" applyAlignment="1">
      <alignment horizontal="center"/>
    </xf>
    <xf numFmtId="10" fontId="38" fillId="0" borderId="0" xfId="108" applyNumberFormat="1" applyFont="1" applyFill="1" applyBorder="1" applyProtection="1">
      <alignment/>
      <protection/>
    </xf>
    <xf numFmtId="187" fontId="49" fillId="0" borderId="0" xfId="106" applyNumberFormat="1" applyFont="1" applyFill="1" applyBorder="1" applyProtection="1">
      <alignment/>
      <protection/>
    </xf>
    <xf numFmtId="37" fontId="38" fillId="0" borderId="0" xfId="108" applyNumberFormat="1" applyFont="1">
      <alignment/>
      <protection/>
    </xf>
    <xf numFmtId="37" fontId="15" fillId="0" borderId="0" xfId="108" applyNumberFormat="1" applyFont="1">
      <alignment/>
      <protection/>
    </xf>
    <xf numFmtId="171" fontId="15" fillId="0" borderId="0" xfId="0" applyNumberFormat="1" applyFont="1" applyAlignment="1">
      <alignment/>
    </xf>
    <xf numFmtId="37" fontId="15" fillId="0" borderId="0" xfId="108" applyNumberFormat="1" applyFont="1" applyAlignment="1">
      <alignment horizontal="right"/>
      <protection/>
    </xf>
    <xf numFmtId="37" fontId="15" fillId="0" borderId="0" xfId="0" applyNumberFormat="1" applyFont="1" applyFill="1" applyAlignment="1">
      <alignment/>
    </xf>
    <xf numFmtId="175" fontId="38" fillId="0" borderId="0" xfId="106" applyNumberFormat="1" applyFont="1" applyFill="1" applyProtection="1">
      <alignment/>
      <protection/>
    </xf>
    <xf numFmtId="179" fontId="50" fillId="0" borderId="0" xfId="106" applyNumberFormat="1" applyFont="1" applyFill="1" applyProtection="1">
      <alignment/>
      <protection/>
    </xf>
    <xf numFmtId="172" fontId="14" fillId="0" borderId="0" xfId="112" applyNumberFormat="1" applyFont="1" applyFill="1" applyAlignment="1">
      <alignment horizontal="left"/>
      <protection/>
    </xf>
    <xf numFmtId="0" fontId="45" fillId="0" borderId="0" xfId="112" applyFont="1" applyFill="1" applyAlignment="1" applyProtection="1" quotePrefix="1">
      <alignment horizontal="center"/>
      <protection/>
    </xf>
    <xf numFmtId="0" fontId="13" fillId="0" borderId="0" xfId="112" applyFont="1" applyFill="1">
      <alignment/>
      <protection/>
    </xf>
    <xf numFmtId="1" fontId="13" fillId="0" borderId="0" xfId="112" applyNumberFormat="1" applyFont="1" applyFill="1" applyAlignment="1" applyProtection="1">
      <alignment horizontal="center"/>
      <protection/>
    </xf>
    <xf numFmtId="37" fontId="38" fillId="0" borderId="0" xfId="107" applyFont="1" applyAlignment="1" applyProtection="1" quotePrefix="1">
      <alignment horizontal="center"/>
      <protection/>
    </xf>
    <xf numFmtId="0" fontId="14" fillId="0" borderId="0" xfId="112" applyFont="1" applyFill="1" applyAlignment="1" applyProtection="1">
      <alignment horizontal="center"/>
      <protection/>
    </xf>
    <xf numFmtId="0" fontId="38" fillId="0" borderId="0" xfId="112" applyFont="1" applyFill="1" applyAlignment="1" applyProtection="1">
      <alignment horizontal="center"/>
      <protection/>
    </xf>
    <xf numFmtId="0" fontId="38" fillId="0" borderId="0" xfId="112" applyFont="1" applyFill="1" applyAlignment="1">
      <alignment horizontal="center"/>
      <protection/>
    </xf>
    <xf numFmtId="0" fontId="38" fillId="0" borderId="0" xfId="112" applyFont="1" applyFill="1" applyBorder="1" applyAlignment="1" applyProtection="1">
      <alignment horizontal="center" wrapText="1"/>
      <protection/>
    </xf>
    <xf numFmtId="0" fontId="38" fillId="0" borderId="10" xfId="112" applyFont="1" applyFill="1" applyBorder="1" applyAlignment="1" applyProtection="1">
      <alignment horizontal="left"/>
      <protection/>
    </xf>
    <xf numFmtId="0" fontId="38" fillId="0" borderId="10" xfId="112" applyFont="1" applyFill="1" applyBorder="1" applyAlignment="1" applyProtection="1">
      <alignment horizontal="center" wrapText="1"/>
      <protection/>
    </xf>
    <xf numFmtId="0" fontId="58" fillId="0" borderId="10" xfId="112" applyFont="1" applyFill="1" applyBorder="1" applyAlignment="1">
      <alignment horizontal="center"/>
      <protection/>
    </xf>
    <xf numFmtId="168" fontId="13" fillId="0" borderId="0" xfId="112" applyNumberFormat="1" applyFont="1" applyFill="1" applyAlignment="1">
      <alignment horizontal="left"/>
      <protection/>
    </xf>
    <xf numFmtId="15" fontId="13" fillId="0" borderId="0" xfId="112" applyNumberFormat="1" applyFont="1" applyFill="1" applyAlignment="1">
      <alignment horizontal="center"/>
      <protection/>
    </xf>
    <xf numFmtId="15" fontId="13" fillId="0" borderId="0" xfId="112" applyNumberFormat="1" applyFont="1" applyFill="1" applyAlignment="1">
      <alignment horizontal="right"/>
      <protection/>
    </xf>
    <xf numFmtId="7" fontId="13" fillId="0" borderId="0" xfId="112" applyNumberFormat="1" applyFont="1" applyFill="1">
      <alignment/>
      <protection/>
    </xf>
    <xf numFmtId="174" fontId="13" fillId="0" borderId="0" xfId="112" applyNumberFormat="1" applyFont="1" applyFill="1">
      <alignment/>
      <protection/>
    </xf>
    <xf numFmtId="5" fontId="13" fillId="0" borderId="0" xfId="112" applyNumberFormat="1" applyFont="1" applyFill="1">
      <alignment/>
      <protection/>
    </xf>
    <xf numFmtId="168" fontId="13" fillId="0" borderId="0" xfId="112" applyNumberFormat="1" applyFont="1" applyFill="1" applyAlignment="1" applyProtection="1">
      <alignment horizontal="left"/>
      <protection/>
    </xf>
    <xf numFmtId="15" fontId="13" fillId="0" borderId="0" xfId="112" applyNumberFormat="1" applyFont="1" applyFill="1" applyAlignment="1" applyProtection="1">
      <alignment horizontal="center"/>
      <protection/>
    </xf>
    <xf numFmtId="205" fontId="53" fillId="0" borderId="0" xfId="112" applyNumberFormat="1" applyFont="1" applyFill="1">
      <alignment/>
      <protection/>
    </xf>
    <xf numFmtId="5" fontId="52" fillId="0" borderId="0" xfId="112" applyNumberFormat="1" applyFont="1" applyFill="1">
      <alignment/>
      <protection/>
    </xf>
    <xf numFmtId="5" fontId="14" fillId="0" borderId="16" xfId="112" applyNumberFormat="1" applyFont="1" applyFill="1" applyBorder="1" applyAlignment="1" applyProtection="1">
      <alignment horizontal="right"/>
      <protection/>
    </xf>
    <xf numFmtId="10" fontId="13" fillId="0" borderId="0" xfId="117" applyNumberFormat="1" applyFont="1" applyFill="1" applyAlignment="1">
      <alignment/>
    </xf>
    <xf numFmtId="5" fontId="13" fillId="0" borderId="0" xfId="112" applyNumberFormat="1" applyFont="1" applyProtection="1">
      <alignment/>
      <protection/>
    </xf>
    <xf numFmtId="0" fontId="14" fillId="0" borderId="0" xfId="112" applyFont="1" applyFill="1" applyAlignment="1" applyProtection="1">
      <alignment horizontal="left"/>
      <protection/>
    </xf>
    <xf numFmtId="0" fontId="14" fillId="0" borderId="0" xfId="112" applyFont="1" applyAlignment="1" applyProtection="1">
      <alignment horizontal="left"/>
      <protection/>
    </xf>
    <xf numFmtId="0" fontId="38" fillId="0" borderId="0" xfId="106" applyFont="1" applyAlignment="1" applyProtection="1">
      <alignment horizontal="center"/>
      <protection/>
    </xf>
    <xf numFmtId="0" fontId="44" fillId="0" borderId="0" xfId="106" applyFont="1" applyFill="1" applyBorder="1" applyAlignment="1" applyProtection="1">
      <alignment horizontal="center" vertical="center" wrapText="1"/>
      <protection/>
    </xf>
    <xf numFmtId="37" fontId="14" fillId="0" borderId="25" xfId="0" applyFont="1" applyFill="1" applyBorder="1" applyAlignment="1">
      <alignment horizontal="left"/>
    </xf>
    <xf numFmtId="37" fontId="14" fillId="0" borderId="0" xfId="0" applyFont="1" applyFill="1" applyBorder="1" applyAlignment="1">
      <alignment horizontal="left"/>
    </xf>
    <xf numFmtId="37" fontId="51" fillId="0" borderId="22" xfId="0" applyFont="1" applyFill="1" applyBorder="1" applyAlignment="1">
      <alignment horizontal="left"/>
    </xf>
    <xf numFmtId="37" fontId="51" fillId="0" borderId="23" xfId="0" applyFont="1" applyFill="1" applyBorder="1" applyAlignment="1">
      <alignment horizontal="left"/>
    </xf>
    <xf numFmtId="37" fontId="14" fillId="0" borderId="0" xfId="0" applyFont="1" applyAlignment="1">
      <alignment horizontal="center"/>
    </xf>
    <xf numFmtId="181" fontId="14" fillId="0" borderId="0" xfId="111" applyNumberFormat="1" applyFont="1" applyBorder="1" applyAlignment="1" applyProtection="1">
      <alignment horizontal="center" vertical="center" wrapText="1"/>
      <protection/>
    </xf>
    <xf numFmtId="37" fontId="14" fillId="0" borderId="0" xfId="108" applyNumberFormat="1" applyFont="1" applyAlignment="1" applyProtection="1">
      <alignment horizontal="center"/>
      <protection/>
    </xf>
    <xf numFmtId="181" fontId="14" fillId="0" borderId="0" xfId="108" applyNumberFormat="1" applyFont="1" applyFill="1" applyAlignment="1" applyProtection="1">
      <alignment horizontal="center"/>
      <protection/>
    </xf>
    <xf numFmtId="0" fontId="14" fillId="0" borderId="0" xfId="112" applyFont="1" applyFill="1" applyAlignment="1" applyProtection="1" quotePrefix="1">
      <alignment horizontal="center"/>
      <protection/>
    </xf>
    <xf numFmtId="181" fontId="14" fillId="0" borderId="0" xfId="112" applyNumberFormat="1" applyFont="1" applyFill="1" applyAlignment="1">
      <alignment horizontal="center"/>
      <protection/>
    </xf>
    <xf numFmtId="165" fontId="43" fillId="0" borderId="0" xfId="111" applyNumberFormat="1" applyFont="1" applyFill="1" applyBorder="1" applyAlignment="1" applyProtection="1">
      <alignment/>
      <protection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2" xfId="101"/>
    <cellStyle name="Normal 2 2" xfId="102"/>
    <cellStyle name="Normal 2 2 2" xfId="103"/>
    <cellStyle name="Normal 2 3" xfId="104"/>
    <cellStyle name="Normal 3" xfId="105"/>
    <cellStyle name="Normal_AMACAPST" xfId="106"/>
    <cellStyle name="Normal_COSTOF" xfId="107"/>
    <cellStyle name="Normal_COSTOFD" xfId="108"/>
    <cellStyle name="Normal_COSTOFPR" xfId="109"/>
    <cellStyle name="Normal_Psebonds" xfId="110"/>
    <cellStyle name="Normal_RATEOFRE" xfId="111"/>
    <cellStyle name="Normal_SCHEDULE" xfId="112"/>
    <cellStyle name="Note" xfId="113"/>
    <cellStyle name="Note 2" xfId="114"/>
    <cellStyle name="Output" xfId="115"/>
    <cellStyle name="Output 2" xfId="116"/>
    <cellStyle name="Percent" xfId="117"/>
    <cellStyle name="Percent 2" xfId="118"/>
    <cellStyle name="Percent 3" xfId="119"/>
    <cellStyle name="Title" xfId="120"/>
    <cellStyle name="Title 2" xfId="121"/>
    <cellStyle name="Total" xfId="122"/>
    <cellStyle name="Total 2" xfId="123"/>
    <cellStyle name="Warning Text" xfId="124"/>
    <cellStyle name="Warning Text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"/>
    </sheetView>
  </sheetViews>
  <sheetFormatPr defaultColWidth="11.5" defaultRowHeight="11.25"/>
  <cols>
    <col min="1" max="1" width="3.83203125" style="16" customWidth="1"/>
    <col min="2" max="2" width="52.16015625" style="16" bestFit="1" customWidth="1"/>
    <col min="3" max="3" width="18.16015625" style="16" customWidth="1"/>
    <col min="4" max="4" width="13.5" style="16" customWidth="1"/>
    <col min="5" max="5" width="13.16015625" style="16" customWidth="1"/>
    <col min="6" max="6" width="13.5" style="16" customWidth="1"/>
    <col min="7" max="7" width="11.5" style="16" customWidth="1"/>
    <col min="8" max="8" width="13.83203125" style="16" customWidth="1"/>
    <col min="9" max="9" width="11.16015625" style="16" customWidth="1"/>
    <col min="10" max="10" width="8.5" style="16" customWidth="1"/>
    <col min="11" max="11" width="9" style="16" customWidth="1"/>
    <col min="12" max="12" width="8.66015625" style="16" customWidth="1"/>
    <col min="13" max="16384" width="11.5" style="16" customWidth="1"/>
  </cols>
  <sheetData>
    <row r="1" spans="2:6" ht="15">
      <c r="B1" s="75" t="s">
        <v>190</v>
      </c>
      <c r="C1" s="75"/>
      <c r="D1" s="75"/>
      <c r="E1" s="75"/>
      <c r="F1" s="75"/>
    </row>
    <row r="2" spans="1:6" ht="12.75">
      <c r="A2" s="76"/>
      <c r="B2" s="17"/>
      <c r="C2" s="17"/>
      <c r="D2" s="17"/>
      <c r="E2" s="17"/>
      <c r="F2" s="17"/>
    </row>
    <row r="3" spans="2:6" ht="15">
      <c r="B3" s="77" t="s">
        <v>3</v>
      </c>
      <c r="C3" s="77"/>
      <c r="D3" s="77"/>
      <c r="E3" s="77"/>
      <c r="F3" s="77"/>
    </row>
    <row r="4" spans="2:12" ht="15">
      <c r="B4" s="78" t="s">
        <v>39</v>
      </c>
      <c r="C4" s="78"/>
      <c r="D4" s="78"/>
      <c r="E4" s="78"/>
      <c r="F4" s="78"/>
      <c r="H4" s="66"/>
      <c r="L4" s="67"/>
    </row>
    <row r="5" spans="2:12" ht="12.75">
      <c r="B5" s="79">
        <v>42643</v>
      </c>
      <c r="C5" s="79"/>
      <c r="D5" s="79"/>
      <c r="E5" s="79"/>
      <c r="F5" s="79"/>
      <c r="H5" s="66"/>
      <c r="L5" s="67"/>
    </row>
    <row r="6" spans="1:12" ht="12.75">
      <c r="A6" s="18"/>
      <c r="C6" s="19"/>
      <c r="H6" s="66"/>
      <c r="L6" s="67"/>
    </row>
    <row r="7" spans="1:12" ht="12.75">
      <c r="A7" s="18"/>
      <c r="H7" s="66"/>
      <c r="L7" s="67"/>
    </row>
    <row r="8" spans="1:12" ht="12.75">
      <c r="A8" s="80">
        <v>1</v>
      </c>
      <c r="B8" s="81" t="s">
        <v>2</v>
      </c>
      <c r="C8" s="81" t="s">
        <v>19</v>
      </c>
      <c r="D8" s="81" t="s">
        <v>35</v>
      </c>
      <c r="E8" s="81" t="s">
        <v>45</v>
      </c>
      <c r="F8" s="81" t="s">
        <v>46</v>
      </c>
      <c r="H8" s="66"/>
      <c r="L8" s="67"/>
    </row>
    <row r="9" spans="1:12" ht="12.75">
      <c r="A9" s="80">
        <f>+A8+1</f>
        <v>2</v>
      </c>
      <c r="H9" s="66"/>
      <c r="L9" s="67"/>
    </row>
    <row r="10" spans="1:12" ht="12.75">
      <c r="A10" s="80">
        <f aca="true" t="shared" si="0" ref="A10:A26">+A9+1</f>
        <v>3</v>
      </c>
      <c r="B10" s="82" t="s">
        <v>1</v>
      </c>
      <c r="C10" s="83"/>
      <c r="D10" s="83"/>
      <c r="E10" s="83"/>
      <c r="F10" s="83" t="s">
        <v>4</v>
      </c>
      <c r="H10" s="66"/>
      <c r="L10" s="67"/>
    </row>
    <row r="11" spans="1:12" ht="12.75">
      <c r="A11" s="80">
        <f>+A10+1</f>
        <v>4</v>
      </c>
      <c r="B11" s="83"/>
      <c r="C11" s="84" t="s">
        <v>138</v>
      </c>
      <c r="D11" s="83"/>
      <c r="E11" s="83"/>
      <c r="F11" s="85" t="s">
        <v>5</v>
      </c>
      <c r="H11" s="66"/>
      <c r="L11" s="67"/>
    </row>
    <row r="12" spans="1:12" ht="12.75">
      <c r="A12" s="80">
        <f t="shared" si="0"/>
        <v>5</v>
      </c>
      <c r="B12" s="86" t="s">
        <v>6</v>
      </c>
      <c r="C12" s="87" t="s">
        <v>59</v>
      </c>
      <c r="D12" s="86" t="s">
        <v>7</v>
      </c>
      <c r="E12" s="86" t="s">
        <v>127</v>
      </c>
      <c r="F12" s="86" t="s">
        <v>9</v>
      </c>
      <c r="H12" s="66"/>
      <c r="L12" s="67"/>
    </row>
    <row r="13" spans="1:12" ht="12.75">
      <c r="A13" s="80">
        <f t="shared" si="0"/>
        <v>6</v>
      </c>
      <c r="B13" s="88"/>
      <c r="C13" s="88"/>
      <c r="D13" s="88"/>
      <c r="E13" s="88"/>
      <c r="F13" s="88"/>
      <c r="H13" s="66"/>
      <c r="L13" s="67"/>
    </row>
    <row r="14" spans="1:12" ht="12.75">
      <c r="A14" s="80">
        <f t="shared" si="0"/>
        <v>7</v>
      </c>
      <c r="B14" s="89" t="s">
        <v>10</v>
      </c>
      <c r="C14" s="90">
        <f>'Pg 2 CapStructure'!Q8</f>
        <v>58312833</v>
      </c>
      <c r="D14" s="91">
        <f>ROUND(C14/$C$23,4)+0.00005</f>
        <v>0.00785</v>
      </c>
      <c r="E14" s="92">
        <f>'Pg 6 LTD Cost '!H28</f>
        <v>0.0068</v>
      </c>
      <c r="F14" s="93">
        <f>ROUND(D14*E14,4)</f>
        <v>0.0001</v>
      </c>
      <c r="L14" s="66"/>
    </row>
    <row r="15" spans="1:12" ht="12.75">
      <c r="A15" s="80">
        <f t="shared" si="0"/>
        <v>8</v>
      </c>
      <c r="B15" s="94" t="s">
        <v>37</v>
      </c>
      <c r="C15" s="95"/>
      <c r="D15" s="91"/>
      <c r="E15" s="96"/>
      <c r="F15" s="93">
        <f>'Pg 4 STD OS &amp; Comm Fees'!F19</f>
        <v>0.0002</v>
      </c>
      <c r="H15" s="97"/>
      <c r="I15" s="61"/>
      <c r="J15" s="61"/>
      <c r="K15" s="61"/>
      <c r="L15" s="69"/>
    </row>
    <row r="16" spans="1:12" ht="12.75">
      <c r="A16" s="80">
        <f t="shared" si="0"/>
        <v>9</v>
      </c>
      <c r="B16" s="98" t="s">
        <v>134</v>
      </c>
      <c r="C16" s="99"/>
      <c r="D16" s="100"/>
      <c r="E16" s="101"/>
      <c r="F16" s="102">
        <f>'Pg 5 STD Amort'!G35</f>
        <v>0.0002</v>
      </c>
      <c r="H16" s="97"/>
      <c r="I16" s="61"/>
      <c r="J16" s="61"/>
      <c r="K16" s="61"/>
      <c r="L16" s="69"/>
    </row>
    <row r="17" spans="1:12" ht="12.75">
      <c r="A17" s="80">
        <f t="shared" si="0"/>
        <v>10</v>
      </c>
      <c r="B17" s="103" t="s">
        <v>135</v>
      </c>
      <c r="C17" s="95"/>
      <c r="D17" s="91"/>
      <c r="E17" s="96"/>
      <c r="F17" s="104">
        <f>SUM(F14:F16)</f>
        <v>0.0005</v>
      </c>
      <c r="H17" s="97"/>
      <c r="I17" s="61"/>
      <c r="J17" s="61"/>
      <c r="K17" s="61"/>
      <c r="L17" s="69"/>
    </row>
    <row r="18" spans="1:12" ht="12.75">
      <c r="A18" s="80">
        <f t="shared" si="0"/>
        <v>11</v>
      </c>
      <c r="B18" s="89" t="s">
        <v>11</v>
      </c>
      <c r="C18" s="105">
        <f>'Pg 2 CapStructure'!Q14</f>
        <v>3753975376</v>
      </c>
      <c r="D18" s="106">
        <f>ROUND(C18/$C$23,4)</f>
        <v>0.5032</v>
      </c>
      <c r="E18" s="107">
        <f>'Pg 6 LTD Cost '!H26</f>
        <v>0.0589</v>
      </c>
      <c r="F18" s="93">
        <f>ROUND(D18*E18,4)</f>
        <v>0.0296</v>
      </c>
      <c r="L18" s="66"/>
    </row>
    <row r="19" spans="1:12" ht="12.75">
      <c r="A19" s="80">
        <f t="shared" si="0"/>
        <v>12</v>
      </c>
      <c r="B19" s="98" t="s">
        <v>136</v>
      </c>
      <c r="C19" s="99"/>
      <c r="D19" s="100"/>
      <c r="E19" s="101"/>
      <c r="F19" s="108">
        <f>'Pg 7 Reacquired Debt'!I34</f>
        <v>0.00030428397115456223</v>
      </c>
      <c r="H19" s="97"/>
      <c r="I19" s="61"/>
      <c r="J19" s="61"/>
      <c r="K19" s="61"/>
      <c r="L19" s="69"/>
    </row>
    <row r="20" spans="1:12" ht="12.75">
      <c r="A20" s="80">
        <f t="shared" si="0"/>
        <v>13</v>
      </c>
      <c r="B20" s="109" t="s">
        <v>137</v>
      </c>
      <c r="C20" s="110"/>
      <c r="D20" s="111"/>
      <c r="E20" s="112"/>
      <c r="F20" s="113">
        <f>F18+F19</f>
        <v>0.029904283971154563</v>
      </c>
      <c r="H20" s="97"/>
      <c r="I20" s="61"/>
      <c r="J20" s="61"/>
      <c r="K20" s="61"/>
      <c r="L20" s="69"/>
    </row>
    <row r="21" spans="1:12" ht="12.75">
      <c r="A21" s="80">
        <f t="shared" si="0"/>
        <v>14</v>
      </c>
      <c r="B21" s="114" t="s">
        <v>130</v>
      </c>
      <c r="C21" s="115">
        <f>C14+C18</f>
        <v>3812288209</v>
      </c>
      <c r="D21" s="116">
        <f>ROUND((C14+C18)/C23,4)</f>
        <v>0.5111</v>
      </c>
      <c r="E21" s="96"/>
      <c r="F21" s="117">
        <f>F17+F20</f>
        <v>0.030404283971154564</v>
      </c>
      <c r="H21" s="97"/>
      <c r="I21" s="61"/>
      <c r="J21" s="61"/>
      <c r="K21" s="61"/>
      <c r="L21" s="69"/>
    </row>
    <row r="22" spans="1:12" ht="12.75">
      <c r="A22" s="80">
        <f t="shared" si="0"/>
        <v>15</v>
      </c>
      <c r="B22" s="114" t="s">
        <v>12</v>
      </c>
      <c r="C22" s="118">
        <f>'Pg 2 CapStructure'!Q16</f>
        <v>3647339820</v>
      </c>
      <c r="D22" s="119">
        <f>ROUND(C22/$C$23,4)</f>
        <v>0.4889</v>
      </c>
      <c r="E22" s="120">
        <v>0.098</v>
      </c>
      <c r="F22" s="121">
        <f>ROUND(D22*E22,4)</f>
        <v>0.0479</v>
      </c>
      <c r="H22" s="122"/>
      <c r="I22" s="122"/>
      <c r="J22" s="123"/>
      <c r="K22" s="124"/>
      <c r="L22" s="107"/>
    </row>
    <row r="23" spans="1:12" ht="12.75">
      <c r="A23" s="80">
        <f t="shared" si="0"/>
        <v>16</v>
      </c>
      <c r="B23" s="114" t="s">
        <v>13</v>
      </c>
      <c r="C23" s="125">
        <f>C21+C22</f>
        <v>7459628029</v>
      </c>
      <c r="D23" s="409">
        <f>D21+D22</f>
        <v>1</v>
      </c>
      <c r="E23" s="126"/>
      <c r="F23" s="127">
        <f>F21+F22</f>
        <v>0.07830428397115456</v>
      </c>
      <c r="H23" s="61"/>
      <c r="I23" s="61"/>
      <c r="J23" s="123"/>
      <c r="K23" s="107"/>
      <c r="L23" s="128"/>
    </row>
    <row r="24" spans="1:6" ht="12.75">
      <c r="A24" s="80">
        <f t="shared" si="0"/>
        <v>17</v>
      </c>
      <c r="C24" s="61"/>
      <c r="D24" s="61"/>
      <c r="E24" s="61"/>
      <c r="F24" s="61"/>
    </row>
    <row r="25" spans="1:5" ht="12.75">
      <c r="A25" s="80">
        <f t="shared" si="0"/>
        <v>18</v>
      </c>
      <c r="E25" s="129"/>
    </row>
    <row r="26" spans="1:7" ht="12.75">
      <c r="A26" s="80">
        <f t="shared" si="0"/>
        <v>19</v>
      </c>
      <c r="B26" s="130" t="s">
        <v>184</v>
      </c>
      <c r="G26" s="68"/>
    </row>
    <row r="27" ht="12.75">
      <c r="A27" s="15"/>
    </row>
    <row r="28" spans="1:3" ht="12.75">
      <c r="A28" s="15"/>
      <c r="C28" s="105"/>
    </row>
    <row r="29" spans="1:3" ht="12.75">
      <c r="A29" s="15"/>
      <c r="C29" s="105"/>
    </row>
    <row r="30" spans="1:3" ht="12.75">
      <c r="A30" s="15"/>
      <c r="C30" s="105"/>
    </row>
    <row r="31" ht="12.75">
      <c r="A31" s="15"/>
    </row>
    <row r="32" spans="1:3" ht="12.75">
      <c r="A32" s="15"/>
      <c r="C32" s="131"/>
    </row>
    <row r="33" ht="12.75">
      <c r="A33" s="15"/>
    </row>
    <row r="34" ht="12.75">
      <c r="A34" s="15"/>
    </row>
    <row r="39" spans="3:4" ht="12.75">
      <c r="C39" s="20"/>
      <c r="D39" s="21"/>
    </row>
    <row r="40" ht="12.75">
      <c r="D40" s="21"/>
    </row>
    <row r="41" spans="3:4" ht="12.75">
      <c r="C41" s="20"/>
      <c r="D41" s="21"/>
    </row>
    <row r="42" spans="3:4" ht="12.75">
      <c r="C42" s="20"/>
      <c r="D42" s="21"/>
    </row>
    <row r="43" spans="3:4" ht="12.75">
      <c r="C43" s="20"/>
      <c r="D43" s="21"/>
    </row>
    <row r="44" spans="3:4" ht="12.75">
      <c r="C44" s="20"/>
      <c r="D44" s="21"/>
    </row>
    <row r="45" ht="12.75">
      <c r="D45" s="21"/>
    </row>
    <row r="46" spans="3:4" ht="12.75">
      <c r="C46" s="20"/>
      <c r="D46" s="21"/>
    </row>
    <row r="47" ht="12.75">
      <c r="D47" s="22"/>
    </row>
  </sheetData>
  <sheetProtection/>
  <printOptions horizontalCentered="1"/>
  <pageMargins left="0.6" right="0.75" top="0.75" bottom="0.62" header="0.5" footer="0.28"/>
  <pageSetup horizontalDpi="600" verticalDpi="600" orientation="landscape" scale="11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64"/>
  <sheetViews>
    <sheetView zoomScale="111" zoomScaleNormal="111" workbookViewId="0" topLeftCell="A1">
      <selection activeCell="A1" sqref="A1"/>
    </sheetView>
  </sheetViews>
  <sheetFormatPr defaultColWidth="15.83203125" defaultRowHeight="11.25"/>
  <cols>
    <col min="1" max="1" width="3.33203125" style="1" customWidth="1"/>
    <col min="2" max="2" width="32.33203125" style="1" customWidth="1"/>
    <col min="3" max="3" width="10.66015625" style="2" customWidth="1"/>
    <col min="4" max="4" width="10.5" style="2" customWidth="1"/>
    <col min="5" max="5" width="11.16015625" style="2" customWidth="1"/>
    <col min="6" max="6" width="10.83203125" style="2" customWidth="1"/>
    <col min="7" max="7" width="11" style="2" customWidth="1"/>
    <col min="8" max="8" width="11.16015625" style="2" customWidth="1"/>
    <col min="9" max="10" width="10.83203125" style="2" customWidth="1"/>
    <col min="11" max="12" width="10.5" style="2" customWidth="1"/>
    <col min="13" max="14" width="10.83203125" style="2" customWidth="1"/>
    <col min="15" max="15" width="10.66015625" style="2" customWidth="1"/>
    <col min="16" max="16" width="10.16015625" style="2" customWidth="1"/>
    <col min="17" max="17" width="12.5" style="1" customWidth="1"/>
    <col min="18" max="18" width="10.33203125" style="1" customWidth="1"/>
    <col min="19" max="28" width="8.83203125" style="1" customWidth="1"/>
    <col min="29" max="29" width="10.16015625" style="1" customWidth="1"/>
    <col min="30" max="16384" width="15.83203125" style="1" customWidth="1"/>
  </cols>
  <sheetData>
    <row r="1" spans="2:17" ht="12.75">
      <c r="B1" s="132" t="s">
        <v>190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2:17" ht="12.75">
      <c r="B2" s="132" t="s">
        <v>26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2:17" ht="12.75" customHeight="1">
      <c r="B3" s="398" t="s">
        <v>142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</row>
    <row r="4" spans="2:17" ht="12.75">
      <c r="B4" s="397" t="s">
        <v>40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</row>
    <row r="5" spans="1:17" ht="12.75">
      <c r="A5" s="133">
        <v>1</v>
      </c>
      <c r="B5" s="81" t="s">
        <v>2</v>
      </c>
      <c r="C5" s="134" t="s">
        <v>19</v>
      </c>
      <c r="D5" s="134" t="s">
        <v>35</v>
      </c>
      <c r="E5" s="134" t="s">
        <v>45</v>
      </c>
      <c r="F5" s="134" t="s">
        <v>46</v>
      </c>
      <c r="G5" s="134" t="s">
        <v>47</v>
      </c>
      <c r="H5" s="134" t="s">
        <v>48</v>
      </c>
      <c r="I5" s="134" t="s">
        <v>49</v>
      </c>
      <c r="J5" s="81" t="s">
        <v>50</v>
      </c>
      <c r="K5" s="81" t="s">
        <v>52</v>
      </c>
      <c r="L5" s="81" t="s">
        <v>53</v>
      </c>
      <c r="M5" s="81" t="s">
        <v>54</v>
      </c>
      <c r="N5" s="81" t="s">
        <v>55</v>
      </c>
      <c r="O5" s="81" t="s">
        <v>56</v>
      </c>
      <c r="P5" s="81"/>
      <c r="Q5" s="81" t="s">
        <v>57</v>
      </c>
    </row>
    <row r="6" spans="1:49" ht="34.5" customHeight="1">
      <c r="A6" s="133">
        <f>+A5+1</f>
        <v>2</v>
      </c>
      <c r="B6" s="135" t="s">
        <v>0</v>
      </c>
      <c r="C6" s="136">
        <v>42277</v>
      </c>
      <c r="D6" s="136">
        <v>42308</v>
      </c>
      <c r="E6" s="136">
        <v>42338</v>
      </c>
      <c r="F6" s="136">
        <v>42369</v>
      </c>
      <c r="G6" s="136">
        <v>42400</v>
      </c>
      <c r="H6" s="136">
        <v>42429</v>
      </c>
      <c r="I6" s="136">
        <v>42460</v>
      </c>
      <c r="J6" s="136">
        <v>42490</v>
      </c>
      <c r="K6" s="136">
        <v>42521</v>
      </c>
      <c r="L6" s="136">
        <v>42551</v>
      </c>
      <c r="M6" s="136">
        <v>42582</v>
      </c>
      <c r="N6" s="136">
        <v>42613</v>
      </c>
      <c r="O6" s="136">
        <v>42643</v>
      </c>
      <c r="P6" s="136"/>
      <c r="Q6" s="137" t="s">
        <v>78</v>
      </c>
      <c r="R6" s="138"/>
      <c r="S6" s="139"/>
      <c r="T6" s="139"/>
      <c r="U6" s="139"/>
      <c r="V6" s="139"/>
      <c r="W6" s="139"/>
      <c r="X6" s="139"/>
      <c r="Y6" s="139"/>
      <c r="Z6" s="139"/>
      <c r="AA6" s="139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</row>
    <row r="7" spans="1:49" ht="13.5" thickBot="1">
      <c r="A7" s="133">
        <f>+A6+1</f>
        <v>3</v>
      </c>
      <c r="B7" s="140" t="s">
        <v>27</v>
      </c>
      <c r="C7" s="141">
        <v>79500000</v>
      </c>
      <c r="D7" s="141">
        <v>77000000</v>
      </c>
      <c r="E7" s="141">
        <v>110000000</v>
      </c>
      <c r="F7" s="141">
        <v>159004000</v>
      </c>
      <c r="G7" s="141">
        <v>93000000</v>
      </c>
      <c r="H7" s="142">
        <v>0</v>
      </c>
      <c r="I7" s="142">
        <v>0</v>
      </c>
      <c r="J7" s="142">
        <v>0</v>
      </c>
      <c r="K7" s="142">
        <v>0</v>
      </c>
      <c r="L7" s="141">
        <v>36000000</v>
      </c>
      <c r="M7" s="141">
        <v>33000000</v>
      </c>
      <c r="N7" s="141">
        <v>66000000</v>
      </c>
      <c r="O7" s="141">
        <v>172000000</v>
      </c>
      <c r="P7" s="143"/>
      <c r="Q7" s="144">
        <f>ROUND(((C7+O7)+(SUM(D7:N7)*2))/24,0)</f>
        <v>58312833</v>
      </c>
      <c r="R7" s="138"/>
      <c r="S7" s="139"/>
      <c r="T7" s="139"/>
      <c r="U7" s="139"/>
      <c r="V7" s="139"/>
      <c r="W7" s="139"/>
      <c r="X7" s="139"/>
      <c r="Y7" s="139"/>
      <c r="Z7" s="139"/>
      <c r="AA7" s="139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</row>
    <row r="8" spans="1:49" ht="13.5" thickBot="1">
      <c r="A8" s="133">
        <f>A7+1</f>
        <v>4</v>
      </c>
      <c r="B8" s="145" t="s">
        <v>21</v>
      </c>
      <c r="C8" s="146">
        <f aca="true" t="shared" si="0" ref="C8:O8">SUM(C7:C7)</f>
        <v>79500000</v>
      </c>
      <c r="D8" s="146">
        <f t="shared" si="0"/>
        <v>77000000</v>
      </c>
      <c r="E8" s="146">
        <f t="shared" si="0"/>
        <v>110000000</v>
      </c>
      <c r="F8" s="146">
        <f t="shared" si="0"/>
        <v>159004000</v>
      </c>
      <c r="G8" s="146">
        <f t="shared" si="0"/>
        <v>93000000</v>
      </c>
      <c r="H8" s="147">
        <f t="shared" si="0"/>
        <v>0</v>
      </c>
      <c r="I8" s="147">
        <f t="shared" si="0"/>
        <v>0</v>
      </c>
      <c r="J8" s="147">
        <f t="shared" si="0"/>
        <v>0</v>
      </c>
      <c r="K8" s="147">
        <f t="shared" si="0"/>
        <v>0</v>
      </c>
      <c r="L8" s="146">
        <f t="shared" si="0"/>
        <v>36000000</v>
      </c>
      <c r="M8" s="146">
        <f t="shared" si="0"/>
        <v>33000000</v>
      </c>
      <c r="N8" s="146">
        <f t="shared" si="0"/>
        <v>66000000</v>
      </c>
      <c r="O8" s="146">
        <f t="shared" si="0"/>
        <v>172000000</v>
      </c>
      <c r="P8" s="146"/>
      <c r="Q8" s="148">
        <f>SUM(Q7:Q7)</f>
        <v>58312833</v>
      </c>
      <c r="R8" s="149"/>
      <c r="S8" s="150"/>
      <c r="T8" s="150"/>
      <c r="U8" s="150"/>
      <c r="V8" s="150"/>
      <c r="W8" s="150"/>
      <c r="X8" s="150"/>
      <c r="Y8" s="150"/>
      <c r="Z8" s="150"/>
      <c r="AA8" s="150"/>
      <c r="AB8" s="50"/>
      <c r="AC8" s="50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1:49" ht="6.75" customHeight="1" thickBot="1">
      <c r="A9" s="133"/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44"/>
      <c r="R9" s="149"/>
      <c r="S9" s="150"/>
      <c r="T9" s="150"/>
      <c r="U9" s="150"/>
      <c r="V9" s="150"/>
      <c r="W9" s="150"/>
      <c r="X9" s="150"/>
      <c r="Y9" s="150"/>
      <c r="Z9" s="150"/>
      <c r="AA9" s="150"/>
      <c r="AB9" s="50"/>
      <c r="AC9" s="50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</row>
    <row r="10" spans="1:49" ht="13.5" thickBot="1">
      <c r="A10" s="133">
        <f>+A8+1</f>
        <v>5</v>
      </c>
      <c r="B10" s="145" t="s">
        <v>86</v>
      </c>
      <c r="C10" s="153">
        <v>3521956873</v>
      </c>
      <c r="D10" s="153">
        <v>3521962227</v>
      </c>
      <c r="E10" s="153">
        <v>3521967581</v>
      </c>
      <c r="F10" s="153">
        <v>3491950876</v>
      </c>
      <c r="G10" s="153">
        <v>3521978290</v>
      </c>
      <c r="H10" s="153">
        <v>3521983644</v>
      </c>
      <c r="I10" s="153">
        <v>3492689679</v>
      </c>
      <c r="J10" s="153">
        <v>3492935946</v>
      </c>
      <c r="K10" s="153">
        <v>3493178459</v>
      </c>
      <c r="L10" s="153">
        <v>3493423363</v>
      </c>
      <c r="M10" s="153">
        <v>3493666767</v>
      </c>
      <c r="N10" s="153">
        <v>3493911879</v>
      </c>
      <c r="O10" s="153">
        <v>3494154735</v>
      </c>
      <c r="P10" s="153"/>
      <c r="Q10" s="148">
        <f>ROUND(((C10+O10)+(SUM(D10:N10)*2))/24,0)</f>
        <v>3503975376</v>
      </c>
      <c r="R10" s="149"/>
      <c r="S10" s="150"/>
      <c r="T10" s="150"/>
      <c r="U10" s="150"/>
      <c r="V10" s="150"/>
      <c r="W10" s="150"/>
      <c r="X10" s="150"/>
      <c r="Y10" s="150"/>
      <c r="Z10" s="150"/>
      <c r="AA10" s="150"/>
      <c r="AB10" s="50"/>
      <c r="AC10" s="50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</row>
    <row r="11" spans="1:49" ht="6" customHeight="1">
      <c r="A11" s="133"/>
      <c r="B11" s="145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  <c r="R11" s="149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</row>
    <row r="12" spans="1:49" ht="13.5" customHeight="1">
      <c r="A12" s="133">
        <f>+A10+1</f>
        <v>6</v>
      </c>
      <c r="B12" s="145" t="s">
        <v>85</v>
      </c>
      <c r="C12" s="154">
        <v>250000000</v>
      </c>
      <c r="D12" s="154">
        <v>250000000</v>
      </c>
      <c r="E12" s="154">
        <v>250000000</v>
      </c>
      <c r="F12" s="154">
        <v>250000000</v>
      </c>
      <c r="G12" s="154">
        <v>250000000</v>
      </c>
      <c r="H12" s="154">
        <v>250000000</v>
      </c>
      <c r="I12" s="154">
        <v>250000000</v>
      </c>
      <c r="J12" s="154">
        <v>250000000</v>
      </c>
      <c r="K12" s="154">
        <v>250000000</v>
      </c>
      <c r="L12" s="154">
        <v>250000000</v>
      </c>
      <c r="M12" s="154">
        <v>250000000</v>
      </c>
      <c r="N12" s="154">
        <v>250000000</v>
      </c>
      <c r="O12" s="154">
        <v>250000000</v>
      </c>
      <c r="P12" s="154"/>
      <c r="Q12" s="156">
        <f>ROUND(((C12+O12)+(SUM(D12:N12)*2))/24,0)</f>
        <v>250000000</v>
      </c>
      <c r="R12" s="149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</row>
    <row r="13" spans="1:49" ht="5.25" customHeight="1" thickBot="1">
      <c r="A13" s="133"/>
      <c r="B13" s="145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5"/>
      <c r="R13" s="149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</row>
    <row r="14" spans="1:49" ht="13.5" customHeight="1" thickBot="1">
      <c r="A14" s="133">
        <f>+A12+1</f>
        <v>7</v>
      </c>
      <c r="B14" s="145" t="s">
        <v>11</v>
      </c>
      <c r="C14" s="157">
        <f aca="true" t="shared" si="1" ref="C14:L14">SUM(C10:C12)</f>
        <v>3771956873</v>
      </c>
      <c r="D14" s="157">
        <f t="shared" si="1"/>
        <v>3771962227</v>
      </c>
      <c r="E14" s="157">
        <f t="shared" si="1"/>
        <v>3771967581</v>
      </c>
      <c r="F14" s="157">
        <f t="shared" si="1"/>
        <v>3741950876</v>
      </c>
      <c r="G14" s="157">
        <f t="shared" si="1"/>
        <v>3771978290</v>
      </c>
      <c r="H14" s="157">
        <f t="shared" si="1"/>
        <v>3771983644</v>
      </c>
      <c r="I14" s="157">
        <f t="shared" si="1"/>
        <v>3742689679</v>
      </c>
      <c r="J14" s="157">
        <f t="shared" si="1"/>
        <v>3742935946</v>
      </c>
      <c r="K14" s="157">
        <f t="shared" si="1"/>
        <v>3743178459</v>
      </c>
      <c r="L14" s="157">
        <f t="shared" si="1"/>
        <v>3743423363</v>
      </c>
      <c r="M14" s="157">
        <f>SUM(M10:M12)</f>
        <v>3743666767</v>
      </c>
      <c r="N14" s="157">
        <f>SUM(N10:N12)</f>
        <v>3743911879</v>
      </c>
      <c r="O14" s="157">
        <f>SUM(O10:O12)</f>
        <v>3744154735</v>
      </c>
      <c r="P14" s="158"/>
      <c r="Q14" s="148">
        <f>SUM(Q10:Q12)</f>
        <v>3753975376</v>
      </c>
      <c r="R14" s="149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</row>
    <row r="15" spans="1:49" ht="6.75" customHeight="1" thickBot="1">
      <c r="A15" s="133"/>
      <c r="B15" s="145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55"/>
      <c r="R15" s="149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</row>
    <row r="16" spans="1:49" ht="13.5" thickBot="1">
      <c r="A16" s="133">
        <f>A14+1</f>
        <v>8</v>
      </c>
      <c r="B16" s="145" t="s">
        <v>71</v>
      </c>
      <c r="C16" s="159">
        <f aca="true" t="shared" si="2" ref="C16:L16">C38</f>
        <v>3565218006</v>
      </c>
      <c r="D16" s="159">
        <f t="shared" si="2"/>
        <v>3585557823</v>
      </c>
      <c r="E16" s="159">
        <f t="shared" si="2"/>
        <v>3623629110</v>
      </c>
      <c r="F16" s="159">
        <f t="shared" si="2"/>
        <v>3591259334</v>
      </c>
      <c r="G16" s="159">
        <f t="shared" si="2"/>
        <v>3642828101</v>
      </c>
      <c r="H16" s="159">
        <f t="shared" si="2"/>
        <v>3687204649</v>
      </c>
      <c r="I16" s="159">
        <f t="shared" si="2"/>
        <v>3669640355</v>
      </c>
      <c r="J16" s="159">
        <f t="shared" si="2"/>
        <v>3691551031</v>
      </c>
      <c r="K16" s="159">
        <f t="shared" si="2"/>
        <v>3697689139</v>
      </c>
      <c r="L16" s="159">
        <f t="shared" si="2"/>
        <v>3659718025</v>
      </c>
      <c r="M16" s="159">
        <f>M38</f>
        <v>3660981756</v>
      </c>
      <c r="N16" s="159">
        <f>N38</f>
        <v>3666805259</v>
      </c>
      <c r="O16" s="159">
        <f>O38</f>
        <v>3617208509</v>
      </c>
      <c r="P16" s="160"/>
      <c r="Q16" s="161">
        <f>ROUND(((C16+O16)+(SUM(D16:N16)*2))/24,0)</f>
        <v>3647339820</v>
      </c>
      <c r="R16" s="149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  <row r="17" spans="1:49" ht="6.75" customHeight="1">
      <c r="A17" s="133"/>
      <c r="B17" s="145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2"/>
      <c r="R17" s="149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ht="13.5" thickBot="1">
      <c r="A18" s="133">
        <f>+A16+1</f>
        <v>9</v>
      </c>
      <c r="B18" s="145" t="s">
        <v>62</v>
      </c>
      <c r="C18" s="163">
        <f>C8+C14+C16</f>
        <v>7416674879</v>
      </c>
      <c r="D18" s="163">
        <f aca="true" t="shared" si="3" ref="D18:O18">D8+D14+D16</f>
        <v>7434520050</v>
      </c>
      <c r="E18" s="163">
        <f t="shared" si="3"/>
        <v>7505596691</v>
      </c>
      <c r="F18" s="163">
        <f t="shared" si="3"/>
        <v>7492214210</v>
      </c>
      <c r="G18" s="163">
        <f t="shared" si="3"/>
        <v>7507806391</v>
      </c>
      <c r="H18" s="163">
        <f t="shared" si="3"/>
        <v>7459188293</v>
      </c>
      <c r="I18" s="163">
        <f t="shared" si="3"/>
        <v>7412330034</v>
      </c>
      <c r="J18" s="163">
        <f t="shared" si="3"/>
        <v>7434486977</v>
      </c>
      <c r="K18" s="163">
        <f t="shared" si="3"/>
        <v>7440867598</v>
      </c>
      <c r="L18" s="163">
        <f t="shared" si="3"/>
        <v>7439141388</v>
      </c>
      <c r="M18" s="163">
        <f t="shared" si="3"/>
        <v>7437648523</v>
      </c>
      <c r="N18" s="163">
        <f t="shared" si="3"/>
        <v>7476717138</v>
      </c>
      <c r="O18" s="163">
        <f t="shared" si="3"/>
        <v>7533363244</v>
      </c>
      <c r="P18" s="163"/>
      <c r="Q18" s="164">
        <f>Q8+Q14+Q16</f>
        <v>7459628029</v>
      </c>
      <c r="R18" s="149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ht="13.5" thickTop="1">
      <c r="A19" s="133"/>
      <c r="B19" s="145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65"/>
      <c r="R19" s="149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  <row r="20" spans="1:49" ht="12.75">
      <c r="A20" s="133">
        <f>+A18+1</f>
        <v>10</v>
      </c>
      <c r="B20" s="166" t="s">
        <v>21</v>
      </c>
      <c r="C20" s="167">
        <f aca="true" t="shared" si="4" ref="C20:O20">C8/C$18</f>
        <v>0.01071908925455272</v>
      </c>
      <c r="D20" s="167">
        <f t="shared" si="4"/>
        <v>0.010357090905955657</v>
      </c>
      <c r="E20" s="167">
        <f t="shared" si="4"/>
        <v>0.014655730187568107</v>
      </c>
      <c r="F20" s="167">
        <f t="shared" si="4"/>
        <v>0.021222564590822078</v>
      </c>
      <c r="G20" s="167">
        <f t="shared" si="4"/>
        <v>0.012387106853405805</v>
      </c>
      <c r="H20" s="167">
        <f t="shared" si="4"/>
        <v>0</v>
      </c>
      <c r="I20" s="167">
        <f t="shared" si="4"/>
        <v>0</v>
      </c>
      <c r="J20" s="167">
        <f t="shared" si="4"/>
        <v>0</v>
      </c>
      <c r="K20" s="167">
        <f t="shared" si="4"/>
        <v>0</v>
      </c>
      <c r="L20" s="167">
        <f t="shared" si="4"/>
        <v>0.004839268152379953</v>
      </c>
      <c r="M20" s="167">
        <f t="shared" si="4"/>
        <v>0.004436886187610455</v>
      </c>
      <c r="N20" s="167">
        <f t="shared" si="4"/>
        <v>0.008827403629402892</v>
      </c>
      <c r="O20" s="167">
        <f t="shared" si="4"/>
        <v>0.02283176775485911</v>
      </c>
      <c r="P20" s="167"/>
      <c r="Q20" s="168">
        <f>Q8/Q$18</f>
        <v>0.007817123424023747</v>
      </c>
      <c r="R20" s="149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1:49" ht="12.75">
      <c r="A21" s="133">
        <f>+A20+1</f>
        <v>11</v>
      </c>
      <c r="B21" s="166" t="s">
        <v>22</v>
      </c>
      <c r="C21" s="169">
        <f aca="true" t="shared" si="5" ref="C21:O21">C14/C$18</f>
        <v>0.5085778916479319</v>
      </c>
      <c r="D21" s="169">
        <f t="shared" si="5"/>
        <v>0.50735786595935</v>
      </c>
      <c r="E21" s="169">
        <f t="shared" si="5"/>
        <v>0.502553992212636</v>
      </c>
      <c r="F21" s="169">
        <f t="shared" si="5"/>
        <v>0.4994452602550455</v>
      </c>
      <c r="G21" s="169">
        <f t="shared" si="5"/>
        <v>0.5024075067414722</v>
      </c>
      <c r="H21" s="169">
        <f t="shared" si="5"/>
        <v>0.5056828566105216</v>
      </c>
      <c r="I21" s="169">
        <f t="shared" si="5"/>
        <v>0.5049275547408795</v>
      </c>
      <c r="J21" s="169">
        <f t="shared" si="5"/>
        <v>0.5034558480739134</v>
      </c>
      <c r="K21" s="169">
        <f t="shared" si="5"/>
        <v>0.503056721504642</v>
      </c>
      <c r="L21" s="169">
        <f t="shared" si="5"/>
        <v>0.5032063739289155</v>
      </c>
      <c r="M21" s="169">
        <f t="shared" si="5"/>
        <v>0.5033401021066238</v>
      </c>
      <c r="N21" s="169">
        <f t="shared" si="5"/>
        <v>0.5007427471037758</v>
      </c>
      <c r="O21" s="169">
        <f t="shared" si="5"/>
        <v>0.49700971713823283</v>
      </c>
      <c r="P21" s="169"/>
      <c r="Q21" s="170">
        <f>Q14/Q$18</f>
        <v>0.5032389499055543</v>
      </c>
      <c r="R21" s="149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</row>
    <row r="22" spans="1:49" ht="12.75">
      <c r="A22" s="133">
        <f>+A21+1</f>
        <v>12</v>
      </c>
      <c r="B22" s="166" t="s">
        <v>75</v>
      </c>
      <c r="C22" s="167">
        <f aca="true" t="shared" si="6" ref="C22:L22">SUM(C20:C21)</f>
        <v>0.5192969809024846</v>
      </c>
      <c r="D22" s="167">
        <f t="shared" si="6"/>
        <v>0.5177149568653057</v>
      </c>
      <c r="E22" s="167">
        <f t="shared" si="6"/>
        <v>0.5172097224002041</v>
      </c>
      <c r="F22" s="167">
        <f t="shared" si="6"/>
        <v>0.5206678248458676</v>
      </c>
      <c r="G22" s="167">
        <f t="shared" si="6"/>
        <v>0.514794613594878</v>
      </c>
      <c r="H22" s="167">
        <f t="shared" si="6"/>
        <v>0.5056828566105216</v>
      </c>
      <c r="I22" s="167">
        <f t="shared" si="6"/>
        <v>0.5049275547408795</v>
      </c>
      <c r="J22" s="167">
        <f t="shared" si="6"/>
        <v>0.5034558480739134</v>
      </c>
      <c r="K22" s="167">
        <f t="shared" si="6"/>
        <v>0.503056721504642</v>
      </c>
      <c r="L22" s="167">
        <f t="shared" si="6"/>
        <v>0.5080456420812955</v>
      </c>
      <c r="M22" s="167">
        <f>SUM(M20:M21)</f>
        <v>0.5077769882942342</v>
      </c>
      <c r="N22" s="167">
        <f>SUM(N20:N21)</f>
        <v>0.5095701507331787</v>
      </c>
      <c r="O22" s="167">
        <f>SUM(O20:O21)</f>
        <v>0.5198414848930919</v>
      </c>
      <c r="P22" s="167"/>
      <c r="Q22" s="168">
        <f>SUM(Q20:Q21)</f>
        <v>0.511056073329578</v>
      </c>
      <c r="R22" s="149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</row>
    <row r="23" spans="1:49" ht="12.75">
      <c r="A23" s="133">
        <f>A22+1</f>
        <v>13</v>
      </c>
      <c r="B23" s="166" t="s">
        <v>76</v>
      </c>
      <c r="C23" s="169">
        <f aca="true" t="shared" si="7" ref="C23:O23">C16/C$18</f>
        <v>0.48070301909751545</v>
      </c>
      <c r="D23" s="169">
        <f t="shared" si="7"/>
        <v>0.48228504313469434</v>
      </c>
      <c r="E23" s="169">
        <f t="shared" si="7"/>
        <v>0.482790277599796</v>
      </c>
      <c r="F23" s="169">
        <f t="shared" si="7"/>
        <v>0.47933217515413246</v>
      </c>
      <c r="G23" s="169">
        <f t="shared" si="7"/>
        <v>0.48520538640512206</v>
      </c>
      <c r="H23" s="169">
        <f t="shared" si="7"/>
        <v>0.49431714338947846</v>
      </c>
      <c r="I23" s="169">
        <f t="shared" si="7"/>
        <v>0.49507244525912053</v>
      </c>
      <c r="J23" s="169">
        <f t="shared" si="7"/>
        <v>0.4965441519260866</v>
      </c>
      <c r="K23" s="169">
        <f t="shared" si="7"/>
        <v>0.4969432784953581</v>
      </c>
      <c r="L23" s="169">
        <f t="shared" si="7"/>
        <v>0.49195435791870445</v>
      </c>
      <c r="M23" s="169">
        <f t="shared" si="7"/>
        <v>0.4922230117057657</v>
      </c>
      <c r="N23" s="169">
        <f t="shared" si="7"/>
        <v>0.49042984926682137</v>
      </c>
      <c r="O23" s="169">
        <f t="shared" si="7"/>
        <v>0.48015851510690805</v>
      </c>
      <c r="P23" s="169"/>
      <c r="Q23" s="170">
        <f>Q16/Q$18</f>
        <v>0.4889439266704219</v>
      </c>
      <c r="R23" s="149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</row>
    <row r="24" spans="1:49" ht="12.75">
      <c r="A24" s="171"/>
      <c r="B24" s="166"/>
      <c r="C24" s="172"/>
      <c r="D24" s="173"/>
      <c r="E24" s="173"/>
      <c r="F24" s="173"/>
      <c r="G24" s="173"/>
      <c r="H24" s="172"/>
      <c r="I24" s="172"/>
      <c r="J24" s="173"/>
      <c r="K24" s="173"/>
      <c r="L24" s="173"/>
      <c r="M24" s="173"/>
      <c r="N24" s="173"/>
      <c r="O24" s="173"/>
      <c r="P24" s="173"/>
      <c r="Q24" s="174"/>
      <c r="R24" s="149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</row>
    <row r="25" spans="1:49" ht="13.5" thickBot="1">
      <c r="A25" s="133">
        <f>+A23+1</f>
        <v>14</v>
      </c>
      <c r="B25" s="166" t="s">
        <v>77</v>
      </c>
      <c r="C25" s="175">
        <f aca="true" t="shared" si="8" ref="C25:O25">SUM(C22:C23)</f>
        <v>1</v>
      </c>
      <c r="D25" s="175">
        <f t="shared" si="8"/>
        <v>1</v>
      </c>
      <c r="E25" s="175">
        <f t="shared" si="8"/>
        <v>1</v>
      </c>
      <c r="F25" s="175">
        <f t="shared" si="8"/>
        <v>1</v>
      </c>
      <c r="G25" s="175">
        <f t="shared" si="8"/>
        <v>1</v>
      </c>
      <c r="H25" s="175">
        <f t="shared" si="8"/>
        <v>1</v>
      </c>
      <c r="I25" s="175">
        <f t="shared" si="8"/>
        <v>1</v>
      </c>
      <c r="J25" s="175">
        <f t="shared" si="8"/>
        <v>1</v>
      </c>
      <c r="K25" s="175">
        <f t="shared" si="8"/>
        <v>1</v>
      </c>
      <c r="L25" s="175">
        <f t="shared" si="8"/>
        <v>1</v>
      </c>
      <c r="M25" s="175">
        <f t="shared" si="8"/>
        <v>1</v>
      </c>
      <c r="N25" s="175">
        <f t="shared" si="8"/>
        <v>1</v>
      </c>
      <c r="O25" s="175">
        <f t="shared" si="8"/>
        <v>1</v>
      </c>
      <c r="P25" s="175"/>
      <c r="Q25" s="176">
        <f>SUM(Q22:Q23)</f>
        <v>1</v>
      </c>
      <c r="R25" s="149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</row>
    <row r="26" spans="1:49" ht="13.5" thickTop="1">
      <c r="A26" s="133"/>
      <c r="B26" s="145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49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</row>
    <row r="27" spans="1:49" ht="12.75">
      <c r="A27" s="133"/>
      <c r="B27" s="145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58"/>
      <c r="R27" s="149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</row>
    <row r="28" spans="1:49" ht="12.75">
      <c r="A28" s="133"/>
      <c r="B28" s="145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58"/>
      <c r="R28" s="149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</row>
    <row r="29" spans="1:49" ht="12.75">
      <c r="A29" s="133">
        <f>+A25+1</f>
        <v>15</v>
      </c>
      <c r="B29" s="145" t="s">
        <v>60</v>
      </c>
      <c r="C29" s="179">
        <v>3325793290</v>
      </c>
      <c r="D29" s="179">
        <v>3342175068</v>
      </c>
      <c r="E29" s="179">
        <v>3380566317</v>
      </c>
      <c r="F29" s="179">
        <v>3362991534</v>
      </c>
      <c r="G29" s="179">
        <v>3417149763</v>
      </c>
      <c r="H29" s="179">
        <v>3452649773</v>
      </c>
      <c r="I29" s="179">
        <v>3454569111</v>
      </c>
      <c r="J29" s="179">
        <v>3490110249</v>
      </c>
      <c r="K29" s="179">
        <v>3502087819</v>
      </c>
      <c r="L29" s="179">
        <v>3476562281</v>
      </c>
      <c r="M29" s="179">
        <v>3478929474</v>
      </c>
      <c r="N29" s="179">
        <v>3484969439</v>
      </c>
      <c r="O29" s="179">
        <v>3431067746</v>
      </c>
      <c r="P29" s="179"/>
      <c r="Q29" s="180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</row>
    <row r="30" spans="1:50" ht="12.75">
      <c r="A30" s="133">
        <f>+A29+1</f>
        <v>16</v>
      </c>
      <c r="B30" s="151" t="s">
        <v>23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2"/>
      <c r="Q30" s="183"/>
      <c r="R30" s="48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2"/>
    </row>
    <row r="31" spans="1:50" ht="12.75">
      <c r="A31" s="133">
        <f>+A30+1</f>
        <v>17</v>
      </c>
      <c r="B31" s="151" t="s">
        <v>24</v>
      </c>
      <c r="C31" s="184">
        <v>-14903000</v>
      </c>
      <c r="D31" s="184">
        <v>-14903000</v>
      </c>
      <c r="E31" s="184">
        <v>-14903000</v>
      </c>
      <c r="F31" s="184">
        <v>-14599821</v>
      </c>
      <c r="G31" s="184">
        <v>-14599821</v>
      </c>
      <c r="H31" s="184">
        <v>-14599821</v>
      </c>
      <c r="I31" s="184">
        <v>-14756651</v>
      </c>
      <c r="J31" s="184">
        <v>-14756651</v>
      </c>
      <c r="K31" s="184">
        <v>-14756651</v>
      </c>
      <c r="L31" s="184">
        <v>-14764536</v>
      </c>
      <c r="M31" s="184">
        <v>-14764536</v>
      </c>
      <c r="N31" s="184">
        <v>-14764536</v>
      </c>
      <c r="O31" s="184">
        <v>-14852840</v>
      </c>
      <c r="P31" s="184"/>
      <c r="R31" s="158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2"/>
    </row>
    <row r="32" spans="1:50" ht="12.75">
      <c r="A32" s="133">
        <f>A31+1</f>
        <v>18</v>
      </c>
      <c r="B32" s="185" t="s">
        <v>25</v>
      </c>
      <c r="C32" s="186">
        <f aca="true" t="shared" si="9" ref="C32:O32">SUM(C31:C31)</f>
        <v>-14903000</v>
      </c>
      <c r="D32" s="186">
        <f t="shared" si="9"/>
        <v>-14903000</v>
      </c>
      <c r="E32" s="186">
        <f t="shared" si="9"/>
        <v>-14903000</v>
      </c>
      <c r="F32" s="186">
        <f t="shared" si="9"/>
        <v>-14599821</v>
      </c>
      <c r="G32" s="186">
        <f t="shared" si="9"/>
        <v>-14599821</v>
      </c>
      <c r="H32" s="186">
        <f t="shared" si="9"/>
        <v>-14599821</v>
      </c>
      <c r="I32" s="186">
        <f t="shared" si="9"/>
        <v>-14756651</v>
      </c>
      <c r="J32" s="186">
        <f t="shared" si="9"/>
        <v>-14756651</v>
      </c>
      <c r="K32" s="186">
        <f t="shared" si="9"/>
        <v>-14756651</v>
      </c>
      <c r="L32" s="186">
        <f t="shared" si="9"/>
        <v>-14764536</v>
      </c>
      <c r="M32" s="186">
        <f t="shared" si="9"/>
        <v>-14764536</v>
      </c>
      <c r="N32" s="186">
        <f t="shared" si="9"/>
        <v>-14764536</v>
      </c>
      <c r="O32" s="186">
        <f t="shared" si="9"/>
        <v>-14852840</v>
      </c>
      <c r="P32" s="146"/>
      <c r="Q32" s="149"/>
      <c r="R32" s="158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2"/>
    </row>
    <row r="33" spans="1:50" ht="12.75">
      <c r="A33" s="133">
        <f aca="true" t="shared" si="10" ref="A33:A38">+A32+1</f>
        <v>19</v>
      </c>
      <c r="B33" s="187" t="s">
        <v>115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9"/>
      <c r="R33" s="158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2"/>
    </row>
    <row r="34" spans="1:50" ht="12.75">
      <c r="A34" s="133">
        <f t="shared" si="10"/>
        <v>20</v>
      </c>
      <c r="B34" s="188" t="s">
        <v>116</v>
      </c>
      <c r="C34" s="179">
        <v>-62112000</v>
      </c>
      <c r="D34" s="179">
        <v>-64079000</v>
      </c>
      <c r="E34" s="179">
        <v>-66034000</v>
      </c>
      <c r="F34" s="179">
        <v>-57631000</v>
      </c>
      <c r="G34" s="179">
        <v>-55848000</v>
      </c>
      <c r="H34" s="179">
        <v>-65532000</v>
      </c>
      <c r="I34" s="179">
        <v>-46697000</v>
      </c>
      <c r="J34" s="179">
        <v>-33874000</v>
      </c>
      <c r="K34" s="179">
        <v>-29400000</v>
      </c>
      <c r="L34" s="179">
        <v>-16327000</v>
      </c>
      <c r="M34" s="179">
        <v>-15579000</v>
      </c>
      <c r="N34" s="179">
        <v>-15579000</v>
      </c>
      <c r="O34" s="179">
        <v>-20439000</v>
      </c>
      <c r="P34" s="179"/>
      <c r="Q34" s="149"/>
      <c r="R34" s="158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2"/>
    </row>
    <row r="35" spans="1:50" ht="12.75">
      <c r="A35" s="133">
        <f t="shared" si="10"/>
        <v>21</v>
      </c>
      <c r="B35" s="188" t="s">
        <v>81</v>
      </c>
      <c r="C35" s="184">
        <v>-5751873</v>
      </c>
      <c r="D35" s="184">
        <v>-5725459</v>
      </c>
      <c r="E35" s="184">
        <v>-5699045</v>
      </c>
      <c r="F35" s="184">
        <v>-5672631</v>
      </c>
      <c r="G35" s="184">
        <v>-5646217</v>
      </c>
      <c r="H35" s="184">
        <v>-5619803</v>
      </c>
      <c r="I35" s="184">
        <v>-5593389</v>
      </c>
      <c r="J35" s="184">
        <v>-5566975</v>
      </c>
      <c r="K35" s="184">
        <v>-5540561</v>
      </c>
      <c r="L35" s="184">
        <v>-5514147</v>
      </c>
      <c r="M35" s="184">
        <v>-5487733</v>
      </c>
      <c r="N35" s="184">
        <v>-5461319</v>
      </c>
      <c r="O35" s="184">
        <v>-5434905</v>
      </c>
      <c r="P35" s="184"/>
      <c r="R35" s="158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2"/>
    </row>
    <row r="36" spans="1:50" ht="12.75">
      <c r="A36" s="133">
        <f t="shared" si="10"/>
        <v>22</v>
      </c>
      <c r="B36" s="188" t="s">
        <v>82</v>
      </c>
      <c r="C36" s="184">
        <v>-156657843</v>
      </c>
      <c r="D36" s="184">
        <v>-158675296</v>
      </c>
      <c r="E36" s="184">
        <v>-156426748</v>
      </c>
      <c r="F36" s="184">
        <v>-150364348</v>
      </c>
      <c r="G36" s="184">
        <v>-149584300</v>
      </c>
      <c r="H36" s="184">
        <v>-148803252</v>
      </c>
      <c r="I36" s="184">
        <v>-148024204</v>
      </c>
      <c r="J36" s="184">
        <v>-147243156</v>
      </c>
      <c r="K36" s="184">
        <v>-145904108</v>
      </c>
      <c r="L36" s="184">
        <v>-146550061</v>
      </c>
      <c r="M36" s="184">
        <v>-146221013</v>
      </c>
      <c r="N36" s="184">
        <v>-146030965</v>
      </c>
      <c r="O36" s="184">
        <v>-145414018</v>
      </c>
      <c r="P36" s="184"/>
      <c r="Q36" s="74"/>
      <c r="R36" s="158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2"/>
    </row>
    <row r="37" spans="1:50" ht="12.75">
      <c r="A37" s="133">
        <f t="shared" si="10"/>
        <v>23</v>
      </c>
      <c r="B37" s="189" t="s">
        <v>83</v>
      </c>
      <c r="C37" s="190">
        <f aca="true" t="shared" si="11" ref="C37:L37">SUM(C34:C36)</f>
        <v>-224521716</v>
      </c>
      <c r="D37" s="190">
        <f t="shared" si="11"/>
        <v>-228479755</v>
      </c>
      <c r="E37" s="190">
        <f t="shared" si="11"/>
        <v>-228159793</v>
      </c>
      <c r="F37" s="190">
        <f t="shared" si="11"/>
        <v>-213667979</v>
      </c>
      <c r="G37" s="190">
        <f t="shared" si="11"/>
        <v>-211078517</v>
      </c>
      <c r="H37" s="190">
        <f t="shared" si="11"/>
        <v>-219955055</v>
      </c>
      <c r="I37" s="190">
        <f t="shared" si="11"/>
        <v>-200314593</v>
      </c>
      <c r="J37" s="190">
        <f t="shared" si="11"/>
        <v>-186684131</v>
      </c>
      <c r="K37" s="190">
        <f t="shared" si="11"/>
        <v>-180844669</v>
      </c>
      <c r="L37" s="190">
        <f t="shared" si="11"/>
        <v>-168391208</v>
      </c>
      <c r="M37" s="190">
        <f>SUM(M34:M36)</f>
        <v>-167287746</v>
      </c>
      <c r="N37" s="190">
        <f>SUM(N34:N36)</f>
        <v>-167071284</v>
      </c>
      <c r="O37" s="190">
        <f>SUM(O34:O36)</f>
        <v>-171287923</v>
      </c>
      <c r="P37" s="191"/>
      <c r="Q37" s="149"/>
      <c r="R37" s="158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2"/>
    </row>
    <row r="38" spans="1:50" ht="13.5" thickBot="1">
      <c r="A38" s="133">
        <f t="shared" si="10"/>
        <v>24</v>
      </c>
      <c r="B38" s="145" t="s">
        <v>71</v>
      </c>
      <c r="C38" s="163">
        <f aca="true" t="shared" si="12" ref="C38:O38">+C29-C32-C37</f>
        <v>3565218006</v>
      </c>
      <c r="D38" s="163">
        <f t="shared" si="12"/>
        <v>3585557823</v>
      </c>
      <c r="E38" s="163">
        <f t="shared" si="12"/>
        <v>3623629110</v>
      </c>
      <c r="F38" s="163">
        <f t="shared" si="12"/>
        <v>3591259334</v>
      </c>
      <c r="G38" s="163">
        <f t="shared" si="12"/>
        <v>3642828101</v>
      </c>
      <c r="H38" s="163">
        <f t="shared" si="12"/>
        <v>3687204649</v>
      </c>
      <c r="I38" s="163">
        <f t="shared" si="12"/>
        <v>3669640355</v>
      </c>
      <c r="J38" s="163">
        <f t="shared" si="12"/>
        <v>3691551031</v>
      </c>
      <c r="K38" s="163">
        <f t="shared" si="12"/>
        <v>3697689139</v>
      </c>
      <c r="L38" s="163">
        <f t="shared" si="12"/>
        <v>3659718025</v>
      </c>
      <c r="M38" s="163">
        <f t="shared" si="12"/>
        <v>3660981756</v>
      </c>
      <c r="N38" s="163">
        <f t="shared" si="12"/>
        <v>3666805259</v>
      </c>
      <c r="O38" s="163">
        <f t="shared" si="12"/>
        <v>3617208509</v>
      </c>
      <c r="P38" s="158"/>
      <c r="Q38" s="192"/>
      <c r="R38" s="158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2"/>
    </row>
    <row r="39" spans="7:50" ht="13.5" thickTop="1"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48"/>
      <c r="R39" s="158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2"/>
    </row>
    <row r="40" spans="4:50" ht="12.75"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48"/>
      <c r="R40" s="158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2"/>
    </row>
    <row r="41" spans="4:50" ht="12.75"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48"/>
      <c r="R41" s="158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2"/>
    </row>
    <row r="42" spans="4:50" ht="12.75"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48"/>
      <c r="R42" s="158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2"/>
    </row>
    <row r="43" spans="4:50" ht="12.75">
      <c r="D43" s="179"/>
      <c r="E43" s="193"/>
      <c r="F43" s="193"/>
      <c r="G43" s="193"/>
      <c r="H43" s="184"/>
      <c r="I43" s="184"/>
      <c r="J43" s="184"/>
      <c r="K43" s="184"/>
      <c r="L43" s="184"/>
      <c r="M43" s="184"/>
      <c r="N43" s="184"/>
      <c r="O43" s="184"/>
      <c r="P43" s="184"/>
      <c r="Q43" s="48"/>
      <c r="R43" s="158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2"/>
    </row>
    <row r="44" spans="3:49" ht="12.75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8"/>
      <c r="R44" s="15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</row>
    <row r="45" spans="3:49" ht="12.7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8"/>
      <c r="R45" s="15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</row>
    <row r="46" spans="3:49" ht="12.75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8"/>
      <c r="R46" s="15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</row>
    <row r="47" spans="3:49" ht="12.75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8"/>
      <c r="R47" s="15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</row>
    <row r="48" spans="3:49" ht="12.75"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8"/>
      <c r="R48" s="15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</row>
    <row r="49" spans="3:49" ht="12.75"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8"/>
      <c r="R49" s="15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</row>
    <row r="50" spans="3:49" ht="12.75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8"/>
      <c r="R50" s="15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</row>
    <row r="51" spans="3:49" ht="12.75"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</row>
    <row r="52" spans="3:49" ht="12.75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</row>
    <row r="53" spans="3:49" ht="12.75"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</row>
    <row r="54" spans="3:49" ht="12.75"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</row>
    <row r="55" spans="3:49" ht="12.75"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</row>
    <row r="56" spans="3:49" ht="12.75"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</row>
    <row r="57" spans="3:49" ht="12.75"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</row>
    <row r="58" spans="3:49" ht="12.75"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</row>
    <row r="59" spans="3:49" ht="12.75"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</row>
    <row r="60" spans="3:49" ht="12.75"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</row>
    <row r="61" spans="3:49" ht="12.7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</row>
    <row r="62" spans="3:49" ht="12.75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</row>
    <row r="63" spans="3:49" ht="12.75"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</row>
    <row r="64" spans="3:49" ht="12.75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</row>
    <row r="65" spans="3:49" ht="12.75"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</row>
    <row r="66" spans="3:49" ht="12.75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</row>
    <row r="67" spans="3:49" ht="12.75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</row>
    <row r="68" spans="3:49" ht="12.75"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</row>
    <row r="69" spans="3:49" ht="12.75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</row>
    <row r="70" spans="3:49" ht="12.7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</row>
    <row r="71" spans="3:49" ht="12.75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</row>
    <row r="72" spans="3:49" ht="12.75"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</row>
    <row r="73" spans="3:49" ht="12.75"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</row>
    <row r="74" spans="3:49" ht="12.75"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</row>
    <row r="75" spans="3:49" ht="12.75"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</row>
    <row r="76" spans="3:49" ht="12.75"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</row>
    <row r="77" spans="3:49" ht="12.75"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</row>
    <row r="78" spans="3:49" ht="12.75"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</row>
    <row r="79" spans="3:49" ht="12.7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</row>
    <row r="80" spans="3:49" ht="12.75"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</row>
    <row r="81" spans="3:49" ht="12.75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</row>
    <row r="82" spans="3:49" ht="12.75"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</row>
    <row r="83" spans="3:49" ht="12.75"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</row>
    <row r="84" spans="3:49" ht="12.75"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</row>
    <row r="85" spans="3:49" ht="12.75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</row>
    <row r="86" spans="3:49" ht="12.75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</row>
    <row r="87" spans="3:49" ht="12.75"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</row>
    <row r="88" spans="3:49" ht="12.7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</row>
    <row r="89" spans="3:49" ht="12.75"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</row>
    <row r="90" spans="3:49" ht="12.75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</row>
    <row r="91" spans="3:49" ht="12.75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</row>
    <row r="92" spans="3:49" ht="12.75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</row>
    <row r="93" spans="3:49" ht="12.75"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</row>
    <row r="94" spans="3:49" ht="12.75"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</row>
    <row r="95" spans="3:49" ht="12.75"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</row>
    <row r="96" spans="3:49" ht="12.75"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</row>
    <row r="97" spans="3:49" ht="12.75"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3:49" ht="12.75"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</row>
    <row r="99" spans="3:49" ht="12.75"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</row>
    <row r="100" spans="3:49" ht="12.75"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</row>
    <row r="101" spans="3:49" ht="12.75"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</row>
    <row r="102" spans="3:49" ht="12.75"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</row>
    <row r="103" spans="3:49" ht="12.75"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</row>
    <row r="104" spans="3:49" ht="12.75"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</row>
    <row r="105" spans="3:49" ht="12.75"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</row>
    <row r="106" spans="3:49" ht="12.75"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</row>
    <row r="107" spans="3:49" ht="12.75"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</row>
    <row r="108" spans="3:49" ht="12.75"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</row>
    <row r="109" spans="3:49" ht="12.75"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</row>
    <row r="110" spans="3:49" ht="12.75"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</row>
    <row r="111" spans="3:49" ht="12.75"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</row>
    <row r="112" spans="3:49" ht="12.75"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</row>
    <row r="113" spans="3:49" ht="12.75"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</row>
    <row r="114" spans="3:49" ht="12.75"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</row>
    <row r="115" spans="3:49" ht="12.75"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</row>
    <row r="116" spans="3:49" ht="12.75"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</row>
    <row r="117" spans="3:49" ht="12.75"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</row>
    <row r="118" spans="3:49" ht="12.75"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</row>
    <row r="119" spans="3:49" ht="12.75"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</row>
    <row r="120" spans="3:49" ht="12.75"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</row>
    <row r="121" spans="3:49" ht="12.75"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</row>
    <row r="122" spans="3:49" ht="12.75"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</row>
    <row r="123" spans="3:49" ht="12.75"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</row>
    <row r="124" spans="3:49" ht="12.75"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</row>
    <row r="125" spans="3:49" ht="12.75"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</row>
    <row r="126" spans="3:49" ht="12.75"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</row>
    <row r="127" spans="3:49" ht="12.75"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</row>
    <row r="128" spans="3:49" ht="12.75"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</row>
    <row r="129" spans="3:49" ht="12.75"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</row>
    <row r="130" spans="3:49" ht="12.75"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</row>
    <row r="131" spans="3:49" ht="12.75"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</row>
    <row r="132" spans="3:49" ht="12.75"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</row>
    <row r="133" spans="3:49" ht="12.75"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</row>
    <row r="134" spans="3:49" ht="12.75"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</row>
    <row r="135" spans="3:49" ht="12.75"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</row>
    <row r="136" spans="3:49" ht="12.75"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</row>
    <row r="137" spans="3:49" ht="12.75"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</row>
    <row r="138" spans="3:49" ht="12.75"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</row>
    <row r="139" spans="3:49" ht="12.75"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</row>
    <row r="140" spans="3:49" ht="12.75"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</row>
    <row r="141" spans="3:49" ht="12.75"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</row>
    <row r="142" spans="3:49" ht="12.75"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</row>
    <row r="143" spans="3:49" ht="12.75"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</row>
    <row r="144" spans="3:49" ht="12.75"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</row>
    <row r="145" spans="3:49" ht="12.75"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</row>
    <row r="146" spans="3:49" ht="12.75"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</row>
    <row r="147" spans="3:49" ht="12.75"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</row>
    <row r="148" spans="3:49" ht="12.75"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</row>
    <row r="149" spans="3:49" ht="12.75"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</row>
    <row r="150" spans="3:49" ht="12.75"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</row>
    <row r="151" spans="3:49" ht="12.75"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</row>
    <row r="152" spans="3:49" ht="12.75"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</row>
    <row r="153" spans="3:49" ht="12.75"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</row>
    <row r="154" spans="3:49" ht="12.75"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</row>
    <row r="155" spans="3:49" ht="12.75"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</row>
    <row r="156" spans="3:49" ht="12.75"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</row>
    <row r="157" spans="3:49" ht="12.75"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</row>
    <row r="158" spans="3:49" ht="12.75"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</row>
    <row r="159" spans="3:49" ht="12.75"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</row>
    <row r="160" spans="3:49" ht="12.75"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</row>
    <row r="161" spans="3:49" ht="12.75"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</row>
    <row r="162" spans="3:49" ht="12.75"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</row>
    <row r="163" spans="3:49" ht="12.75"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</row>
    <row r="164" spans="3:49" ht="12.75"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</row>
    <row r="165" spans="3:49" ht="12.75"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</row>
    <row r="166" spans="3:49" ht="12.75"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</row>
    <row r="167" spans="3:49" ht="12.75"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</row>
    <row r="168" spans="3:49" ht="12.75"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</row>
    <row r="169" spans="3:49" ht="12.75"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</row>
    <row r="170" spans="3:49" ht="12.75"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</row>
    <row r="171" spans="3:49" ht="12.75"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</row>
    <row r="172" spans="3:49" ht="12.75"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</row>
    <row r="173" spans="3:49" ht="12.75"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</row>
    <row r="174" spans="3:49" ht="12.75"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</row>
    <row r="175" spans="3:49" ht="12.75"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</row>
    <row r="176" spans="3:49" ht="12.75"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</row>
    <row r="177" spans="3:49" ht="12.75"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</row>
    <row r="178" spans="3:49" ht="12.75"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</row>
    <row r="179" spans="3:49" ht="12.75"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</row>
    <row r="180" spans="3:49" ht="12.75"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</row>
    <row r="181" spans="3:49" ht="12.75"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</row>
    <row r="182" spans="3:49" ht="12.75"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</row>
    <row r="183" spans="3:49" ht="12.75"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</row>
    <row r="184" spans="3:49" ht="12.75"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</row>
    <row r="185" spans="3:49" ht="12.75"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</row>
    <row r="186" spans="3:49" ht="12.75"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</row>
    <row r="187" spans="3:49" ht="12.75"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</row>
    <row r="188" spans="3:49" ht="12.75"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</row>
    <row r="189" spans="3:49" ht="12.75"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</row>
    <row r="190" spans="3:49" ht="12.75"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</row>
    <row r="191" spans="3:49" ht="12.75"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</row>
    <row r="192" spans="3:49" ht="12.75"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</row>
    <row r="193" spans="3:49" ht="12.75"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</row>
    <row r="194" spans="3:49" ht="12.75"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</row>
    <row r="195" spans="3:49" ht="12.75"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</row>
    <row r="196" spans="3:49" ht="12.75"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</row>
    <row r="197" spans="3:49" ht="12.75"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</row>
    <row r="198" spans="3:49" ht="12.75"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</row>
    <row r="199" spans="3:49" ht="12.75"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</row>
    <row r="200" spans="3:49" ht="12.75"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</row>
    <row r="201" spans="3:49" ht="12.75"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</row>
    <row r="202" spans="3:49" ht="12.75"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</row>
    <row r="203" spans="3:49" ht="12.75"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</row>
    <row r="204" spans="3:49" ht="12.75"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</row>
    <row r="205" spans="3:49" ht="12.75"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</row>
    <row r="206" spans="3:49" ht="12.75"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</row>
    <row r="207" spans="3:49" ht="12.75"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</row>
    <row r="208" spans="3:49" ht="12.75"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</row>
    <row r="209" spans="3:49" ht="12.75"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</row>
    <row r="210" spans="3:49" ht="12.75"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</row>
    <row r="211" spans="3:49" ht="12.75"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</row>
    <row r="212" spans="3:49" ht="12.75"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</row>
    <row r="213" spans="3:49" ht="12.75"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</row>
    <row r="214" spans="3:49" ht="12.75"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</row>
    <row r="215" spans="3:49" ht="12.75"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</row>
    <row r="216" spans="3:49" ht="12.75"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</row>
    <row r="217" spans="3:49" ht="12.75"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</row>
    <row r="218" spans="3:49" ht="12.75"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</row>
    <row r="219" spans="3:49" ht="12.75"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</row>
    <row r="220" spans="3:49" ht="12.75"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</row>
    <row r="221" spans="3:49" ht="12.75"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</row>
    <row r="222" spans="3:49" ht="12.75"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</row>
    <row r="223" spans="3:49" ht="12.75"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</row>
    <row r="224" spans="3:49" ht="12.75"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</row>
    <row r="225" spans="3:49" ht="12.75"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</row>
    <row r="226" spans="3:49" ht="12.75"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</row>
    <row r="227" spans="3:49" ht="12.75"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</row>
    <row r="228" spans="3:49" ht="12.75"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</row>
    <row r="229" spans="3:49" ht="12.75"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</row>
    <row r="230" spans="3:49" ht="12.75"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</row>
    <row r="231" spans="3:49" ht="12.75"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</row>
    <row r="232" spans="3:49" ht="12.75"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</row>
    <row r="233" spans="3:49" ht="12.75"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</row>
    <row r="234" spans="3:49" ht="12.75"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</row>
    <row r="235" spans="3:49" ht="12.75"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</row>
    <row r="236" spans="3:49" ht="12.75"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</row>
    <row r="237" spans="3:49" ht="12.75"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</row>
    <row r="238" spans="3:49" ht="12.75"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</row>
    <row r="239" spans="3:49" ht="12.75"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</row>
    <row r="240" spans="3:49" ht="12.75"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</row>
    <row r="241" spans="3:49" ht="12.75"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</row>
    <row r="242" spans="3:49" ht="12.75"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</row>
    <row r="243" spans="3:49" ht="12.75"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</row>
    <row r="244" spans="3:49" ht="12.75"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</row>
    <row r="245" spans="3:49" ht="12.75"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</row>
    <row r="246" spans="3:49" ht="12.75"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</row>
    <row r="247" spans="3:49" ht="12.75"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</row>
    <row r="248" spans="3:49" ht="12.75"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</row>
    <row r="249" spans="3:49" ht="12.75"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</row>
    <row r="250" spans="3:49" ht="12.75"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</row>
    <row r="251" spans="3:49" ht="12.75"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</row>
    <row r="252" spans="3:49" ht="12.75"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</row>
    <row r="253" spans="3:49" ht="12.75"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</row>
    <row r="254" spans="3:49" ht="12.75"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</row>
    <row r="255" spans="3:49" ht="12.75"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</row>
    <row r="256" spans="3:49" ht="12.75"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</row>
    <row r="257" spans="3:49" ht="12.75"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</row>
    <row r="258" spans="3:49" ht="12.75"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</row>
    <row r="259" spans="3:49" ht="12.75"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</row>
    <row r="260" spans="3:49" ht="12.75"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</row>
    <row r="261" spans="3:49" ht="12.75"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</row>
    <row r="262" spans="3:49" ht="12.75"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</row>
    <row r="263" spans="3:49" ht="12.75"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</row>
    <row r="264" spans="3:49" ht="12.75"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</row>
    <row r="265" spans="3:49" ht="12.75"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</row>
    <row r="266" spans="3:49" ht="12.75"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</row>
    <row r="267" spans="3:49" ht="12.75"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</row>
    <row r="268" spans="3:49" ht="12.75"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</row>
    <row r="269" spans="3:49" ht="12.75"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</row>
    <row r="270" spans="3:49" ht="12.75"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</row>
    <row r="271" spans="3:49" ht="12.75"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</row>
    <row r="272" spans="3:49" ht="12.75"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</row>
    <row r="273" spans="3:49" ht="12.75"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</row>
    <row r="274" spans="3:49" ht="12.75"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</row>
    <row r="275" spans="3:49" ht="12.75"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</row>
    <row r="276" spans="3:49" ht="12.75"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</row>
    <row r="277" spans="3:49" ht="12.75"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</row>
    <row r="278" spans="3:49" ht="12.75"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</row>
    <row r="279" spans="3:49" ht="12.75"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</row>
    <row r="280" spans="3:49" ht="12.75"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</row>
    <row r="281" spans="3:49" ht="12.75"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</row>
    <row r="282" spans="3:49" ht="12.75"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</row>
    <row r="283" spans="3:49" ht="12.75"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</row>
    <row r="284" spans="3:49" ht="12.75"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</row>
    <row r="285" spans="3:49" ht="12.75"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</row>
    <row r="286" spans="3:49" ht="12.75"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</row>
    <row r="287" spans="3:49" ht="12.75"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</row>
    <row r="288" spans="3:49" ht="12.75"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</row>
    <row r="289" spans="3:49" ht="12.75"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</row>
    <row r="290" spans="3:49" ht="12.75"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</row>
    <row r="291" spans="3:49" ht="12.75"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</row>
    <row r="292" spans="3:49" ht="12.75"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</row>
    <row r="293" spans="3:49" ht="12.75"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</row>
    <row r="294" spans="3:49" ht="12.75"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</row>
    <row r="295" spans="3:49" ht="12.75"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</row>
    <row r="296" spans="3:49" ht="12.75"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</row>
    <row r="297" spans="3:49" ht="12.75"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</row>
    <row r="298" spans="3:49" ht="12.75"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</row>
    <row r="299" spans="3:49" ht="12.75"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</row>
    <row r="300" spans="3:49" ht="12.75"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</row>
    <row r="301" spans="3:49" ht="12.75"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</row>
    <row r="302" spans="3:49" ht="12.75"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</row>
    <row r="303" spans="3:49" ht="12.75"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</row>
    <row r="304" spans="3:49" ht="12.75"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</row>
    <row r="305" spans="3:49" ht="12.75"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</row>
    <row r="306" spans="3:49" ht="12.75"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</row>
    <row r="307" spans="3:49" ht="12.75"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</row>
    <row r="308" spans="3:49" ht="12.75"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</row>
    <row r="309" spans="3:49" ht="12.75"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</row>
    <row r="310" spans="3:49" ht="12.75"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</row>
    <row r="311" spans="3:49" ht="12.75"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</row>
    <row r="312" spans="3:49" ht="12.75"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</row>
    <row r="313" spans="3:49" ht="12.75"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</row>
    <row r="314" spans="3:49" ht="12.75"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</row>
    <row r="315" spans="3:49" ht="12.75"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</row>
    <row r="316" spans="3:49" ht="12.75"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</row>
    <row r="317" spans="3:49" ht="12.75"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</row>
    <row r="318" spans="3:49" ht="12.75"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</row>
    <row r="319" spans="3:49" ht="12.75"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</row>
    <row r="320" spans="3:49" ht="12.75"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</row>
    <row r="321" spans="3:49" ht="12.75"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</row>
    <row r="322" spans="3:49" ht="12.75"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</row>
    <row r="323" spans="3:49" ht="12.75"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</row>
    <row r="324" spans="3:49" ht="12.75"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</row>
    <row r="325" spans="3:49" ht="12.75"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</row>
    <row r="326" spans="3:49" ht="12.75"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</row>
    <row r="327" spans="3:49" ht="12.75"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</row>
    <row r="328" spans="3:49" ht="12.75"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</row>
    <row r="329" spans="3:49" ht="12.75"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</row>
    <row r="330" spans="3:49" ht="12.75"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</row>
    <row r="331" spans="3:49" ht="12.75"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</row>
    <row r="332" spans="3:49" ht="12.75"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</row>
    <row r="333" spans="3:49" ht="12.75"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</row>
    <row r="334" spans="3:49" ht="12.75"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</row>
    <row r="335" spans="3:49" ht="12.75"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</row>
    <row r="336" spans="3:49" ht="12.75"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</row>
    <row r="337" spans="3:49" ht="12.75"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</row>
    <row r="338" spans="3:49" ht="12.75"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</row>
    <row r="339" spans="3:49" ht="12.75"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</row>
    <row r="340" spans="3:49" ht="12.75"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</row>
    <row r="341" spans="3:49" ht="12.75"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</row>
    <row r="342" spans="3:49" ht="12.75"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</row>
    <row r="343" spans="3:49" ht="12.75"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</row>
    <row r="344" spans="3:49" ht="12.75"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</row>
    <row r="345" spans="3:49" ht="12.75"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</row>
    <row r="346" spans="3:49" ht="12.75"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</row>
    <row r="347" spans="3:49" ht="12.75"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</row>
    <row r="348" spans="3:49" ht="12.75"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</row>
    <row r="349" spans="3:49" ht="12.75"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</row>
    <row r="350" spans="3:49" ht="12.75"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</row>
    <row r="351" spans="3:49" ht="12.75"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</row>
    <row r="352" spans="3:49" ht="12.75"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</row>
    <row r="353" spans="3:49" ht="12.75"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</row>
    <row r="354" spans="3:49" ht="12.75"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</row>
    <row r="355" spans="3:49" ht="12.75"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</row>
    <row r="356" spans="3:49" ht="12.75"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</row>
    <row r="357" spans="3:49" ht="12.75"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</row>
    <row r="358" spans="3:49" ht="12.75"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</row>
    <row r="359" spans="3:49" ht="12.75"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</row>
    <row r="360" spans="3:49" ht="12.75"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</row>
    <row r="361" spans="3:49" ht="12.75"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</row>
    <row r="362" spans="3:49" ht="12.75"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</row>
    <row r="363" spans="3:49" ht="12.75"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</row>
    <row r="364" spans="3:49" ht="12.75"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</row>
    <row r="365" spans="3:49" ht="12.75"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</row>
    <row r="366" spans="3:49" ht="12.75"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</row>
    <row r="367" spans="3:49" ht="12.75"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</row>
    <row r="368" spans="3:49" ht="12.75"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</row>
    <row r="369" spans="3:49" ht="12.75"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</row>
    <row r="370" spans="3:49" ht="12.75"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</row>
    <row r="371" spans="3:49" ht="12.75"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</row>
    <row r="372" spans="3:49" ht="12.75"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</row>
    <row r="373" spans="3:49" ht="12.75"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</row>
    <row r="374" spans="3:49" ht="12.75"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</row>
    <row r="375" spans="3:49" ht="12.75"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</row>
    <row r="376" spans="3:49" ht="12.75"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</row>
    <row r="377" spans="3:49" ht="12.75"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</row>
    <row r="378" spans="3:49" ht="12.75"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</row>
    <row r="379" spans="3:49" ht="12.75"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</row>
    <row r="380" spans="3:49" ht="12.75"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</row>
    <row r="381" spans="3:49" ht="12.75"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</row>
    <row r="382" spans="3:49" ht="12.75"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</row>
    <row r="383" spans="3:49" ht="12.75"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</row>
    <row r="384" spans="3:49" ht="12.75"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</row>
    <row r="385" spans="3:49" ht="12.75"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</row>
    <row r="386" spans="3:49" ht="12.75"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</row>
    <row r="387" spans="3:49" ht="12.75"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</row>
    <row r="388" spans="3:49" ht="12.75"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</row>
    <row r="389" spans="3:49" ht="12.75"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</row>
    <row r="390" spans="3:49" ht="12.75"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</row>
    <row r="391" spans="3:49" ht="12.75"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</row>
    <row r="392" spans="3:49" ht="12.75"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</row>
    <row r="393" spans="3:49" ht="12.75"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</row>
    <row r="394" spans="3:49" ht="12.75"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</row>
    <row r="395" spans="3:49" ht="12.75"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</row>
    <row r="396" spans="3:49" ht="12.75"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</row>
    <row r="397" spans="3:49" ht="12.75"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</row>
    <row r="398" spans="3:49" ht="12.75"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</row>
    <row r="399" spans="3:49" ht="12.75"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</row>
    <row r="400" spans="3:49" ht="12.75"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</row>
    <row r="401" spans="3:49" ht="12.75"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</row>
    <row r="402" spans="3:49" ht="12.75"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</row>
    <row r="403" spans="3:49" ht="12.75"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</row>
    <row r="404" spans="3:49" ht="12.75"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</row>
    <row r="405" spans="3:49" ht="12.75"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</row>
    <row r="406" spans="3:49" ht="12.75"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</row>
    <row r="407" spans="3:49" ht="12.75"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</row>
    <row r="408" spans="3:49" ht="12.75"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</row>
    <row r="409" spans="3:49" ht="12.75"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</row>
    <row r="410" spans="3:49" ht="12.75"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</row>
    <row r="411" spans="3:49" ht="12.75"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</row>
    <row r="412" spans="3:49" ht="12.75"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</row>
    <row r="413" spans="3:49" ht="12.75"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</row>
    <row r="414" spans="3:49" ht="12.75"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</row>
    <row r="415" spans="3:49" ht="12.75"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</row>
    <row r="416" spans="3:49" ht="12.75"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</row>
    <row r="417" spans="3:49" ht="12.75"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</row>
    <row r="418" spans="3:49" ht="12.75"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</row>
    <row r="419" spans="3:49" ht="12.75"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</row>
    <row r="420" spans="3:49" ht="12.75"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</row>
    <row r="421" spans="3:49" ht="12.75"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</row>
    <row r="422" spans="3:49" ht="12.75"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</row>
    <row r="423" spans="3:49" ht="12.75"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</row>
    <row r="424" spans="3:49" ht="12.75"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</row>
    <row r="425" spans="3:49" ht="12.75"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</row>
    <row r="426" spans="3:49" ht="12.75"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</row>
    <row r="427" spans="3:49" ht="12.75"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</row>
    <row r="428" spans="3:49" ht="12.75"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</row>
    <row r="429" spans="3:49" ht="12.75"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</row>
    <row r="430" spans="3:49" ht="12.75"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</row>
    <row r="431" spans="3:49" ht="12.75"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</row>
    <row r="432" spans="3:49" ht="12.75"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</row>
    <row r="433" spans="3:49" ht="12.75"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</row>
    <row r="434" spans="3:49" ht="12.75"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</row>
    <row r="435" spans="3:49" ht="12.75"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</row>
    <row r="436" spans="3:49" ht="12.75"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</row>
    <row r="437" spans="3:49" ht="12.75"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</row>
    <row r="438" spans="3:49" ht="12.75"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</row>
    <row r="439" spans="3:49" ht="12.75"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</row>
    <row r="440" spans="3:49" ht="12.75"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</row>
    <row r="441" spans="3:49" ht="12.75"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</row>
    <row r="442" spans="3:49" ht="12.75"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</row>
    <row r="443" spans="3:49" ht="12.75"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</row>
    <row r="444" spans="3:49" ht="12.75"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</row>
    <row r="445" spans="3:49" ht="12.75"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</row>
    <row r="446" spans="3:49" ht="12.75"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</row>
    <row r="447" spans="3:49" ht="12.75"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</row>
    <row r="448" spans="3:49" ht="12.75"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</row>
    <row r="449" spans="3:49" ht="12.75"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</row>
    <row r="450" spans="3:49" ht="12.75"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</row>
    <row r="451" spans="3:49" ht="12.75"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</row>
    <row r="452" spans="3:49" ht="12.75"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</row>
    <row r="453" spans="3:49" ht="12.75"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</row>
    <row r="454" spans="3:49" ht="12.75"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</row>
    <row r="455" spans="3:49" ht="12.75"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</row>
    <row r="456" spans="3:49" ht="12.75"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</row>
    <row r="457" spans="3:49" ht="12.75"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</row>
    <row r="458" spans="3:49" ht="12.75"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</row>
    <row r="459" spans="3:49" ht="12.75"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</row>
    <row r="460" spans="3:49" ht="12.75"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</row>
    <row r="461" spans="3:49" ht="12.75"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</row>
    <row r="462" spans="3:49" ht="12.75"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</row>
    <row r="463" spans="3:49" ht="12.75"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</row>
    <row r="464" spans="3:49" ht="12.75"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</row>
    <row r="465" spans="3:49" ht="12.75"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</row>
    <row r="466" spans="3:49" ht="12.75"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</row>
    <row r="467" spans="3:49" ht="12.75"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</row>
    <row r="468" spans="3:49" ht="12.75"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</row>
    <row r="469" spans="3:49" ht="12.75"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</row>
    <row r="470" spans="3:49" ht="12.75"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</row>
    <row r="471" spans="3:49" ht="12.75"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</row>
    <row r="472" spans="3:49" ht="12.75"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</row>
    <row r="473" spans="3:49" ht="12.75"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</row>
    <row r="474" spans="3:49" ht="12.75"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</row>
    <row r="475" spans="3:49" ht="12.75"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</row>
    <row r="476" spans="3:49" ht="12.75"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</row>
    <row r="477" spans="3:49" ht="12.75"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</row>
    <row r="478" spans="3:49" ht="12.75"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</row>
    <row r="479" spans="3:49" ht="12.75"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</row>
    <row r="480" spans="3:49" ht="12.75"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</row>
    <row r="481" spans="3:49" ht="12.75"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</row>
    <row r="482" spans="3:49" ht="12.75"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</row>
    <row r="483" spans="3:49" ht="12.75"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</row>
    <row r="484" spans="3:49" ht="12.75"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</row>
    <row r="485" spans="3:49" ht="12.75"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</row>
    <row r="486" spans="3:49" ht="12.75"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</row>
    <row r="487" spans="3:49" ht="12.75"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</row>
    <row r="488" spans="3:49" ht="12.75"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</row>
    <row r="489" spans="3:49" ht="12.75"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</row>
    <row r="490" spans="3:49" ht="12.75"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</row>
    <row r="491" spans="3:49" ht="12.75"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</row>
    <row r="492" spans="3:49" ht="12.75"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</row>
    <row r="493" spans="3:49" ht="12.75"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</row>
    <row r="494" spans="3:49" ht="12.75"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</row>
    <row r="495" spans="3:49" ht="12.75"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</row>
    <row r="496" spans="3:49" ht="12.75"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</row>
    <row r="497" spans="3:49" ht="12.75"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</row>
    <row r="498" spans="3:49" ht="12.75"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</row>
    <row r="499" spans="3:49" ht="12.75"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</row>
    <row r="500" spans="3:49" ht="12.75"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</row>
    <row r="501" spans="3:49" ht="12.75"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</row>
    <row r="502" spans="3:49" ht="12.75"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</row>
    <row r="503" spans="3:49" ht="12.75"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</row>
    <row r="504" spans="3:49" ht="12.75"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</row>
    <row r="505" spans="3:49" ht="12.75"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</row>
    <row r="506" spans="3:49" ht="12.75"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</row>
    <row r="507" spans="3:49" ht="12.75"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</row>
    <row r="508" spans="3:49" ht="12.75"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</row>
    <row r="509" spans="3:49" ht="12.75"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</row>
    <row r="510" spans="3:49" ht="12.75"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</row>
    <row r="511" spans="3:49" ht="12.75"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</row>
    <row r="512" spans="3:49" ht="12.75"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</row>
    <row r="513" spans="3:49" ht="12.75"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</row>
    <row r="514" spans="3:49" ht="12.75"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</row>
    <row r="515" spans="3:49" ht="12.75"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</row>
    <row r="516" spans="3:49" ht="12.75"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</row>
    <row r="517" spans="3:49" ht="12.75"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</row>
    <row r="518" spans="3:49" ht="12.75"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</row>
    <row r="519" spans="3:49" ht="12.75"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</row>
    <row r="520" spans="3:49" ht="12.75"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</row>
    <row r="521" spans="3:49" ht="12.75"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</row>
    <row r="522" spans="3:49" ht="12.75"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</row>
    <row r="523" spans="3:49" ht="12.75"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</row>
    <row r="524" spans="3:49" ht="12.75"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</row>
    <row r="525" spans="3:49" ht="12.75"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</row>
    <row r="526" spans="3:49" ht="12.75"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</row>
    <row r="527" spans="3:49" ht="12.75"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</row>
    <row r="528" spans="3:49" ht="12.75"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</row>
    <row r="529" spans="3:49" ht="12.75"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</row>
    <row r="530" spans="3:49" ht="12.75"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</row>
    <row r="531" spans="3:49" ht="12.75"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</row>
    <row r="532" spans="3:49" ht="12.75"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</row>
    <row r="533" spans="3:49" ht="12.75"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</row>
    <row r="534" spans="3:49" ht="12.75"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</row>
    <row r="535" spans="3:49" ht="12.75"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</row>
    <row r="536" spans="3:49" ht="12.75"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</row>
    <row r="537" spans="3:49" ht="12.75"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</row>
    <row r="538" spans="3:49" ht="12.75"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</row>
    <row r="539" spans="3:49" ht="12.75"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</row>
    <row r="540" spans="3:49" ht="12.75"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</row>
    <row r="541" spans="3:49" ht="12.75"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</row>
    <row r="542" spans="3:49" ht="12.75"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</row>
    <row r="543" spans="3:49" ht="12.75"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</row>
    <row r="544" spans="3:49" ht="12.75"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</row>
    <row r="545" spans="3:49" ht="12.75"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</row>
    <row r="546" spans="3:49" ht="12.75"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</row>
    <row r="547" spans="3:49" ht="12.75"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</row>
    <row r="548" spans="3:49" ht="12.75"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</row>
    <row r="549" spans="3:49" ht="12.75"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</row>
    <row r="550" spans="3:49" ht="12.75"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</row>
    <row r="551" spans="3:49" ht="12.75"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</row>
    <row r="552" spans="3:49" ht="12.75"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</row>
    <row r="553" spans="3:49" ht="12.75"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</row>
    <row r="554" spans="3:49" ht="12.75"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</row>
    <row r="555" spans="3:49" ht="12.75"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</row>
    <row r="556" spans="3:49" ht="12.75"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</row>
    <row r="557" spans="3:49" ht="12.75"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</row>
    <row r="558" spans="3:49" ht="12.75"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</row>
    <row r="559" spans="3:49" ht="12.75"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</row>
    <row r="560" spans="3:49" ht="12.75"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</row>
    <row r="561" spans="3:49" ht="12.75"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</row>
    <row r="562" spans="3:49" ht="12.75"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</row>
    <row r="563" spans="3:49" ht="12.75"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</row>
    <row r="564" spans="3:49" ht="12.75"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</row>
    <row r="565" spans="3:49" ht="12.75"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</row>
    <row r="566" spans="3:49" ht="12.75"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</row>
    <row r="567" spans="3:49" ht="12.75"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</row>
    <row r="568" spans="3:49" ht="12.75"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</row>
    <row r="569" spans="3:49" ht="12.75"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</row>
    <row r="570" spans="3:49" ht="12.75"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</row>
    <row r="571" spans="3:49" ht="12.75"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</row>
    <row r="572" spans="3:49" ht="12.75"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</row>
    <row r="573" spans="3:49" ht="12.75"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</row>
    <row r="574" spans="3:49" ht="12.75"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</row>
    <row r="575" spans="3:49" ht="12.75"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</row>
    <row r="576" spans="3:49" ht="12.75"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</row>
    <row r="577" spans="3:49" ht="12.75"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</row>
    <row r="578" spans="3:49" ht="12.75"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</row>
    <row r="579" spans="3:49" ht="12.75"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</row>
    <row r="580" spans="3:49" ht="12.75"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</row>
    <row r="581" spans="3:49" ht="12.75"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</row>
    <row r="582" spans="3:49" ht="12.75"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</row>
    <row r="583" spans="3:49" ht="12.75"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</row>
    <row r="584" spans="3:49" ht="12.75"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</row>
    <row r="585" spans="3:49" ht="12.75"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</row>
    <row r="586" spans="3:49" ht="12.75"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</row>
    <row r="587" spans="3:49" ht="12.75"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</row>
    <row r="588" spans="3:49" ht="12.75"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</row>
    <row r="589" spans="3:49" ht="12.75"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</row>
    <row r="590" spans="3:49" ht="12.75"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</row>
    <row r="591" spans="3:49" ht="12.75"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</row>
    <row r="592" spans="3:49" ht="12.75"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</row>
    <row r="593" spans="3:49" ht="12.75"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</row>
    <row r="594" spans="3:49" ht="12.75"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</row>
    <row r="595" spans="3:49" ht="12.75"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</row>
    <row r="596" spans="3:49" ht="12.75"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</row>
    <row r="597" spans="3:49" ht="12.75"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</row>
    <row r="598" spans="3:49" ht="12.75"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</row>
    <row r="599" spans="3:49" ht="12.75"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</row>
    <row r="600" spans="3:49" ht="12.75"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</row>
    <row r="601" spans="3:49" ht="12.75"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</row>
    <row r="602" spans="3:49" ht="12.75"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</row>
    <row r="603" spans="3:49" ht="12.75"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</row>
    <row r="604" spans="3:49" ht="12.75"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</row>
    <row r="605" spans="3:49" ht="12.75"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</row>
    <row r="606" spans="3:49" ht="12.75"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</row>
    <row r="607" spans="3:49" ht="12.75"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</row>
    <row r="608" spans="3:49" ht="12.75"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</row>
    <row r="609" spans="3:49" ht="12.75"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</row>
    <row r="610" spans="3:49" ht="12.75"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</row>
    <row r="611" spans="3:49" ht="12.75"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</row>
    <row r="612" spans="3:49" ht="12.75"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</row>
    <row r="613" spans="3:49" ht="12.75"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</row>
    <row r="614" spans="3:49" ht="12.75"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</row>
    <row r="615" spans="3:49" ht="12.75"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</row>
    <row r="616" spans="3:49" ht="12.75"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</row>
    <row r="617" spans="3:49" ht="12.75"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</row>
    <row r="618" spans="3:49" ht="12.75"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</row>
    <row r="619" spans="3:49" ht="12.75"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</row>
    <row r="620" spans="3:49" ht="12.75"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</row>
    <row r="621" spans="3:49" ht="12.75"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</row>
    <row r="622" spans="3:49" ht="12.75"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</row>
    <row r="623" spans="3:49" ht="12.75"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</row>
    <row r="624" spans="3:49" ht="12.75"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</row>
    <row r="625" spans="3:49" ht="12.75"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</row>
    <row r="626" spans="3:49" ht="12.75"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</row>
    <row r="627" spans="3:49" ht="12.75"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</row>
    <row r="628" spans="3:49" ht="12.75"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</row>
    <row r="629" spans="3:49" ht="12.75"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</row>
    <row r="630" spans="3:49" ht="12.75"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</row>
    <row r="631" spans="3:49" ht="12.75"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</row>
    <row r="632" spans="3:49" ht="12.75"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</row>
    <row r="633" spans="3:49" ht="12.75"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</row>
    <row r="634" spans="3:49" ht="12.75"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</row>
    <row r="635" spans="3:49" ht="12.75"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</row>
    <row r="636" spans="3:49" ht="12.75"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</row>
    <row r="637" spans="3:49" ht="12.75"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</row>
    <row r="638" spans="3:49" ht="12.75"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</row>
    <row r="639" spans="3:49" ht="12.75"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</row>
    <row r="640" spans="3:49" ht="12.75"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</row>
    <row r="641" spans="3:49" ht="12.75"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</row>
    <row r="642" spans="3:49" ht="12.75"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</row>
    <row r="643" spans="3:49" ht="12.75"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</row>
    <row r="644" spans="3:49" ht="12.75"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</row>
    <row r="645" spans="3:49" ht="12.75"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</row>
    <row r="646" spans="3:49" ht="12.75"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</row>
    <row r="647" spans="3:49" ht="12.75"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</row>
    <row r="648" spans="3:49" ht="12.75"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</row>
    <row r="649" spans="3:49" ht="12.75"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</row>
    <row r="650" spans="3:49" ht="12.75"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</row>
    <row r="651" spans="3:49" ht="12.75"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</row>
    <row r="652" spans="3:49" ht="12.75"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</row>
    <row r="653" spans="3:49" ht="12.75"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</row>
    <row r="654" spans="3:49" ht="12.75"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</row>
    <row r="655" spans="3:49" ht="12.75"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</row>
    <row r="656" spans="3:49" ht="12.75"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</row>
    <row r="657" spans="3:49" ht="12.75"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</row>
    <row r="658" spans="3:49" ht="12.75"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</row>
    <row r="659" spans="3:49" ht="12.75"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</row>
    <row r="660" spans="3:49" ht="12.75"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</row>
    <row r="661" spans="3:49" ht="12.75"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</row>
    <row r="662" spans="3:49" ht="12.75"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</row>
    <row r="663" spans="3:49" ht="12.75"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</row>
    <row r="664" spans="3:49" ht="12.75"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</row>
  </sheetData>
  <sheetProtection/>
  <mergeCells count="2">
    <mergeCell ref="B4:Q4"/>
    <mergeCell ref="B3:Q3"/>
  </mergeCells>
  <printOptions horizontalCentered="1"/>
  <pageMargins left="0.2" right="0.2" top="0.28" bottom="0.4" header="0.26" footer="0.22"/>
  <pageSetup fitToHeight="1" fitToWidth="1" horizontalDpi="600" verticalDpi="600" orientation="landscape" scale="84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workbookViewId="0" topLeftCell="A1">
      <selection activeCell="A1" sqref="A1"/>
    </sheetView>
  </sheetViews>
  <sheetFormatPr defaultColWidth="11.5" defaultRowHeight="11.25"/>
  <cols>
    <col min="1" max="1" width="8.33203125" style="5" customWidth="1"/>
    <col min="2" max="2" width="46" style="5" customWidth="1"/>
    <col min="3" max="3" width="17.16015625" style="5" customWidth="1"/>
    <col min="4" max="4" width="11.5" style="5" customWidth="1"/>
    <col min="5" max="5" width="14.33203125" style="5" customWidth="1"/>
    <col min="6" max="6" width="13.5" style="5" customWidth="1"/>
    <col min="7" max="7" width="12.83203125" style="5" customWidth="1"/>
    <col min="8" max="8" width="11.83203125" style="5" customWidth="1"/>
    <col min="9" max="253" width="8.83203125" style="5" customWidth="1"/>
    <col min="254" max="16384" width="11.5" style="5" customWidth="1"/>
  </cols>
  <sheetData>
    <row r="1" spans="1:8" ht="12.75">
      <c r="A1" s="3" t="s">
        <v>1</v>
      </c>
      <c r="B1" s="4"/>
      <c r="C1" s="4"/>
      <c r="D1" s="4"/>
      <c r="E1" s="4"/>
      <c r="F1" s="4"/>
      <c r="G1" s="4"/>
      <c r="H1" s="4"/>
    </row>
    <row r="2" spans="1:6" ht="15.75">
      <c r="A2" s="33"/>
      <c r="B2" s="194" t="s">
        <v>189</v>
      </c>
      <c r="C2" s="195"/>
      <c r="D2" s="195"/>
      <c r="E2" s="195"/>
      <c r="F2" s="195"/>
    </row>
    <row r="3" spans="1:6" ht="15.75">
      <c r="A3" s="33"/>
      <c r="B3" s="194" t="s">
        <v>28</v>
      </c>
      <c r="C3" s="195"/>
      <c r="D3" s="195"/>
      <c r="E3" s="195"/>
      <c r="F3" s="195"/>
    </row>
    <row r="4" spans="2:6" ht="15.75" customHeight="1">
      <c r="B4" s="196">
        <f>+'Pg 1 CofCap'!B5</f>
        <v>42643</v>
      </c>
      <c r="C4" s="197"/>
      <c r="D4" s="197"/>
      <c r="E4" s="197"/>
      <c r="F4" s="197"/>
    </row>
    <row r="5" spans="2:6" ht="12.75" customHeight="1">
      <c r="B5" s="6"/>
      <c r="C5" s="6"/>
      <c r="D5" s="7"/>
      <c r="E5" s="7"/>
      <c r="F5" s="7"/>
    </row>
    <row r="6" ht="12.75">
      <c r="A6" s="3" t="s">
        <v>1</v>
      </c>
    </row>
    <row r="7" spans="1:3" ht="12.75">
      <c r="A7" s="3" t="s">
        <v>1</v>
      </c>
      <c r="C7" s="5" t="s">
        <v>1</v>
      </c>
    </row>
    <row r="8" spans="1:6" ht="12.75">
      <c r="A8" s="3">
        <v>1</v>
      </c>
      <c r="B8" s="198" t="s">
        <v>2</v>
      </c>
      <c r="C8" s="198" t="s">
        <v>19</v>
      </c>
      <c r="D8" s="198" t="s">
        <v>35</v>
      </c>
      <c r="E8" s="198" t="s">
        <v>45</v>
      </c>
      <c r="F8" s="198" t="s">
        <v>46</v>
      </c>
    </row>
    <row r="9" spans="1:6" ht="12.75">
      <c r="A9" s="3">
        <f aca="true" t="shared" si="0" ref="A9:A21">A8+1</f>
        <v>2</v>
      </c>
      <c r="B9" s="199"/>
      <c r="C9" s="198"/>
      <c r="D9" s="199"/>
      <c r="E9" s="199"/>
      <c r="F9" s="199"/>
    </row>
    <row r="10" spans="1:6" ht="12.75">
      <c r="A10" s="3">
        <f t="shared" si="0"/>
        <v>3</v>
      </c>
      <c r="B10" s="199"/>
      <c r="C10" s="198" t="s">
        <v>36</v>
      </c>
      <c r="D10" s="198" t="s">
        <v>29</v>
      </c>
      <c r="E10" s="198" t="s">
        <v>15</v>
      </c>
      <c r="F10" s="198" t="s">
        <v>8</v>
      </c>
    </row>
    <row r="11" spans="1:6" ht="12.75">
      <c r="A11" s="3">
        <f t="shared" si="0"/>
        <v>4</v>
      </c>
      <c r="B11" s="200" t="s">
        <v>6</v>
      </c>
      <c r="C11" s="200" t="s">
        <v>58</v>
      </c>
      <c r="D11" s="200" t="s">
        <v>16</v>
      </c>
      <c r="E11" s="200" t="s">
        <v>17</v>
      </c>
      <c r="F11" s="200" t="s">
        <v>16</v>
      </c>
    </row>
    <row r="12" spans="1:6" ht="12.75">
      <c r="A12" s="3">
        <f t="shared" si="0"/>
        <v>5</v>
      </c>
      <c r="B12" s="8"/>
      <c r="C12" s="201"/>
      <c r="D12" s="201"/>
      <c r="E12" s="3"/>
      <c r="F12" s="201"/>
    </row>
    <row r="13" spans="1:7" ht="12.75">
      <c r="A13" s="3">
        <f t="shared" si="0"/>
        <v>6</v>
      </c>
      <c r="B13" s="8" t="s">
        <v>27</v>
      </c>
      <c r="C13" s="202">
        <f>'Pg 4 STD OS &amp; Comm Fees'!C11</f>
        <v>44441224.09</v>
      </c>
      <c r="D13" s="203">
        <f>IF(E13=0,"NA",(E13/C13))</f>
        <v>0.006765796085883646</v>
      </c>
      <c r="E13" s="202">
        <f>'Pg 4 STD OS &amp; Comm Fees'!D11</f>
        <v>300680.26</v>
      </c>
      <c r="F13" s="9"/>
      <c r="G13" s="10"/>
    </row>
    <row r="14" spans="1:7" ht="12.75">
      <c r="A14" s="3">
        <f t="shared" si="0"/>
        <v>7</v>
      </c>
      <c r="B14" s="5" t="s">
        <v>80</v>
      </c>
      <c r="C14" s="204">
        <f>'Pg 4 STD OS &amp; Comm Fees'!C12</f>
        <v>0</v>
      </c>
      <c r="D14" s="205" t="str">
        <f>IF(E14=0,"NA",(E14/C14))</f>
        <v>NA</v>
      </c>
      <c r="E14" s="202">
        <f>'Pg 4 STD OS &amp; Comm Fees'!D12</f>
        <v>0</v>
      </c>
      <c r="F14" s="9"/>
      <c r="G14" s="10"/>
    </row>
    <row r="15" spans="1:7" ht="12.75">
      <c r="A15" s="3">
        <v>10</v>
      </c>
      <c r="B15" s="5" t="s">
        <v>120</v>
      </c>
      <c r="C15" s="204">
        <f>'Pg 4 STD OS &amp; Comm Fees'!C13</f>
        <v>0</v>
      </c>
      <c r="D15" s="205" t="str">
        <f>IF(E15=0,"NA",(E15/C15))</f>
        <v>NA</v>
      </c>
      <c r="E15" s="202">
        <f>'Pg 4 STD OS &amp; Comm Fees'!D13</f>
        <v>0</v>
      </c>
      <c r="F15" s="9"/>
      <c r="G15" s="10"/>
    </row>
    <row r="16" spans="1:7" ht="12.75">
      <c r="A16" s="3">
        <f t="shared" si="0"/>
        <v>11</v>
      </c>
      <c r="B16" s="206" t="s">
        <v>102</v>
      </c>
      <c r="C16" s="207">
        <f>SUM(C13:C15)</f>
        <v>44441224.09</v>
      </c>
      <c r="D16" s="208">
        <f>IF(E16=0,"NA",(E16/C16))</f>
        <v>0.006765796085883646</v>
      </c>
      <c r="E16" s="209">
        <f>SUM(E13:E15)</f>
        <v>300680.26</v>
      </c>
      <c r="F16" s="9">
        <f>E16/C18</f>
        <v>0.006765796085883646</v>
      </c>
      <c r="G16" s="10"/>
    </row>
    <row r="17" spans="1:7" ht="13.5" thickBot="1">
      <c r="A17" s="3">
        <f t="shared" si="0"/>
        <v>12</v>
      </c>
      <c r="C17" s="210"/>
      <c r="D17" s="211"/>
      <c r="E17" s="212"/>
      <c r="G17" s="10"/>
    </row>
    <row r="18" spans="1:7" ht="13.5" thickBot="1">
      <c r="A18" s="3">
        <f t="shared" si="0"/>
        <v>13</v>
      </c>
      <c r="B18" s="213" t="s">
        <v>30</v>
      </c>
      <c r="C18" s="214">
        <f>C16</f>
        <v>44441224.09</v>
      </c>
      <c r="D18" s="215"/>
      <c r="E18" s="214">
        <f>E16</f>
        <v>300680.26</v>
      </c>
      <c r="F18" s="216">
        <f>E18/C18</f>
        <v>0.006765796085883646</v>
      </c>
      <c r="G18" s="10"/>
    </row>
    <row r="19" spans="1:7" ht="12.75">
      <c r="A19" s="3">
        <f t="shared" si="0"/>
        <v>14</v>
      </c>
      <c r="G19" s="10"/>
    </row>
    <row r="20" spans="1:7" ht="12.75">
      <c r="A20" s="3">
        <f t="shared" si="0"/>
        <v>15</v>
      </c>
      <c r="E20" s="10"/>
      <c r="F20" s="9"/>
      <c r="G20" s="10"/>
    </row>
    <row r="21" spans="1:7" ht="12.75">
      <c r="A21" s="3">
        <f t="shared" si="0"/>
        <v>16</v>
      </c>
      <c r="B21" s="217" t="s">
        <v>185</v>
      </c>
      <c r="C21" s="218"/>
      <c r="D21" s="218"/>
      <c r="E21" s="218"/>
      <c r="F21" s="8"/>
      <c r="G21" s="10"/>
    </row>
    <row r="22" spans="1:7" ht="12.75">
      <c r="A22" s="3"/>
      <c r="B22" s="217"/>
      <c r="E22" s="10"/>
      <c r="F22" s="9"/>
      <c r="G22" s="10"/>
    </row>
    <row r="23" spans="1:2" ht="12.75">
      <c r="A23" s="3"/>
      <c r="B23" s="217"/>
    </row>
    <row r="24" spans="1:2" ht="12.75">
      <c r="A24" s="3"/>
      <c r="B24" s="8"/>
    </row>
    <row r="25" spans="1:2" ht="12.75">
      <c r="A25" s="3"/>
      <c r="B25" s="8"/>
    </row>
    <row r="26" ht="12.75">
      <c r="A26" s="3" t="s">
        <v>1</v>
      </c>
    </row>
    <row r="27" ht="12.75" customHeight="1">
      <c r="A27" s="11"/>
    </row>
    <row r="28" spans="1:7" ht="12.75">
      <c r="A28" s="3" t="s">
        <v>1</v>
      </c>
      <c r="E28" s="10"/>
      <c r="F28" s="9"/>
      <c r="G28" s="10"/>
    </row>
    <row r="29" spans="1:7" ht="12.75">
      <c r="A29" s="3" t="s">
        <v>1</v>
      </c>
      <c r="E29" s="10"/>
      <c r="F29" s="9"/>
      <c r="G29" s="10"/>
    </row>
    <row r="30" spans="5:7" ht="12.75">
      <c r="E30" s="10"/>
      <c r="F30" s="9"/>
      <c r="G30" s="10"/>
    </row>
    <row r="34" spans="4:7" ht="12.75">
      <c r="D34" s="12"/>
      <c r="E34" s="10"/>
      <c r="F34" s="9"/>
      <c r="G34" s="10"/>
    </row>
    <row r="35" spans="4:7" ht="12.75">
      <c r="D35" s="12"/>
      <c r="E35" s="10"/>
      <c r="F35" s="9"/>
      <c r="G35" s="10"/>
    </row>
    <row r="36" spans="4:7" ht="12.75">
      <c r="D36" s="12"/>
      <c r="E36" s="10"/>
      <c r="F36" s="9"/>
      <c r="G36" s="10"/>
    </row>
    <row r="37" spans="4:7" ht="12.75">
      <c r="D37" s="12"/>
      <c r="E37" s="10"/>
      <c r="F37" s="9"/>
      <c r="G37" s="10"/>
    </row>
    <row r="38" ht="12.75">
      <c r="E38" s="10"/>
    </row>
    <row r="39" spans="5:7" ht="12.75">
      <c r="E39" s="10"/>
      <c r="G39" s="10"/>
    </row>
    <row r="48" ht="12.75">
      <c r="B48" s="12"/>
    </row>
    <row r="49" ht="12.75">
      <c r="B49" s="8"/>
    </row>
    <row r="66" ht="12.75">
      <c r="F66" s="9"/>
    </row>
    <row r="77" ht="12.75">
      <c r="D77" s="12"/>
    </row>
    <row r="79" ht="12.75">
      <c r="D79" s="12"/>
    </row>
    <row r="82" ht="12.75">
      <c r="D82" s="12"/>
    </row>
    <row r="83" ht="12.75">
      <c r="D83" s="12"/>
    </row>
    <row r="88" ht="12.75">
      <c r="D88" s="12"/>
    </row>
    <row r="89" ht="12.75">
      <c r="D89" s="12"/>
    </row>
    <row r="96" ht="12.75">
      <c r="C96" s="13"/>
    </row>
    <row r="97" ht="12.75">
      <c r="C97" s="14"/>
    </row>
    <row r="99" ht="12.75">
      <c r="C99" s="13"/>
    </row>
    <row r="100" ht="12.75">
      <c r="C100" s="9"/>
    </row>
  </sheetData>
  <sheetProtection/>
  <printOptions horizontalCentered="1"/>
  <pageMargins left="0.75" right="0.75" top="0.65" bottom="0.63" header="0.5" footer="0.31"/>
  <pageSetup fitToHeight="1" fitToWidth="1" horizontalDpi="600" verticalDpi="600" orientation="landscape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1" sqref="A1:K1"/>
    </sheetView>
  </sheetViews>
  <sheetFormatPr defaultColWidth="9.33203125" defaultRowHeight="11.25"/>
  <cols>
    <col min="1" max="1" width="5.66015625" style="221" bestFit="1" customWidth="1"/>
    <col min="2" max="2" width="24.66015625" style="221" customWidth="1"/>
    <col min="3" max="3" width="16.16015625" style="221" customWidth="1"/>
    <col min="4" max="4" width="15.16015625" style="221" customWidth="1"/>
    <col min="5" max="5" width="11.83203125" style="221" customWidth="1"/>
    <col min="6" max="6" width="16.66015625" style="221" customWidth="1"/>
    <col min="7" max="7" width="15" style="221" customWidth="1"/>
    <col min="8" max="8" width="14.83203125" style="221" bestFit="1" customWidth="1"/>
    <col min="9" max="9" width="12.83203125" style="221" customWidth="1"/>
    <col min="10" max="10" width="12.16015625" style="221" bestFit="1" customWidth="1"/>
    <col min="11" max="11" width="5.83203125" style="221" customWidth="1"/>
    <col min="12" max="12" width="8.5" style="221" customWidth="1"/>
    <col min="13" max="16384" width="9.33203125" style="221" customWidth="1"/>
  </cols>
  <sheetData>
    <row r="1" spans="1:14" ht="12">
      <c r="A1" s="403" t="s">
        <v>189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220"/>
      <c r="M1" s="220"/>
      <c r="N1" s="220"/>
    </row>
    <row r="2" spans="1:14" ht="12">
      <c r="A2" s="403" t="s">
        <v>37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M2" s="220"/>
      <c r="N2" s="220"/>
    </row>
    <row r="3" spans="1:14" ht="12" customHeight="1">
      <c r="A3" s="404">
        <f>'Pg 1 CofCap'!B5</f>
        <v>42643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M3" s="220"/>
      <c r="N3" s="220"/>
    </row>
    <row r="4" spans="1:12" ht="12">
      <c r="A4" s="220"/>
      <c r="B4" s="222"/>
      <c r="C4" s="223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3.5" thickBot="1">
      <c r="A5" s="224">
        <v>1</v>
      </c>
      <c r="B5" s="225" t="s">
        <v>2</v>
      </c>
      <c r="C5" s="225" t="s">
        <v>19</v>
      </c>
      <c r="D5" s="225" t="s">
        <v>35</v>
      </c>
      <c r="E5" s="225" t="s">
        <v>45</v>
      </c>
      <c r="F5" s="225" t="s">
        <v>46</v>
      </c>
      <c r="G5" s="225" t="s">
        <v>47</v>
      </c>
      <c r="H5" s="225" t="s">
        <v>48</v>
      </c>
      <c r="I5" s="225" t="s">
        <v>49</v>
      </c>
      <c r="J5" s="225" t="s">
        <v>50</v>
      </c>
      <c r="K5" s="198"/>
      <c r="L5" s="198"/>
    </row>
    <row r="6" spans="1:11" ht="12">
      <c r="A6" s="224">
        <f>+A5+1</f>
        <v>2</v>
      </c>
      <c r="B6" s="226" t="s">
        <v>84</v>
      </c>
      <c r="C6" s="227"/>
      <c r="D6" s="227"/>
      <c r="E6" s="227"/>
      <c r="F6" s="227"/>
      <c r="G6" s="227"/>
      <c r="H6" s="228"/>
      <c r="I6" s="228"/>
      <c r="J6" s="228"/>
      <c r="K6" s="229"/>
    </row>
    <row r="7" spans="1:12" ht="12">
      <c r="A7" s="224">
        <f>+A6+1</f>
        <v>3</v>
      </c>
      <c r="B7" s="230"/>
      <c r="C7" s="231"/>
      <c r="D7" s="231"/>
      <c r="E7" s="231"/>
      <c r="F7" s="231" t="s">
        <v>1</v>
      </c>
      <c r="G7" s="57" t="s">
        <v>1</v>
      </c>
      <c r="H7" s="57"/>
      <c r="I7" s="57"/>
      <c r="J7" s="57"/>
      <c r="K7" s="232" t="s">
        <v>1</v>
      </c>
      <c r="L7" s="220"/>
    </row>
    <row r="8" spans="1:12" ht="12">
      <c r="A8" s="224">
        <f>A7+1</f>
        <v>4</v>
      </c>
      <c r="B8" s="230"/>
      <c r="C8" s="233" t="s">
        <v>33</v>
      </c>
      <c r="D8" s="233" t="s">
        <v>79</v>
      </c>
      <c r="E8" s="233" t="s">
        <v>33</v>
      </c>
      <c r="F8" s="233" t="s">
        <v>89</v>
      </c>
      <c r="G8" s="57"/>
      <c r="H8" s="57"/>
      <c r="I8" s="57"/>
      <c r="J8" s="57"/>
      <c r="K8" s="232"/>
      <c r="L8" s="234"/>
    </row>
    <row r="9" spans="1:12" ht="12">
      <c r="A9" s="224">
        <f>A8+1</f>
        <v>5</v>
      </c>
      <c r="B9" s="230"/>
      <c r="C9" s="235" t="s">
        <v>97</v>
      </c>
      <c r="D9" s="235" t="s">
        <v>29</v>
      </c>
      <c r="E9" s="235" t="s">
        <v>70</v>
      </c>
      <c r="F9" s="235" t="s">
        <v>98</v>
      </c>
      <c r="G9" s="236"/>
      <c r="H9" s="236"/>
      <c r="I9" s="57"/>
      <c r="J9" s="57"/>
      <c r="K9" s="232"/>
      <c r="L9" s="234"/>
    </row>
    <row r="10" spans="1:12" ht="12">
      <c r="A10" s="224">
        <f>A9+1</f>
        <v>6</v>
      </c>
      <c r="B10" s="230"/>
      <c r="C10" s="237"/>
      <c r="D10" s="237"/>
      <c r="E10" s="237"/>
      <c r="F10" s="238"/>
      <c r="G10" s="57"/>
      <c r="H10" s="57"/>
      <c r="I10" s="57"/>
      <c r="J10" s="57"/>
      <c r="K10" s="232"/>
      <c r="L10" s="220"/>
    </row>
    <row r="11" spans="1:12" ht="12">
      <c r="A11" s="224">
        <f aca="true" t="shared" si="0" ref="A11:A35">A10+1</f>
        <v>7</v>
      </c>
      <c r="B11" s="230" t="s">
        <v>27</v>
      </c>
      <c r="C11" s="239">
        <v>44441224.09</v>
      </c>
      <c r="D11" s="239">
        <v>300680.26</v>
      </c>
      <c r="E11" s="240">
        <f>IF(C11=0,"NA",(D11/C11))</f>
        <v>0.006765796085883646</v>
      </c>
      <c r="F11" s="241">
        <v>0</v>
      </c>
      <c r="G11" s="242"/>
      <c r="I11" s="57"/>
      <c r="J11" s="57"/>
      <c r="K11" s="232"/>
      <c r="L11" s="220"/>
    </row>
    <row r="12" spans="1:12" ht="12">
      <c r="A12" s="224">
        <f t="shared" si="0"/>
        <v>8</v>
      </c>
      <c r="B12" s="230" t="s">
        <v>80</v>
      </c>
      <c r="C12" s="239">
        <v>0</v>
      </c>
      <c r="D12" s="239">
        <v>0</v>
      </c>
      <c r="E12" s="243" t="str">
        <f>IF(C12=0,"NA",(D12/C12))</f>
        <v>NA</v>
      </c>
      <c r="F12" s="241">
        <v>0</v>
      </c>
      <c r="G12" s="242"/>
      <c r="H12" s="244"/>
      <c r="I12" s="57"/>
      <c r="J12" s="57"/>
      <c r="K12" s="232"/>
      <c r="L12" s="220"/>
    </row>
    <row r="13" spans="1:12" ht="12">
      <c r="A13" s="224">
        <v>9</v>
      </c>
      <c r="B13" s="230" t="s">
        <v>120</v>
      </c>
      <c r="C13" s="239">
        <v>0</v>
      </c>
      <c r="D13" s="239">
        <v>0</v>
      </c>
      <c r="E13" s="243" t="str">
        <f>IF(C13=0,"NA",(D13/C13))</f>
        <v>NA</v>
      </c>
      <c r="F13" s="245">
        <f>J25</f>
        <v>1156458.333333</v>
      </c>
      <c r="G13" s="242"/>
      <c r="H13" s="246"/>
      <c r="I13" s="57"/>
      <c r="J13" s="57"/>
      <c r="K13" s="232"/>
      <c r="L13" s="220"/>
    </row>
    <row r="14" spans="1:12" ht="12">
      <c r="A14" s="224">
        <f>A13+1</f>
        <v>10</v>
      </c>
      <c r="B14" s="230" t="s">
        <v>103</v>
      </c>
      <c r="C14" s="239"/>
      <c r="D14" s="239"/>
      <c r="E14" s="243"/>
      <c r="F14" s="245">
        <f>J32</f>
        <v>38513.80216666667</v>
      </c>
      <c r="G14" s="242"/>
      <c r="H14" s="244"/>
      <c r="I14" s="57"/>
      <c r="J14" s="57"/>
      <c r="K14" s="232"/>
      <c r="L14" s="220"/>
    </row>
    <row r="15" spans="1:12" ht="12.75" thickBot="1">
      <c r="A15" s="224">
        <f t="shared" si="0"/>
        <v>11</v>
      </c>
      <c r="B15" s="247" t="s">
        <v>107</v>
      </c>
      <c r="C15" s="248">
        <f>SUM(C10:C14)</f>
        <v>44441224.09</v>
      </c>
      <c r="D15" s="249">
        <f>SUM(D10:D14)</f>
        <v>300680.26</v>
      </c>
      <c r="E15" s="250">
        <f>D15/C15</f>
        <v>0.006765796085883646</v>
      </c>
      <c r="F15" s="249">
        <f>SUM(F10:F14)</f>
        <v>1194972.1354996667</v>
      </c>
      <c r="G15" s="57"/>
      <c r="H15" s="57"/>
      <c r="I15" s="57"/>
      <c r="J15" s="57"/>
      <c r="K15" s="232"/>
      <c r="L15" s="220"/>
    </row>
    <row r="16" spans="1:12" ht="12.75" thickTop="1">
      <c r="A16" s="224">
        <f t="shared" si="0"/>
        <v>12</v>
      </c>
      <c r="B16" s="247"/>
      <c r="C16" s="251"/>
      <c r="D16" s="252"/>
      <c r="E16" s="253"/>
      <c r="F16" s="252"/>
      <c r="G16" s="57"/>
      <c r="H16" s="57"/>
      <c r="I16" s="57"/>
      <c r="J16" s="57"/>
      <c r="K16" s="232"/>
      <c r="L16" s="220"/>
    </row>
    <row r="17" spans="1:12" ht="12">
      <c r="A17" s="224">
        <f t="shared" si="0"/>
        <v>13</v>
      </c>
      <c r="B17" s="254" t="s">
        <v>131</v>
      </c>
      <c r="C17" s="251"/>
      <c r="D17" s="252"/>
      <c r="E17" s="253"/>
      <c r="F17" s="252">
        <f>'Pg 1 CofCap'!C23</f>
        <v>7459628029</v>
      </c>
      <c r="G17" s="57"/>
      <c r="H17" s="57"/>
      <c r="I17" s="57"/>
      <c r="J17" s="57"/>
      <c r="K17" s="232"/>
      <c r="L17" s="220"/>
    </row>
    <row r="18" spans="1:12" ht="12">
      <c r="A18" s="224">
        <f t="shared" si="0"/>
        <v>14</v>
      </c>
      <c r="B18" s="254"/>
      <c r="C18" s="251"/>
      <c r="D18" s="252"/>
      <c r="E18" s="253"/>
      <c r="F18" s="252"/>
      <c r="G18" s="57"/>
      <c r="H18" s="57"/>
      <c r="I18" s="57"/>
      <c r="J18" s="57"/>
      <c r="K18" s="232"/>
      <c r="L18" s="220"/>
    </row>
    <row r="19" spans="1:12" ht="12">
      <c r="A19" s="224">
        <f t="shared" si="0"/>
        <v>15</v>
      </c>
      <c r="B19" s="254" t="s">
        <v>132</v>
      </c>
      <c r="C19" s="255"/>
      <c r="D19" s="256"/>
      <c r="E19" s="231"/>
      <c r="F19" s="257">
        <f>ROUND(F15/F17,4)</f>
        <v>0.0002</v>
      </c>
      <c r="G19" s="57"/>
      <c r="H19" s="57"/>
      <c r="I19" s="57"/>
      <c r="J19" s="57"/>
      <c r="K19" s="232"/>
      <c r="L19" s="220"/>
    </row>
    <row r="20" spans="1:12" ht="12.75" thickBot="1">
      <c r="A20" s="224">
        <f t="shared" si="0"/>
        <v>16</v>
      </c>
      <c r="B20" s="258"/>
      <c r="C20" s="259"/>
      <c r="D20" s="259"/>
      <c r="E20" s="259"/>
      <c r="F20" s="259"/>
      <c r="G20" s="260"/>
      <c r="H20" s="260"/>
      <c r="I20" s="260"/>
      <c r="J20" s="260"/>
      <c r="K20" s="261"/>
      <c r="L20" s="57"/>
    </row>
    <row r="21" spans="1:12" ht="12">
      <c r="A21" s="224">
        <f t="shared" si="0"/>
        <v>17</v>
      </c>
      <c r="B21" s="401" t="s">
        <v>69</v>
      </c>
      <c r="C21" s="402"/>
      <c r="D21" s="228"/>
      <c r="E21" s="228"/>
      <c r="F21" s="228"/>
      <c r="G21" s="228"/>
      <c r="H21" s="262"/>
      <c r="I21" s="262"/>
      <c r="J21" s="262"/>
      <c r="K21" s="263"/>
      <c r="L21" s="57" t="s">
        <v>1</v>
      </c>
    </row>
    <row r="22" spans="1:12" ht="12">
      <c r="A22" s="224">
        <f t="shared" si="0"/>
        <v>18</v>
      </c>
      <c r="B22" s="399" t="s">
        <v>72</v>
      </c>
      <c r="C22" s="400"/>
      <c r="D22" s="57"/>
      <c r="E22" s="57"/>
      <c r="F22" s="57"/>
      <c r="G22" s="266" t="s">
        <v>121</v>
      </c>
      <c r="H22" s="266" t="s">
        <v>121</v>
      </c>
      <c r="I22" s="267"/>
      <c r="J22" s="267"/>
      <c r="K22" s="268"/>
      <c r="L22" s="57"/>
    </row>
    <row r="23" spans="1:12" ht="12">
      <c r="A23" s="224">
        <f t="shared" si="0"/>
        <v>19</v>
      </c>
      <c r="B23" s="264"/>
      <c r="C23" s="265"/>
      <c r="D23" s="57"/>
      <c r="E23" s="57"/>
      <c r="F23" s="57"/>
      <c r="G23" s="269" t="s">
        <v>100</v>
      </c>
      <c r="H23" s="269" t="s">
        <v>101</v>
      </c>
      <c r="I23" s="267"/>
      <c r="J23" s="267"/>
      <c r="K23" s="268"/>
      <c r="L23" s="57"/>
    </row>
    <row r="24" spans="1:12" ht="12">
      <c r="A24" s="224">
        <f t="shared" si="0"/>
        <v>20</v>
      </c>
      <c r="B24" s="270"/>
      <c r="C24" s="271" t="s">
        <v>31</v>
      </c>
      <c r="D24" s="271" t="s">
        <v>32</v>
      </c>
      <c r="E24" s="236" t="s">
        <v>34</v>
      </c>
      <c r="F24" s="236" t="s">
        <v>89</v>
      </c>
      <c r="G24" s="236" t="s">
        <v>99</v>
      </c>
      <c r="H24" s="236" t="s">
        <v>89</v>
      </c>
      <c r="I24" s="236" t="s">
        <v>41</v>
      </c>
      <c r="J24" s="236" t="s">
        <v>42</v>
      </c>
      <c r="K24" s="272"/>
      <c r="L24" s="57"/>
    </row>
    <row r="25" spans="1:12" ht="12">
      <c r="A25" s="224">
        <v>18</v>
      </c>
      <c r="B25" s="230" t="s">
        <v>120</v>
      </c>
      <c r="C25" s="244">
        <v>42278</v>
      </c>
      <c r="D25" s="244">
        <v>42643</v>
      </c>
      <c r="E25" s="273">
        <f>D25-C25+1</f>
        <v>366</v>
      </c>
      <c r="F25" s="274">
        <v>650000000</v>
      </c>
      <c r="G25" s="275">
        <f>C13+H31</f>
        <v>0</v>
      </c>
      <c r="H25" s="275">
        <f>F25-G25</f>
        <v>650000000</v>
      </c>
      <c r="I25" s="276">
        <v>0.00175</v>
      </c>
      <c r="J25" s="245">
        <f>ROUND(H25*I25*E25/360,6)</f>
        <v>1156458.333333</v>
      </c>
      <c r="K25" s="268"/>
      <c r="L25" s="57"/>
    </row>
    <row r="26" spans="1:12" ht="12.75" thickBot="1">
      <c r="A26" s="224">
        <f>A25+1</f>
        <v>19</v>
      </c>
      <c r="B26" s="277" t="s">
        <v>88</v>
      </c>
      <c r="C26" s="278"/>
      <c r="D26" s="238"/>
      <c r="E26" s="273"/>
      <c r="F26" s="279"/>
      <c r="I26" s="238"/>
      <c r="J26" s="280">
        <f>SUM(J25:J25)</f>
        <v>1156458.333333</v>
      </c>
      <c r="K26" s="281"/>
      <c r="L26" s="57"/>
    </row>
    <row r="27" spans="1:12" ht="12.75" thickTop="1">
      <c r="A27" s="224">
        <f t="shared" si="0"/>
        <v>20</v>
      </c>
      <c r="B27" s="277"/>
      <c r="C27" s="278"/>
      <c r="D27" s="238"/>
      <c r="E27" s="273"/>
      <c r="F27" s="279"/>
      <c r="I27" s="238"/>
      <c r="J27" s="282"/>
      <c r="K27" s="281"/>
      <c r="L27" s="57"/>
    </row>
    <row r="28" spans="1:12" ht="12">
      <c r="A28" s="224">
        <f t="shared" si="0"/>
        <v>21</v>
      </c>
      <c r="B28" s="283"/>
      <c r="C28" s="278"/>
      <c r="D28" s="238"/>
      <c r="E28" s="273"/>
      <c r="F28" s="273"/>
      <c r="G28" s="238"/>
      <c r="H28" s="284"/>
      <c r="I28" s="284"/>
      <c r="J28" s="284"/>
      <c r="K28" s="281"/>
      <c r="L28" s="57"/>
    </row>
    <row r="29" spans="1:12" ht="12">
      <c r="A29" s="224">
        <f t="shared" si="0"/>
        <v>22</v>
      </c>
      <c r="B29" s="285" t="s">
        <v>90</v>
      </c>
      <c r="C29" s="278"/>
      <c r="F29" s="236" t="s">
        <v>118</v>
      </c>
      <c r="G29" s="236" t="s">
        <v>34</v>
      </c>
      <c r="H29" s="236" t="s">
        <v>104</v>
      </c>
      <c r="I29" s="238"/>
      <c r="J29" s="284"/>
      <c r="K29" s="281"/>
      <c r="L29" s="57"/>
    </row>
    <row r="30" spans="1:12" ht="12">
      <c r="A30" s="224">
        <f t="shared" si="0"/>
        <v>23</v>
      </c>
      <c r="B30" s="277" t="s">
        <v>105</v>
      </c>
      <c r="F30" s="286" t="s">
        <v>119</v>
      </c>
      <c r="G30" s="287">
        <v>366</v>
      </c>
      <c r="H30" s="239">
        <v>3772993</v>
      </c>
      <c r="I30" s="276">
        <v>0.01</v>
      </c>
      <c r="J30" s="275">
        <f>(I30*H30)*(G30/360)+(12.92*12)</f>
        <v>38513.80216666667</v>
      </c>
      <c r="K30" s="281"/>
      <c r="L30" s="57"/>
    </row>
    <row r="31" spans="1:12" ht="12.75" customHeight="1">
      <c r="A31" s="224">
        <f>A30+1</f>
        <v>24</v>
      </c>
      <c r="B31" s="277"/>
      <c r="F31" s="286"/>
      <c r="G31" s="287"/>
      <c r="H31" s="239"/>
      <c r="I31" s="276"/>
      <c r="J31" s="275"/>
      <c r="K31" s="268"/>
      <c r="L31" s="57"/>
    </row>
    <row r="32" spans="1:12" ht="12.75" customHeight="1" thickBot="1">
      <c r="A32" s="224">
        <f t="shared" si="0"/>
        <v>25</v>
      </c>
      <c r="B32" s="288" t="s">
        <v>106</v>
      </c>
      <c r="E32" s="289"/>
      <c r="F32" s="274"/>
      <c r="G32" s="273"/>
      <c r="H32" s="267"/>
      <c r="I32" s="267"/>
      <c r="J32" s="280">
        <f>SUM(J30:J31)</f>
        <v>38513.80216666667</v>
      </c>
      <c r="K32" s="268"/>
      <c r="L32" s="57"/>
    </row>
    <row r="33" spans="1:12" ht="12.75" customHeight="1" thickTop="1">
      <c r="A33" s="224">
        <f t="shared" si="0"/>
        <v>26</v>
      </c>
      <c r="B33" s="277"/>
      <c r="F33" s="290"/>
      <c r="G33" s="291"/>
      <c r="H33" s="267"/>
      <c r="I33" s="267"/>
      <c r="J33" s="267"/>
      <c r="K33" s="268"/>
      <c r="L33" s="57"/>
    </row>
    <row r="34" spans="1:11" ht="12">
      <c r="A34" s="224">
        <f t="shared" si="0"/>
        <v>27</v>
      </c>
      <c r="B34" s="264"/>
      <c r="C34" s="265"/>
      <c r="D34" s="265"/>
      <c r="E34" s="237"/>
      <c r="F34" s="237"/>
      <c r="G34" s="237"/>
      <c r="H34" s="292"/>
      <c r="I34" s="292"/>
      <c r="J34" s="292"/>
      <c r="K34" s="268"/>
    </row>
    <row r="35" spans="1:16" ht="12" thickBot="1">
      <c r="A35" s="224">
        <f t="shared" si="0"/>
        <v>28</v>
      </c>
      <c r="B35" s="293" t="s">
        <v>61</v>
      </c>
      <c r="C35" s="294"/>
      <c r="D35" s="294"/>
      <c r="E35" s="295"/>
      <c r="F35" s="295"/>
      <c r="G35" s="295"/>
      <c r="H35" s="296"/>
      <c r="I35" s="296"/>
      <c r="J35" s="296"/>
      <c r="K35" s="297"/>
      <c r="P35" s="298"/>
    </row>
  </sheetData>
  <sheetProtection/>
  <mergeCells count="5">
    <mergeCell ref="B22:C22"/>
    <mergeCell ref="B21:C21"/>
    <mergeCell ref="A1:K1"/>
    <mergeCell ref="A2:K2"/>
    <mergeCell ref="A3:K3"/>
  </mergeCells>
  <printOptions/>
  <pageMargins left="0.5" right="0.5" top="0.51" bottom="0.96" header="0.29" footer="0.28"/>
  <pageSetup horizontalDpi="600" verticalDpi="600" orientation="landscape" r:id="rId3"/>
  <headerFooter alignWithMargins="0"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B1">
      <selection activeCell="B1" sqref="B1"/>
    </sheetView>
  </sheetViews>
  <sheetFormatPr defaultColWidth="9.33203125" defaultRowHeight="11.25"/>
  <cols>
    <col min="1" max="1" width="4.83203125" style="221" customWidth="1"/>
    <col min="2" max="2" width="52.66015625" style="221" bestFit="1" customWidth="1"/>
    <col min="3" max="6" width="21.66015625" style="221" customWidth="1"/>
    <col min="7" max="7" width="15.83203125" style="221" customWidth="1"/>
    <col min="8" max="9" width="12" style="298" customWidth="1"/>
    <col min="10" max="16384" width="9.33203125" style="221" customWidth="1"/>
  </cols>
  <sheetData>
    <row r="1" spans="1:6" s="5" customFormat="1" ht="12.75" customHeight="1">
      <c r="A1" s="33"/>
      <c r="B1" s="194" t="s">
        <v>189</v>
      </c>
      <c r="C1" s="195"/>
      <c r="D1" s="195"/>
      <c r="E1" s="195"/>
      <c r="F1" s="195"/>
    </row>
    <row r="2" spans="1:6" s="5" customFormat="1" ht="12.75" customHeight="1">
      <c r="A2" s="33"/>
      <c r="B2" s="194" t="s">
        <v>140</v>
      </c>
      <c r="C2" s="195"/>
      <c r="D2" s="195"/>
      <c r="E2" s="195"/>
      <c r="F2" s="195"/>
    </row>
    <row r="3" spans="1:12" ht="12.75">
      <c r="A3" s="220"/>
      <c r="B3" s="299">
        <f>'Pg 1 CofCap'!B5</f>
        <v>42643</v>
      </c>
      <c r="C3" s="300"/>
      <c r="D3" s="301"/>
      <c r="E3" s="301"/>
      <c r="F3" s="301"/>
      <c r="G3" s="302"/>
      <c r="H3" s="302"/>
      <c r="I3" s="302"/>
      <c r="J3" s="302"/>
      <c r="K3" s="220"/>
      <c r="L3" s="220"/>
    </row>
    <row r="4" spans="1:7" ht="12">
      <c r="A4" s="57"/>
      <c r="B4" s="222"/>
      <c r="C4" s="220"/>
      <c r="D4" s="220"/>
      <c r="E4" s="220"/>
      <c r="F4" s="220"/>
      <c r="G4" s="220"/>
    </row>
    <row r="5" spans="1:7" ht="11.25">
      <c r="A5" s="303" t="s">
        <v>2</v>
      </c>
      <c r="B5" s="303" t="s">
        <v>19</v>
      </c>
      <c r="C5" s="303" t="s">
        <v>35</v>
      </c>
      <c r="D5" s="303" t="s">
        <v>45</v>
      </c>
      <c r="E5" s="303" t="s">
        <v>45</v>
      </c>
      <c r="F5" s="303" t="s">
        <v>46</v>
      </c>
      <c r="G5" s="303" t="s">
        <v>47</v>
      </c>
    </row>
    <row r="6" spans="1:7" ht="11.25" customHeight="1">
      <c r="A6" s="220"/>
      <c r="B6" s="304"/>
      <c r="C6" s="304"/>
      <c r="D6" s="304"/>
      <c r="E6" s="304"/>
      <c r="F6" s="304"/>
      <c r="G6" s="304"/>
    </row>
    <row r="7" spans="1:6" ht="11.25" customHeight="1">
      <c r="A7" s="224"/>
      <c r="B7" s="305"/>
      <c r="C7" s="306"/>
      <c r="D7" s="306"/>
      <c r="E7" s="306"/>
      <c r="F7" s="306"/>
    </row>
    <row r="8" spans="1:7" ht="11.25" customHeight="1">
      <c r="A8" s="224">
        <v>1</v>
      </c>
      <c r="B8" s="56" t="s">
        <v>6</v>
      </c>
      <c r="C8" s="307" t="s">
        <v>110</v>
      </c>
      <c r="D8" s="307" t="s">
        <v>110</v>
      </c>
      <c r="E8" s="307" t="s">
        <v>122</v>
      </c>
      <c r="F8" s="307" t="s">
        <v>122</v>
      </c>
      <c r="G8" s="220"/>
    </row>
    <row r="9" spans="1:7" ht="11.25" customHeight="1">
      <c r="A9" s="224">
        <f>A8+1</f>
        <v>2</v>
      </c>
      <c r="B9" s="56"/>
      <c r="C9" s="308" t="s">
        <v>111</v>
      </c>
      <c r="D9" s="308" t="s">
        <v>124</v>
      </c>
      <c r="E9" s="308" t="s">
        <v>123</v>
      </c>
      <c r="F9" s="308" t="s">
        <v>126</v>
      </c>
      <c r="G9" s="219" t="s">
        <v>112</v>
      </c>
    </row>
    <row r="10" spans="1:7" ht="11.25" customHeight="1">
      <c r="A10" s="224">
        <f aca="true" t="shared" si="0" ref="A10:A35">A9+1</f>
        <v>3</v>
      </c>
      <c r="B10" s="309" t="s">
        <v>96</v>
      </c>
      <c r="C10" s="310" t="s">
        <v>125</v>
      </c>
      <c r="D10" s="310">
        <v>18900423</v>
      </c>
      <c r="E10" s="310">
        <v>18100673</v>
      </c>
      <c r="F10" s="310">
        <v>18900443</v>
      </c>
      <c r="G10" s="310" t="s">
        <v>113</v>
      </c>
    </row>
    <row r="11" spans="1:7" ht="11.25" customHeight="1">
      <c r="A11" s="224">
        <f t="shared" si="0"/>
        <v>4</v>
      </c>
      <c r="B11" s="309"/>
      <c r="C11" s="311"/>
      <c r="D11" s="311"/>
      <c r="E11" s="220"/>
      <c r="F11" s="220"/>
      <c r="G11" s="220"/>
    </row>
    <row r="12" spans="1:7" ht="12">
      <c r="A12" s="224">
        <f t="shared" si="0"/>
        <v>5</v>
      </c>
      <c r="B12" s="231" t="s">
        <v>43</v>
      </c>
      <c r="C12" s="220"/>
      <c r="D12" s="220"/>
      <c r="E12" s="220"/>
      <c r="F12" s="220"/>
      <c r="G12" s="312"/>
    </row>
    <row r="13" spans="1:7" ht="12">
      <c r="A13" s="224">
        <f t="shared" si="0"/>
        <v>6</v>
      </c>
      <c r="B13" s="313" t="s">
        <v>139</v>
      </c>
      <c r="C13" s="314">
        <v>773322.48</v>
      </c>
      <c r="D13" s="314">
        <v>773338.05</v>
      </c>
      <c r="E13" s="314">
        <v>1590532.82</v>
      </c>
      <c r="F13" s="314">
        <v>98259.17</v>
      </c>
      <c r="G13" s="312"/>
    </row>
    <row r="14" spans="1:7" ht="12">
      <c r="A14" s="224">
        <f t="shared" si="0"/>
        <v>7</v>
      </c>
      <c r="B14" s="220"/>
      <c r="C14" s="315"/>
      <c r="D14" s="315"/>
      <c r="E14" s="315"/>
      <c r="F14" s="315"/>
      <c r="G14" s="312"/>
    </row>
    <row r="15" spans="1:7" ht="12">
      <c r="A15" s="224">
        <f t="shared" si="0"/>
        <v>8</v>
      </c>
      <c r="B15" s="316">
        <v>42278</v>
      </c>
      <c r="C15" s="315">
        <v>-27618.66</v>
      </c>
      <c r="D15" s="315">
        <v>-27619.22</v>
      </c>
      <c r="E15" s="315">
        <v>-36989.14</v>
      </c>
      <c r="F15" s="315">
        <v>-2285.1</v>
      </c>
      <c r="G15" s="312"/>
    </row>
    <row r="16" spans="1:7" ht="12">
      <c r="A16" s="224">
        <f t="shared" si="0"/>
        <v>9</v>
      </c>
      <c r="B16" s="316">
        <v>42309</v>
      </c>
      <c r="C16" s="315">
        <v>-27618.66</v>
      </c>
      <c r="D16" s="315">
        <v>-27619.22</v>
      </c>
      <c r="E16" s="315">
        <v>-36989.14</v>
      </c>
      <c r="F16" s="315">
        <v>-2285.1</v>
      </c>
      <c r="G16" s="312"/>
    </row>
    <row r="17" spans="1:7" ht="12">
      <c r="A17" s="224">
        <f t="shared" si="0"/>
        <v>10</v>
      </c>
      <c r="B17" s="316">
        <v>42339</v>
      </c>
      <c r="C17" s="315">
        <v>-27618.66</v>
      </c>
      <c r="D17" s="315">
        <v>-27619.22</v>
      </c>
      <c r="E17" s="315">
        <v>-36989.14</v>
      </c>
      <c r="F17" s="315">
        <v>-2285.1</v>
      </c>
      <c r="G17" s="312"/>
    </row>
    <row r="18" spans="1:7" ht="12">
      <c r="A18" s="224">
        <f t="shared" si="0"/>
        <v>11</v>
      </c>
      <c r="B18" s="316">
        <v>42370</v>
      </c>
      <c r="C18" s="315">
        <v>-27618.66</v>
      </c>
      <c r="D18" s="315">
        <v>-27619.22</v>
      </c>
      <c r="E18" s="315">
        <v>-36989.14</v>
      </c>
      <c r="F18" s="315">
        <v>-2285.1</v>
      </c>
      <c r="G18" s="312"/>
    </row>
    <row r="19" spans="1:8" ht="12">
      <c r="A19" s="224">
        <f t="shared" si="0"/>
        <v>12</v>
      </c>
      <c r="B19" s="316">
        <v>42401</v>
      </c>
      <c r="C19" s="315">
        <v>-27618.66</v>
      </c>
      <c r="D19" s="315">
        <v>-27619.22</v>
      </c>
      <c r="E19" s="315">
        <v>-36989.14</v>
      </c>
      <c r="F19" s="315">
        <v>-2285.1</v>
      </c>
      <c r="G19" s="317"/>
      <c r="H19" s="318"/>
    </row>
    <row r="20" spans="1:7" ht="12">
      <c r="A20" s="224">
        <f t="shared" si="0"/>
        <v>13</v>
      </c>
      <c r="B20" s="316">
        <v>42430</v>
      </c>
      <c r="C20" s="315">
        <v>-27618.66</v>
      </c>
      <c r="D20" s="315">
        <v>-27619.22</v>
      </c>
      <c r="E20" s="315">
        <v>-36989.14</v>
      </c>
      <c r="F20" s="315">
        <v>-2285.1</v>
      </c>
      <c r="G20" s="312"/>
    </row>
    <row r="21" spans="1:7" ht="12">
      <c r="A21" s="224">
        <f t="shared" si="0"/>
        <v>14</v>
      </c>
      <c r="B21" s="316">
        <v>42461</v>
      </c>
      <c r="C21" s="315">
        <v>-27618.66</v>
      </c>
      <c r="D21" s="315">
        <v>-27619.22</v>
      </c>
      <c r="E21" s="315">
        <v>-36989.14</v>
      </c>
      <c r="F21" s="315">
        <v>-2285.1</v>
      </c>
      <c r="G21" s="312"/>
    </row>
    <row r="22" spans="1:7" ht="12">
      <c r="A22" s="224">
        <f t="shared" si="0"/>
        <v>15</v>
      </c>
      <c r="B22" s="316">
        <v>42491</v>
      </c>
      <c r="C22" s="315">
        <v>-27618.66</v>
      </c>
      <c r="D22" s="315">
        <v>-27619.22</v>
      </c>
      <c r="E22" s="315">
        <v>-36989.14</v>
      </c>
      <c r="F22" s="315">
        <v>-2285.1</v>
      </c>
      <c r="G22" s="312"/>
    </row>
    <row r="23" spans="1:7" ht="12">
      <c r="A23" s="224">
        <f t="shared" si="0"/>
        <v>16</v>
      </c>
      <c r="B23" s="316">
        <v>42522</v>
      </c>
      <c r="C23" s="315">
        <v>-27618.66</v>
      </c>
      <c r="D23" s="315">
        <v>-27619.22</v>
      </c>
      <c r="E23" s="315">
        <v>-36989.14</v>
      </c>
      <c r="F23" s="315">
        <v>-2285.1</v>
      </c>
      <c r="G23" s="312"/>
    </row>
    <row r="24" spans="1:7" ht="12">
      <c r="A24" s="224">
        <f t="shared" si="0"/>
        <v>17</v>
      </c>
      <c r="B24" s="316">
        <v>42552</v>
      </c>
      <c r="C24" s="315">
        <v>-27618.66</v>
      </c>
      <c r="D24" s="315">
        <v>-27619.22</v>
      </c>
      <c r="E24" s="315">
        <v>-36989.14</v>
      </c>
      <c r="F24" s="315">
        <v>-2285.1</v>
      </c>
      <c r="G24" s="312"/>
    </row>
    <row r="25" spans="1:7" ht="12">
      <c r="A25" s="224">
        <v>18</v>
      </c>
      <c r="B25" s="316">
        <v>42583</v>
      </c>
      <c r="C25" s="315">
        <v>-27618.66</v>
      </c>
      <c r="D25" s="315">
        <v>-27619.22</v>
      </c>
      <c r="E25" s="315">
        <v>-36989.14</v>
      </c>
      <c r="F25" s="315">
        <v>-2285.1</v>
      </c>
      <c r="G25" s="312"/>
    </row>
    <row r="26" spans="1:7" ht="12" thickBot="1">
      <c r="A26" s="224">
        <v>19</v>
      </c>
      <c r="B26" s="316">
        <v>42614</v>
      </c>
      <c r="C26" s="315">
        <v>-27618.66</v>
      </c>
      <c r="D26" s="315">
        <v>-27619.22</v>
      </c>
      <c r="E26" s="315">
        <v>-36989.14</v>
      </c>
      <c r="F26" s="315">
        <v>-2285.1</v>
      </c>
      <c r="G26" s="312"/>
    </row>
    <row r="27" spans="1:7" ht="12" thickBot="1">
      <c r="A27" s="224">
        <f>A26+1</f>
        <v>20</v>
      </c>
      <c r="B27" s="319" t="s">
        <v>117</v>
      </c>
      <c r="C27" s="320">
        <f>SUM(C15:C26)</f>
        <v>-331423.9199999999</v>
      </c>
      <c r="D27" s="320">
        <f>SUM(D15:D26)</f>
        <v>-331430.64</v>
      </c>
      <c r="E27" s="320">
        <f>SUM(E15:E26)</f>
        <v>-443869.6800000001</v>
      </c>
      <c r="F27" s="320">
        <f>SUM(F15:F26)</f>
        <v>-27421.199999999993</v>
      </c>
      <c r="G27" s="321">
        <f>SUM(C27:F27)</f>
        <v>-1134145.44</v>
      </c>
    </row>
    <row r="28" spans="1:7" ht="12">
      <c r="A28" s="224">
        <f t="shared" si="0"/>
        <v>21</v>
      </c>
      <c r="B28" s="231"/>
      <c r="C28" s="322"/>
      <c r="D28" s="322"/>
      <c r="E28" s="322"/>
      <c r="F28" s="322"/>
      <c r="G28" s="312"/>
    </row>
    <row r="29" spans="1:7" ht="12">
      <c r="A29" s="224">
        <f t="shared" si="0"/>
        <v>22</v>
      </c>
      <c r="B29" s="323" t="s">
        <v>108</v>
      </c>
      <c r="C29" s="315"/>
      <c r="D29" s="315"/>
      <c r="E29" s="315">
        <v>11200.01</v>
      </c>
      <c r="F29" s="315"/>
      <c r="G29" s="312"/>
    </row>
    <row r="30" spans="1:7" ht="12">
      <c r="A30" s="224">
        <f t="shared" si="0"/>
        <v>23</v>
      </c>
      <c r="B30" s="323" t="s">
        <v>109</v>
      </c>
      <c r="C30" s="315"/>
      <c r="D30" s="315"/>
      <c r="E30" s="315"/>
      <c r="F30" s="315"/>
      <c r="G30" s="312"/>
    </row>
    <row r="31" spans="1:7" ht="12" thickBot="1">
      <c r="A31" s="224">
        <f t="shared" si="0"/>
        <v>24</v>
      </c>
      <c r="B31" s="231" t="s">
        <v>44</v>
      </c>
      <c r="C31" s="324">
        <f>C13+C27+C29+C30</f>
        <v>441898.56000000006</v>
      </c>
      <c r="D31" s="324">
        <f>D13+D27+D29+D30</f>
        <v>441907.41000000003</v>
      </c>
      <c r="E31" s="324">
        <f>E13+E27+E29+E30</f>
        <v>1157863.15</v>
      </c>
      <c r="F31" s="324">
        <f>F13+F27+F29+F30</f>
        <v>70837.97</v>
      </c>
      <c r="G31" s="312"/>
    </row>
    <row r="32" spans="1:7" ht="12" thickTop="1">
      <c r="A32" s="224">
        <f t="shared" si="0"/>
        <v>25</v>
      </c>
      <c r="B32" s="325"/>
      <c r="C32" s="220"/>
      <c r="D32" s="220"/>
      <c r="E32" s="220"/>
      <c r="F32" s="220"/>
      <c r="G32" s="220"/>
    </row>
    <row r="33" spans="1:7" ht="12">
      <c r="A33" s="224">
        <f t="shared" si="0"/>
        <v>26</v>
      </c>
      <c r="B33" s="326" t="s">
        <v>131</v>
      </c>
      <c r="C33" s="317"/>
      <c r="D33" s="317"/>
      <c r="E33" s="317"/>
      <c r="F33" s="317"/>
      <c r="G33" s="220">
        <f>'Pg 1 CofCap'!C23</f>
        <v>7459628029</v>
      </c>
    </row>
    <row r="34" spans="1:7" ht="12">
      <c r="A34" s="224">
        <f t="shared" si="0"/>
        <v>27</v>
      </c>
      <c r="B34" s="326"/>
      <c r="C34" s="327"/>
      <c r="D34" s="327"/>
      <c r="E34" s="327"/>
      <c r="F34" s="327"/>
      <c r="G34" s="220"/>
    </row>
    <row r="35" spans="1:7" ht="12">
      <c r="A35" s="224">
        <f t="shared" si="0"/>
        <v>28</v>
      </c>
      <c r="B35" s="326" t="s">
        <v>132</v>
      </c>
      <c r="C35" s="220"/>
      <c r="D35" s="220"/>
      <c r="E35" s="220"/>
      <c r="F35" s="220"/>
      <c r="G35" s="328">
        <f>ROUND(-G27/G33,4)</f>
        <v>0.0002</v>
      </c>
    </row>
    <row r="36" ht="9.75">
      <c r="A36" s="224"/>
    </row>
    <row r="37" ht="9.75">
      <c r="A37" s="224"/>
    </row>
    <row r="38" spans="1:2" ht="9.75">
      <c r="A38" s="224"/>
      <c r="B38" s="329"/>
    </row>
    <row r="39" ht="9.75">
      <c r="A39" s="224"/>
    </row>
    <row r="40" ht="9.75">
      <c r="A40" s="224"/>
    </row>
    <row r="41" ht="9.75">
      <c r="A41" s="224"/>
    </row>
    <row r="42" ht="9.75">
      <c r="A42" s="224"/>
    </row>
    <row r="43" ht="9.75">
      <c r="A43" s="224"/>
    </row>
    <row r="44" ht="9.75">
      <c r="A44" s="224"/>
    </row>
    <row r="45" ht="9.75">
      <c r="A45" s="224"/>
    </row>
    <row r="46" spans="1:2" ht="9.75">
      <c r="A46" s="224"/>
      <c r="B46" s="330"/>
    </row>
    <row r="47" ht="9.75">
      <c r="A47" s="224"/>
    </row>
    <row r="48" ht="9.75">
      <c r="A48" s="224"/>
    </row>
    <row r="49" ht="9.75">
      <c r="A49" s="224"/>
    </row>
    <row r="50" ht="9.75">
      <c r="A50" s="224"/>
    </row>
    <row r="51" ht="9.75">
      <c r="A51" s="224"/>
    </row>
    <row r="52" ht="9.75">
      <c r="A52" s="224"/>
    </row>
    <row r="53" spans="1:2" ht="9.75">
      <c r="A53" s="224"/>
      <c r="B53" s="331"/>
    </row>
    <row r="54" spans="1:2" ht="9.75">
      <c r="A54" s="224"/>
      <c r="B54" s="331"/>
    </row>
    <row r="55" spans="1:2" ht="9.75">
      <c r="A55" s="224"/>
      <c r="B55" s="330"/>
    </row>
  </sheetData>
  <sheetProtection/>
  <printOptions/>
  <pageMargins left="0.79" right="0.67" top="0.44" bottom="0.44" header="0.23" footer="0.17"/>
  <pageSetup fitToHeight="1" fitToWidth="1" horizontalDpi="600" verticalDpi="600" orientation="landscape" scale="9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0"/>
  <sheetViews>
    <sheetView workbookViewId="0" topLeftCell="A1">
      <selection activeCell="A1" sqref="A1:V1"/>
    </sheetView>
  </sheetViews>
  <sheetFormatPr defaultColWidth="8.83203125" defaultRowHeight="11.25"/>
  <cols>
    <col min="1" max="1" width="5.66015625" style="25" bestFit="1" customWidth="1"/>
    <col min="2" max="2" width="8.16015625" style="23" customWidth="1"/>
    <col min="3" max="3" width="9.16015625" style="23" customWidth="1"/>
    <col min="4" max="5" width="9" style="23" customWidth="1"/>
    <col min="6" max="6" width="10" style="26" customWidth="1"/>
    <col min="7" max="7" width="9.83203125" style="23" customWidth="1"/>
    <col min="8" max="8" width="8" style="23" customWidth="1"/>
    <col min="9" max="9" width="7.83203125" style="26" customWidth="1"/>
    <col min="10" max="10" width="10.5" style="23" customWidth="1"/>
    <col min="11" max="14" width="9.16015625" style="23" customWidth="1"/>
    <col min="15" max="15" width="9.83203125" style="23" customWidth="1"/>
    <col min="16" max="16" width="9.16015625" style="23" customWidth="1"/>
    <col min="17" max="17" width="9.83203125" style="23" customWidth="1"/>
    <col min="18" max="22" width="8.83203125" style="23" customWidth="1"/>
    <col min="23" max="24" width="6" style="23" customWidth="1"/>
    <col min="25" max="16384" width="8.83203125" style="23" customWidth="1"/>
  </cols>
  <sheetData>
    <row r="1" spans="1:22" ht="12.75" customHeight="1">
      <c r="A1" s="405" t="s">
        <v>189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</row>
    <row r="2" spans="1:22" ht="12.75" customHeight="1">
      <c r="A2" s="405" t="s">
        <v>141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</row>
    <row r="3" spans="1:22" s="47" customFormat="1" ht="12.75" customHeight="1">
      <c r="A3" s="406">
        <f>'Pg 1 CofCap'!B5</f>
        <v>42643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</row>
    <row r="4" spans="1:22" s="47" customFormat="1" ht="12.75" customHeight="1">
      <c r="A4" s="332"/>
      <c r="B4" s="333"/>
      <c r="C4" s="333"/>
      <c r="D4" s="333"/>
      <c r="E4" s="334"/>
      <c r="F4" s="333"/>
      <c r="G4" s="335"/>
      <c r="H4" s="334"/>
      <c r="I4" s="333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0.5" customHeight="1">
      <c r="A5" s="336" t="s">
        <v>2</v>
      </c>
      <c r="B5" s="336" t="s">
        <v>19</v>
      </c>
      <c r="C5" s="336" t="s">
        <v>35</v>
      </c>
      <c r="D5" s="336" t="s">
        <v>45</v>
      </c>
      <c r="E5" s="336" t="s">
        <v>46</v>
      </c>
      <c r="F5" s="336" t="s">
        <v>47</v>
      </c>
      <c r="G5" s="336" t="s">
        <v>48</v>
      </c>
      <c r="H5" s="336" t="s">
        <v>49</v>
      </c>
      <c r="I5" s="336" t="s">
        <v>50</v>
      </c>
      <c r="J5" s="336" t="s">
        <v>52</v>
      </c>
      <c r="K5" s="336" t="s">
        <v>53</v>
      </c>
      <c r="L5" s="336" t="s">
        <v>54</v>
      </c>
      <c r="M5" s="336" t="s">
        <v>55</v>
      </c>
      <c r="N5" s="336" t="s">
        <v>56</v>
      </c>
      <c r="O5" s="336" t="s">
        <v>57</v>
      </c>
      <c r="P5" s="336" t="s">
        <v>63</v>
      </c>
      <c r="Q5" s="336" t="s">
        <v>64</v>
      </c>
      <c r="R5" s="336" t="s">
        <v>65</v>
      </c>
      <c r="S5" s="336" t="s">
        <v>66</v>
      </c>
      <c r="T5" s="336" t="s">
        <v>67</v>
      </c>
      <c r="U5" s="336" t="s">
        <v>68</v>
      </c>
      <c r="V5" s="336" t="s">
        <v>114</v>
      </c>
    </row>
    <row r="6" spans="1:22" ht="30.75">
      <c r="A6" s="337">
        <v>1</v>
      </c>
      <c r="B6" s="338" t="s">
        <v>143</v>
      </c>
      <c r="C6" s="338" t="s">
        <v>144</v>
      </c>
      <c r="D6" s="338" t="s">
        <v>145</v>
      </c>
      <c r="E6" s="338" t="s">
        <v>146</v>
      </c>
      <c r="F6" s="338" t="s">
        <v>147</v>
      </c>
      <c r="G6" s="338" t="s">
        <v>148</v>
      </c>
      <c r="H6" s="338" t="s">
        <v>149</v>
      </c>
      <c r="I6" s="338" t="s">
        <v>150</v>
      </c>
      <c r="J6" s="339">
        <v>42277</v>
      </c>
      <c r="K6" s="339">
        <v>42308</v>
      </c>
      <c r="L6" s="339">
        <v>42338</v>
      </c>
      <c r="M6" s="339">
        <v>42369</v>
      </c>
      <c r="N6" s="339">
        <v>42400</v>
      </c>
      <c r="O6" s="339">
        <v>42429</v>
      </c>
      <c r="P6" s="339">
        <v>42460</v>
      </c>
      <c r="Q6" s="339">
        <v>42490</v>
      </c>
      <c r="R6" s="339">
        <v>42521</v>
      </c>
      <c r="S6" s="339">
        <v>42551</v>
      </c>
      <c r="T6" s="339">
        <v>42582</v>
      </c>
      <c r="U6" s="339">
        <v>42613</v>
      </c>
      <c r="V6" s="339">
        <v>42643</v>
      </c>
    </row>
    <row r="7" spans="1:22" s="27" customFormat="1" ht="12.75">
      <c r="A7" s="340">
        <f>A6+1</f>
        <v>2</v>
      </c>
      <c r="B7" s="341" t="s">
        <v>151</v>
      </c>
      <c r="C7" s="342">
        <v>0.0674</v>
      </c>
      <c r="D7" s="343">
        <v>35961</v>
      </c>
      <c r="E7" s="343">
        <v>43266</v>
      </c>
      <c r="F7" s="344">
        <v>200000000</v>
      </c>
      <c r="G7" s="345">
        <v>98.98509159000001</v>
      </c>
      <c r="H7" s="346">
        <v>0.0683</v>
      </c>
      <c r="I7" s="344">
        <v>13660000</v>
      </c>
      <c r="J7" s="344">
        <v>200000000</v>
      </c>
      <c r="K7" s="344">
        <v>200000000</v>
      </c>
      <c r="L7" s="344">
        <v>200000000</v>
      </c>
      <c r="M7" s="344">
        <v>200000000</v>
      </c>
      <c r="N7" s="344">
        <v>200000000</v>
      </c>
      <c r="O7" s="344">
        <v>200000000</v>
      </c>
      <c r="P7" s="344">
        <v>200000000</v>
      </c>
      <c r="Q7" s="344">
        <v>200000000</v>
      </c>
      <c r="R7" s="344">
        <v>200000000</v>
      </c>
      <c r="S7" s="344">
        <v>200000000</v>
      </c>
      <c r="T7" s="344">
        <v>200000000</v>
      </c>
      <c r="U7" s="344">
        <v>200000000</v>
      </c>
      <c r="V7" s="344">
        <v>200000000</v>
      </c>
    </row>
    <row r="8" spans="1:22" s="28" customFormat="1" ht="12.75">
      <c r="A8" s="340">
        <f>A7+1</f>
        <v>3</v>
      </c>
      <c r="B8" s="341" t="s">
        <v>152</v>
      </c>
      <c r="C8" s="342">
        <v>0.0715</v>
      </c>
      <c r="D8" s="343">
        <v>35053</v>
      </c>
      <c r="E8" s="343">
        <v>46010</v>
      </c>
      <c r="F8" s="344">
        <v>15000000</v>
      </c>
      <c r="G8" s="345">
        <v>99.211912</v>
      </c>
      <c r="H8" s="346">
        <v>0.0721</v>
      </c>
      <c r="I8" s="344">
        <v>1081500</v>
      </c>
      <c r="J8" s="344">
        <v>15000000</v>
      </c>
      <c r="K8" s="344">
        <v>15000000</v>
      </c>
      <c r="L8" s="344">
        <v>15000000</v>
      </c>
      <c r="M8" s="344">
        <v>15000000</v>
      </c>
      <c r="N8" s="344">
        <v>15000000</v>
      </c>
      <c r="O8" s="344">
        <v>15000000</v>
      </c>
      <c r="P8" s="344">
        <v>15000000</v>
      </c>
      <c r="Q8" s="344">
        <v>15000000</v>
      </c>
      <c r="R8" s="344">
        <v>15000000</v>
      </c>
      <c r="S8" s="344">
        <v>15000000</v>
      </c>
      <c r="T8" s="344">
        <v>15000000</v>
      </c>
      <c r="U8" s="344">
        <v>15000000</v>
      </c>
      <c r="V8" s="344">
        <v>15000000</v>
      </c>
    </row>
    <row r="9" spans="1:22" s="28" customFormat="1" ht="12.75">
      <c r="A9" s="340">
        <f aca="true" t="shared" si="0" ref="A9:A33">A8+1</f>
        <v>4</v>
      </c>
      <c r="B9" s="341" t="s">
        <v>152</v>
      </c>
      <c r="C9" s="342">
        <v>0.072</v>
      </c>
      <c r="D9" s="343">
        <v>35054</v>
      </c>
      <c r="E9" s="343">
        <v>46013</v>
      </c>
      <c r="F9" s="344">
        <v>2000000</v>
      </c>
      <c r="G9" s="345">
        <v>99.2116</v>
      </c>
      <c r="H9" s="346">
        <v>0.0726</v>
      </c>
      <c r="I9" s="344">
        <v>145200</v>
      </c>
      <c r="J9" s="344">
        <v>2000000</v>
      </c>
      <c r="K9" s="344">
        <v>2000000</v>
      </c>
      <c r="L9" s="344">
        <v>2000000</v>
      </c>
      <c r="M9" s="344">
        <v>2000000</v>
      </c>
      <c r="N9" s="344">
        <v>2000000</v>
      </c>
      <c r="O9" s="344">
        <v>2000000</v>
      </c>
      <c r="P9" s="344">
        <v>2000000</v>
      </c>
      <c r="Q9" s="344">
        <v>2000000</v>
      </c>
      <c r="R9" s="344">
        <v>2000000</v>
      </c>
      <c r="S9" s="344">
        <v>2000000</v>
      </c>
      <c r="T9" s="344">
        <v>2000000</v>
      </c>
      <c r="U9" s="344">
        <v>2000000</v>
      </c>
      <c r="V9" s="344">
        <v>2000000</v>
      </c>
    </row>
    <row r="10" spans="1:22" s="28" customFormat="1" ht="12.75">
      <c r="A10" s="340">
        <f t="shared" si="0"/>
        <v>5</v>
      </c>
      <c r="B10" s="341" t="s">
        <v>151</v>
      </c>
      <c r="C10" s="342">
        <v>0.0702</v>
      </c>
      <c r="D10" s="343">
        <v>35786</v>
      </c>
      <c r="E10" s="343">
        <v>46722</v>
      </c>
      <c r="F10" s="344">
        <v>300000000</v>
      </c>
      <c r="G10" s="345">
        <v>98.98573577666666</v>
      </c>
      <c r="H10" s="346">
        <v>0.071</v>
      </c>
      <c r="I10" s="344">
        <v>21300000</v>
      </c>
      <c r="J10" s="344">
        <v>300000000</v>
      </c>
      <c r="K10" s="344">
        <v>300000000</v>
      </c>
      <c r="L10" s="344">
        <v>300000000</v>
      </c>
      <c r="M10" s="344">
        <v>300000000</v>
      </c>
      <c r="N10" s="344">
        <v>300000000</v>
      </c>
      <c r="O10" s="344">
        <v>300000000</v>
      </c>
      <c r="P10" s="344">
        <v>300000000</v>
      </c>
      <c r="Q10" s="344">
        <v>300000000</v>
      </c>
      <c r="R10" s="344">
        <v>300000000</v>
      </c>
      <c r="S10" s="344">
        <v>300000000</v>
      </c>
      <c r="T10" s="344">
        <v>300000000</v>
      </c>
      <c r="U10" s="344">
        <v>300000000</v>
      </c>
      <c r="V10" s="344">
        <v>300000000</v>
      </c>
    </row>
    <row r="11" spans="1:22" ht="12.75">
      <c r="A11" s="340">
        <f t="shared" si="0"/>
        <v>6</v>
      </c>
      <c r="B11" s="341" t="s">
        <v>153</v>
      </c>
      <c r="C11" s="342">
        <v>0.07</v>
      </c>
      <c r="D11" s="343">
        <v>36228</v>
      </c>
      <c r="E11" s="343">
        <v>47186</v>
      </c>
      <c r="F11" s="344">
        <v>100000000</v>
      </c>
      <c r="G11" s="345">
        <v>99.04287054999999</v>
      </c>
      <c r="H11" s="346">
        <v>0.0708</v>
      </c>
      <c r="I11" s="344">
        <v>7080000</v>
      </c>
      <c r="J11" s="344">
        <v>100000000</v>
      </c>
      <c r="K11" s="344">
        <v>100000000</v>
      </c>
      <c r="L11" s="344">
        <v>100000000</v>
      </c>
      <c r="M11" s="344">
        <v>100000000</v>
      </c>
      <c r="N11" s="344">
        <v>100000000</v>
      </c>
      <c r="O11" s="344">
        <v>100000000</v>
      </c>
      <c r="P11" s="344">
        <v>100000000</v>
      </c>
      <c r="Q11" s="344">
        <v>100000000</v>
      </c>
      <c r="R11" s="344">
        <v>100000000</v>
      </c>
      <c r="S11" s="344">
        <v>100000000</v>
      </c>
      <c r="T11" s="344">
        <v>100000000</v>
      </c>
      <c r="U11" s="344">
        <v>100000000</v>
      </c>
      <c r="V11" s="344">
        <v>100000000</v>
      </c>
    </row>
    <row r="12" spans="1:22" ht="12.75">
      <c r="A12" s="340">
        <f t="shared" si="0"/>
        <v>7</v>
      </c>
      <c r="B12" s="347" t="s">
        <v>154</v>
      </c>
      <c r="C12" s="342">
        <v>0.039</v>
      </c>
      <c r="D12" s="348">
        <v>41417</v>
      </c>
      <c r="E12" s="349">
        <v>47908</v>
      </c>
      <c r="F12" s="344">
        <v>138460000</v>
      </c>
      <c r="G12" s="345">
        <v>98.9391</v>
      </c>
      <c r="H12" s="346">
        <v>0.0398</v>
      </c>
      <c r="I12" s="344">
        <v>5510708</v>
      </c>
      <c r="J12" s="344">
        <v>138460000</v>
      </c>
      <c r="K12" s="344">
        <v>138460000</v>
      </c>
      <c r="L12" s="344">
        <v>138460000</v>
      </c>
      <c r="M12" s="344">
        <v>138460000</v>
      </c>
      <c r="N12" s="344">
        <v>138460000</v>
      </c>
      <c r="O12" s="344">
        <v>138460000</v>
      </c>
      <c r="P12" s="344">
        <v>138460000</v>
      </c>
      <c r="Q12" s="344">
        <v>138460000</v>
      </c>
      <c r="R12" s="344">
        <v>138460000</v>
      </c>
      <c r="S12" s="344">
        <v>138460000</v>
      </c>
      <c r="T12" s="344">
        <v>138460000</v>
      </c>
      <c r="U12" s="344">
        <v>138460000</v>
      </c>
      <c r="V12" s="344">
        <v>138460000</v>
      </c>
    </row>
    <row r="13" spans="1:22" ht="12.75">
      <c r="A13" s="340">
        <f t="shared" si="0"/>
        <v>8</v>
      </c>
      <c r="B13" s="347" t="s">
        <v>154</v>
      </c>
      <c r="C13" s="342">
        <v>0.04</v>
      </c>
      <c r="D13" s="348">
        <v>41417</v>
      </c>
      <c r="E13" s="349">
        <v>47908</v>
      </c>
      <c r="F13" s="344">
        <v>23400000</v>
      </c>
      <c r="G13" s="345">
        <v>98.9391</v>
      </c>
      <c r="H13" s="346">
        <v>0.0408</v>
      </c>
      <c r="I13" s="344">
        <v>954720</v>
      </c>
      <c r="J13" s="344">
        <v>23400000</v>
      </c>
      <c r="K13" s="344">
        <v>23400000</v>
      </c>
      <c r="L13" s="344">
        <v>23400000</v>
      </c>
      <c r="M13" s="344">
        <v>23400000</v>
      </c>
      <c r="N13" s="344">
        <v>23400000</v>
      </c>
      <c r="O13" s="344">
        <v>23400000</v>
      </c>
      <c r="P13" s="344">
        <v>23400000</v>
      </c>
      <c r="Q13" s="344">
        <v>23400000</v>
      </c>
      <c r="R13" s="344">
        <v>23400000</v>
      </c>
      <c r="S13" s="344">
        <v>23400000</v>
      </c>
      <c r="T13" s="344">
        <v>23400000</v>
      </c>
      <c r="U13" s="344">
        <v>23400000</v>
      </c>
      <c r="V13" s="344">
        <v>23400000</v>
      </c>
    </row>
    <row r="14" spans="1:22" ht="12.75">
      <c r="A14" s="340">
        <f t="shared" si="0"/>
        <v>9</v>
      </c>
      <c r="B14" s="341" t="s">
        <v>155</v>
      </c>
      <c r="C14" s="342">
        <v>0.05483</v>
      </c>
      <c r="D14" s="343">
        <v>38499</v>
      </c>
      <c r="E14" s="343">
        <v>49461</v>
      </c>
      <c r="F14" s="344">
        <v>250000000</v>
      </c>
      <c r="G14" s="345">
        <v>84.886606836</v>
      </c>
      <c r="H14" s="346">
        <v>0.0665</v>
      </c>
      <c r="I14" s="191">
        <v>16625000</v>
      </c>
      <c r="J14" s="191">
        <v>250000000</v>
      </c>
      <c r="K14" s="191">
        <v>250000000</v>
      </c>
      <c r="L14" s="191">
        <v>250000000</v>
      </c>
      <c r="M14" s="191">
        <v>250000000</v>
      </c>
      <c r="N14" s="191">
        <v>250000000</v>
      </c>
      <c r="O14" s="191">
        <v>250000000</v>
      </c>
      <c r="P14" s="191">
        <v>250000000</v>
      </c>
      <c r="Q14" s="191">
        <v>250000000</v>
      </c>
      <c r="R14" s="191">
        <v>250000000</v>
      </c>
      <c r="S14" s="191">
        <v>250000000</v>
      </c>
      <c r="T14" s="191">
        <v>250000000</v>
      </c>
      <c r="U14" s="191">
        <v>250000000</v>
      </c>
      <c r="V14" s="191">
        <v>250000000</v>
      </c>
    </row>
    <row r="15" spans="1:22" ht="12.75">
      <c r="A15" s="340">
        <f t="shared" si="0"/>
        <v>10</v>
      </c>
      <c r="B15" s="341" t="s">
        <v>155</v>
      </c>
      <c r="C15" s="342">
        <v>0.06724</v>
      </c>
      <c r="D15" s="343">
        <v>38898</v>
      </c>
      <c r="E15" s="343">
        <v>49841</v>
      </c>
      <c r="F15" s="344">
        <v>250000000</v>
      </c>
      <c r="G15" s="345">
        <v>107.515271756</v>
      </c>
      <c r="H15" s="346">
        <v>0.0617</v>
      </c>
      <c r="I15" s="191">
        <v>15425000</v>
      </c>
      <c r="J15" s="191">
        <v>250000000</v>
      </c>
      <c r="K15" s="191">
        <v>250000000</v>
      </c>
      <c r="L15" s="191">
        <v>250000000</v>
      </c>
      <c r="M15" s="191">
        <v>250000000</v>
      </c>
      <c r="N15" s="191">
        <v>250000000</v>
      </c>
      <c r="O15" s="191">
        <v>250000000</v>
      </c>
      <c r="P15" s="191">
        <v>250000000</v>
      </c>
      <c r="Q15" s="191">
        <v>250000000</v>
      </c>
      <c r="R15" s="191">
        <v>250000000</v>
      </c>
      <c r="S15" s="191">
        <v>250000000</v>
      </c>
      <c r="T15" s="191">
        <v>250000000</v>
      </c>
      <c r="U15" s="191">
        <v>250000000</v>
      </c>
      <c r="V15" s="191">
        <v>250000000</v>
      </c>
    </row>
    <row r="16" spans="1:22" ht="12.75">
      <c r="A16" s="340">
        <f t="shared" si="0"/>
        <v>11</v>
      </c>
      <c r="B16" s="341" t="s">
        <v>155</v>
      </c>
      <c r="C16" s="342">
        <v>0.06274</v>
      </c>
      <c r="D16" s="343">
        <v>38978</v>
      </c>
      <c r="E16" s="343">
        <v>50114</v>
      </c>
      <c r="F16" s="344">
        <v>300000000</v>
      </c>
      <c r="G16" s="345">
        <v>98.8127</v>
      </c>
      <c r="H16" s="346">
        <v>0.0636</v>
      </c>
      <c r="I16" s="191">
        <v>19080000</v>
      </c>
      <c r="J16" s="191">
        <v>300000000</v>
      </c>
      <c r="K16" s="191">
        <v>300000000</v>
      </c>
      <c r="L16" s="191">
        <v>300000000</v>
      </c>
      <c r="M16" s="191">
        <v>300000000</v>
      </c>
      <c r="N16" s="191">
        <v>300000000</v>
      </c>
      <c r="O16" s="191">
        <v>300000000</v>
      </c>
      <c r="P16" s="191">
        <v>300000000</v>
      </c>
      <c r="Q16" s="191">
        <v>300000000</v>
      </c>
      <c r="R16" s="191">
        <v>300000000</v>
      </c>
      <c r="S16" s="191">
        <v>300000000</v>
      </c>
      <c r="T16" s="191">
        <v>300000000</v>
      </c>
      <c r="U16" s="191">
        <v>300000000</v>
      </c>
      <c r="V16" s="191">
        <v>300000000</v>
      </c>
    </row>
    <row r="17" spans="1:22" ht="12.75">
      <c r="A17" s="340">
        <f t="shared" si="0"/>
        <v>12</v>
      </c>
      <c r="B17" s="341" t="s">
        <v>155</v>
      </c>
      <c r="C17" s="342">
        <v>0.05757</v>
      </c>
      <c r="D17" s="343">
        <v>40067</v>
      </c>
      <c r="E17" s="343">
        <v>51058</v>
      </c>
      <c r="F17" s="344">
        <v>350000000</v>
      </c>
      <c r="G17" s="345">
        <v>98.9836</v>
      </c>
      <c r="H17" s="346">
        <v>0.0583</v>
      </c>
      <c r="I17" s="191">
        <v>20405000</v>
      </c>
      <c r="J17" s="191">
        <v>350000000</v>
      </c>
      <c r="K17" s="191">
        <v>350000000</v>
      </c>
      <c r="L17" s="191">
        <v>350000000</v>
      </c>
      <c r="M17" s="191">
        <v>350000000</v>
      </c>
      <c r="N17" s="191">
        <v>350000000</v>
      </c>
      <c r="O17" s="191">
        <v>350000000</v>
      </c>
      <c r="P17" s="191">
        <v>350000000</v>
      </c>
      <c r="Q17" s="191">
        <v>350000000</v>
      </c>
      <c r="R17" s="191">
        <v>350000000</v>
      </c>
      <c r="S17" s="191">
        <v>350000000</v>
      </c>
      <c r="T17" s="191">
        <v>350000000</v>
      </c>
      <c r="U17" s="191">
        <v>350000000</v>
      </c>
      <c r="V17" s="191">
        <v>350000000</v>
      </c>
    </row>
    <row r="18" spans="1:22" ht="12.75">
      <c r="A18" s="340">
        <f t="shared" si="0"/>
        <v>13</v>
      </c>
      <c r="B18" s="341" t="s">
        <v>155</v>
      </c>
      <c r="C18" s="342">
        <v>0.05795</v>
      </c>
      <c r="D18" s="343">
        <v>40245</v>
      </c>
      <c r="E18" s="343">
        <v>51210</v>
      </c>
      <c r="F18" s="344">
        <v>325000000</v>
      </c>
      <c r="G18" s="345">
        <v>98.9588</v>
      </c>
      <c r="H18" s="346">
        <v>0.0587</v>
      </c>
      <c r="I18" s="191">
        <v>19077500</v>
      </c>
      <c r="J18" s="191">
        <v>325000000</v>
      </c>
      <c r="K18" s="191">
        <v>325000000</v>
      </c>
      <c r="L18" s="191">
        <v>325000000</v>
      </c>
      <c r="M18" s="191">
        <v>325000000</v>
      </c>
      <c r="N18" s="191">
        <v>325000000</v>
      </c>
      <c r="O18" s="191">
        <v>325000000</v>
      </c>
      <c r="P18" s="191">
        <v>325000000</v>
      </c>
      <c r="Q18" s="191">
        <v>325000000</v>
      </c>
      <c r="R18" s="191">
        <v>325000000</v>
      </c>
      <c r="S18" s="191">
        <v>325000000</v>
      </c>
      <c r="T18" s="191">
        <v>325000000</v>
      </c>
      <c r="U18" s="191">
        <v>325000000</v>
      </c>
      <c r="V18" s="191">
        <v>325000000</v>
      </c>
    </row>
    <row r="19" spans="1:22" ht="12.75">
      <c r="A19" s="340">
        <f t="shared" si="0"/>
        <v>14</v>
      </c>
      <c r="B19" s="341" t="s">
        <v>155</v>
      </c>
      <c r="C19" s="342">
        <v>0.05764</v>
      </c>
      <c r="D19" s="343">
        <v>40358</v>
      </c>
      <c r="E19" s="343">
        <v>51332</v>
      </c>
      <c r="F19" s="344">
        <v>250000000</v>
      </c>
      <c r="G19" s="345">
        <v>98.9652</v>
      </c>
      <c r="H19" s="346">
        <v>0.0584</v>
      </c>
      <c r="I19" s="191">
        <v>14600000</v>
      </c>
      <c r="J19" s="191">
        <v>250000000</v>
      </c>
      <c r="K19" s="191">
        <v>250000000</v>
      </c>
      <c r="L19" s="191">
        <v>250000000</v>
      </c>
      <c r="M19" s="191">
        <v>250000000</v>
      </c>
      <c r="N19" s="191">
        <v>250000000</v>
      </c>
      <c r="O19" s="191">
        <v>250000000</v>
      </c>
      <c r="P19" s="191">
        <v>250000000</v>
      </c>
      <c r="Q19" s="191">
        <v>250000000</v>
      </c>
      <c r="R19" s="191">
        <v>250000000</v>
      </c>
      <c r="S19" s="191">
        <v>250000000</v>
      </c>
      <c r="T19" s="191">
        <v>250000000</v>
      </c>
      <c r="U19" s="191">
        <v>250000000</v>
      </c>
      <c r="V19" s="191">
        <v>250000000</v>
      </c>
    </row>
    <row r="20" spans="1:22" ht="12.75">
      <c r="A20" s="340">
        <f t="shared" si="0"/>
        <v>15</v>
      </c>
      <c r="B20" s="341" t="s">
        <v>155</v>
      </c>
      <c r="C20" s="342">
        <v>0.05638</v>
      </c>
      <c r="D20" s="343">
        <v>40627</v>
      </c>
      <c r="E20" s="343">
        <v>51606</v>
      </c>
      <c r="F20" s="344">
        <v>300000000</v>
      </c>
      <c r="G20" s="345">
        <v>98.971</v>
      </c>
      <c r="H20" s="346">
        <v>0.0571</v>
      </c>
      <c r="I20" s="191">
        <v>17130000</v>
      </c>
      <c r="J20" s="191">
        <v>300000000</v>
      </c>
      <c r="K20" s="191">
        <v>300000000</v>
      </c>
      <c r="L20" s="191">
        <v>300000000</v>
      </c>
      <c r="M20" s="191">
        <v>300000000</v>
      </c>
      <c r="N20" s="191">
        <v>300000000</v>
      </c>
      <c r="O20" s="191">
        <v>300000000</v>
      </c>
      <c r="P20" s="191">
        <v>300000000</v>
      </c>
      <c r="Q20" s="191">
        <v>300000000</v>
      </c>
      <c r="R20" s="191">
        <v>300000000</v>
      </c>
      <c r="S20" s="191">
        <v>300000000</v>
      </c>
      <c r="T20" s="191">
        <v>300000000</v>
      </c>
      <c r="U20" s="191">
        <v>300000000</v>
      </c>
      <c r="V20" s="191">
        <v>300000000</v>
      </c>
    </row>
    <row r="21" spans="1:22" ht="12.75">
      <c r="A21" s="340">
        <f t="shared" si="0"/>
        <v>16</v>
      </c>
      <c r="B21" s="341" t="s">
        <v>155</v>
      </c>
      <c r="C21" s="342">
        <v>0.04434</v>
      </c>
      <c r="D21" s="343">
        <v>40863</v>
      </c>
      <c r="E21" s="343">
        <v>51820</v>
      </c>
      <c r="F21" s="344">
        <v>250000000</v>
      </c>
      <c r="G21" s="345">
        <v>98.963</v>
      </c>
      <c r="H21" s="346">
        <v>0.045</v>
      </c>
      <c r="I21" s="191">
        <v>11250000</v>
      </c>
      <c r="J21" s="191">
        <v>250000000</v>
      </c>
      <c r="K21" s="191">
        <v>250000000</v>
      </c>
      <c r="L21" s="191">
        <v>250000000</v>
      </c>
      <c r="M21" s="191">
        <v>250000000</v>
      </c>
      <c r="N21" s="191">
        <v>250000000</v>
      </c>
      <c r="O21" s="191">
        <v>250000000</v>
      </c>
      <c r="P21" s="191">
        <v>250000000</v>
      </c>
      <c r="Q21" s="191">
        <v>250000000</v>
      </c>
      <c r="R21" s="191">
        <v>250000000</v>
      </c>
      <c r="S21" s="191">
        <v>250000000</v>
      </c>
      <c r="T21" s="191">
        <v>250000000</v>
      </c>
      <c r="U21" s="191">
        <v>250000000</v>
      </c>
      <c r="V21" s="191">
        <v>250000000</v>
      </c>
    </row>
    <row r="22" spans="1:22" ht="12.75">
      <c r="A22" s="340">
        <f t="shared" si="0"/>
        <v>17</v>
      </c>
      <c r="B22" s="341" t="s">
        <v>155</v>
      </c>
      <c r="C22" s="342">
        <v>0.047</v>
      </c>
      <c r="D22" s="343">
        <v>40869</v>
      </c>
      <c r="E22" s="343">
        <v>55472</v>
      </c>
      <c r="F22" s="344">
        <v>45000000</v>
      </c>
      <c r="G22" s="345">
        <v>98.8639</v>
      </c>
      <c r="H22" s="346">
        <v>0.0476</v>
      </c>
      <c r="I22" s="191">
        <v>2142000</v>
      </c>
      <c r="J22" s="191">
        <v>45000000</v>
      </c>
      <c r="K22" s="191">
        <v>45000000</v>
      </c>
      <c r="L22" s="191">
        <v>45000000</v>
      </c>
      <c r="M22" s="191">
        <v>45000000</v>
      </c>
      <c r="N22" s="191">
        <v>45000000</v>
      </c>
      <c r="O22" s="191">
        <v>45000000</v>
      </c>
      <c r="P22" s="191">
        <v>45000000</v>
      </c>
      <c r="Q22" s="191">
        <v>45000000</v>
      </c>
      <c r="R22" s="191">
        <v>45000000</v>
      </c>
      <c r="S22" s="191">
        <v>45000000</v>
      </c>
      <c r="T22" s="191">
        <v>45000000</v>
      </c>
      <c r="U22" s="191">
        <v>45000000</v>
      </c>
      <c r="V22" s="191">
        <v>45000000</v>
      </c>
    </row>
    <row r="23" spans="1:22" ht="12.75">
      <c r="A23" s="340">
        <f t="shared" si="0"/>
        <v>18</v>
      </c>
      <c r="B23" s="341" t="s">
        <v>156</v>
      </c>
      <c r="C23" s="342">
        <v>0.06974</v>
      </c>
      <c r="D23" s="343">
        <v>39237</v>
      </c>
      <c r="E23" s="343">
        <v>61149</v>
      </c>
      <c r="F23" s="344">
        <v>250000000</v>
      </c>
      <c r="G23" s="345">
        <v>98.2262</v>
      </c>
      <c r="H23" s="346">
        <v>0.0723</v>
      </c>
      <c r="I23" s="191">
        <v>18075000</v>
      </c>
      <c r="J23" s="344">
        <v>250000000</v>
      </c>
      <c r="K23" s="344">
        <v>250000000</v>
      </c>
      <c r="L23" s="344">
        <v>250000000</v>
      </c>
      <c r="M23" s="344">
        <v>250000000</v>
      </c>
      <c r="N23" s="344">
        <v>250000000</v>
      </c>
      <c r="O23" s="344">
        <v>250000000</v>
      </c>
      <c r="P23" s="344">
        <v>250000000</v>
      </c>
      <c r="Q23" s="344">
        <v>250000000</v>
      </c>
      <c r="R23" s="344">
        <v>250000000</v>
      </c>
      <c r="S23" s="344">
        <v>250000000</v>
      </c>
      <c r="T23" s="344">
        <v>250000000</v>
      </c>
      <c r="U23" s="344">
        <v>250000000</v>
      </c>
      <c r="V23" s="344">
        <v>250000000</v>
      </c>
    </row>
    <row r="24" spans="1:22" ht="12.75">
      <c r="A24" s="340">
        <f t="shared" si="0"/>
        <v>19</v>
      </c>
      <c r="B24" s="341" t="s">
        <v>155</v>
      </c>
      <c r="C24" s="342">
        <v>0.043</v>
      </c>
      <c r="D24" s="343">
        <v>42150</v>
      </c>
      <c r="E24" s="343">
        <v>53102</v>
      </c>
      <c r="F24" s="344">
        <v>425000000</v>
      </c>
      <c r="G24" s="345">
        <v>98.48301976235294</v>
      </c>
      <c r="H24" s="346">
        <v>0.0439</v>
      </c>
      <c r="I24" s="191">
        <v>18657500</v>
      </c>
      <c r="J24" s="344">
        <v>425000000</v>
      </c>
      <c r="K24" s="344">
        <v>425000000</v>
      </c>
      <c r="L24" s="344">
        <v>425000000</v>
      </c>
      <c r="M24" s="344">
        <v>425000000</v>
      </c>
      <c r="N24" s="344">
        <v>425000000</v>
      </c>
      <c r="O24" s="344">
        <v>425000000</v>
      </c>
      <c r="P24" s="344">
        <v>425000000</v>
      </c>
      <c r="Q24" s="344">
        <v>425000000</v>
      </c>
      <c r="R24" s="344">
        <v>425000000</v>
      </c>
      <c r="S24" s="344">
        <v>425000000</v>
      </c>
      <c r="T24" s="344">
        <v>425000000</v>
      </c>
      <c r="U24" s="344">
        <v>425000000</v>
      </c>
      <c r="V24" s="344">
        <v>425000000</v>
      </c>
    </row>
    <row r="25" spans="1:22" ht="13.5" thickBot="1">
      <c r="A25" s="340">
        <f t="shared" si="0"/>
        <v>20</v>
      </c>
      <c r="B25" s="341"/>
      <c r="C25" s="342"/>
      <c r="D25" s="343"/>
      <c r="E25" s="343"/>
      <c r="F25" s="344">
        <f>ROUND(((+J25+V25)+(SUM(K25:U25)*2))/24,0)</f>
        <v>0</v>
      </c>
      <c r="G25" s="350"/>
      <c r="H25" s="346"/>
      <c r="I25" s="191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</row>
    <row r="26" spans="1:22" ht="13.5" thickBot="1">
      <c r="A26" s="340">
        <f t="shared" si="0"/>
        <v>21</v>
      </c>
      <c r="B26" s="351" t="s">
        <v>87</v>
      </c>
      <c r="C26" s="342"/>
      <c r="D26" s="343"/>
      <c r="E26" s="343"/>
      <c r="F26" s="352">
        <f>SUM(F7:F25)</f>
        <v>3773860000</v>
      </c>
      <c r="G26" s="353"/>
      <c r="H26" s="354">
        <f>ROUND(+I26/F26,4)</f>
        <v>0.0589</v>
      </c>
      <c r="I26" s="352">
        <f aca="true" t="shared" si="1" ref="I26:V26">SUM(I7:I25)</f>
        <v>222199128</v>
      </c>
      <c r="J26" s="352">
        <f t="shared" si="1"/>
        <v>3773860000</v>
      </c>
      <c r="K26" s="352">
        <f t="shared" si="1"/>
        <v>3773860000</v>
      </c>
      <c r="L26" s="352">
        <f t="shared" si="1"/>
        <v>3773860000</v>
      </c>
      <c r="M26" s="352">
        <f t="shared" si="1"/>
        <v>3773860000</v>
      </c>
      <c r="N26" s="352">
        <f t="shared" si="1"/>
        <v>3773860000</v>
      </c>
      <c r="O26" s="352">
        <f t="shared" si="1"/>
        <v>3773860000</v>
      </c>
      <c r="P26" s="352">
        <f t="shared" si="1"/>
        <v>3773860000</v>
      </c>
      <c r="Q26" s="352">
        <f t="shared" si="1"/>
        <v>3773860000</v>
      </c>
      <c r="R26" s="352">
        <f t="shared" si="1"/>
        <v>3773860000</v>
      </c>
      <c r="S26" s="352">
        <f t="shared" si="1"/>
        <v>3773860000</v>
      </c>
      <c r="T26" s="352">
        <f t="shared" si="1"/>
        <v>3773860000</v>
      </c>
      <c r="U26" s="352">
        <f t="shared" si="1"/>
        <v>3773860000</v>
      </c>
      <c r="V26" s="352">
        <f t="shared" si="1"/>
        <v>3773860000</v>
      </c>
    </row>
    <row r="27" spans="1:22" ht="13.5" thickTop="1">
      <c r="A27" s="340">
        <f t="shared" si="0"/>
        <v>22</v>
      </c>
      <c r="B27" s="351"/>
      <c r="C27" s="342"/>
      <c r="D27" s="343"/>
      <c r="E27" s="343"/>
      <c r="F27" s="355"/>
      <c r="G27" s="353"/>
      <c r="H27" s="353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</row>
    <row r="28" spans="1:22" ht="12.75">
      <c r="A28" s="340">
        <f t="shared" si="0"/>
        <v>23</v>
      </c>
      <c r="B28" s="356" t="s">
        <v>128</v>
      </c>
      <c r="C28" s="342"/>
      <c r="D28" s="343"/>
      <c r="E28" s="343"/>
      <c r="F28" s="355">
        <f>'Pg 3 STD Cost Rate'!C16</f>
        <v>44441224.09</v>
      </c>
      <c r="G28" s="353"/>
      <c r="H28" s="357">
        <f>ROUND(I28/F28,4)</f>
        <v>0.0068</v>
      </c>
      <c r="I28" s="355">
        <f>'Pg 3 STD Cost Rate'!E16</f>
        <v>300680.26</v>
      </c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</row>
    <row r="29" spans="1:22" ht="12.75">
      <c r="A29" s="340">
        <f t="shared" si="0"/>
        <v>24</v>
      </c>
      <c r="B29" s="341"/>
      <c r="C29" s="342"/>
      <c r="D29" s="343"/>
      <c r="E29" s="343"/>
      <c r="F29" s="355"/>
      <c r="G29" s="353"/>
      <c r="H29" s="358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</row>
    <row r="30" spans="1:22" ht="12.75">
      <c r="A30" s="340">
        <f t="shared" si="0"/>
        <v>25</v>
      </c>
      <c r="B30" s="359" t="s">
        <v>129</v>
      </c>
      <c r="C30" s="342"/>
      <c r="D30" s="343"/>
      <c r="E30" s="343"/>
      <c r="F30" s="355">
        <f>F26+F28</f>
        <v>3818301224.09</v>
      </c>
      <c r="G30" s="353"/>
      <c r="H30" s="357">
        <f>ROUND(I30/F30,4)</f>
        <v>0.0583</v>
      </c>
      <c r="I30" s="355">
        <f>I26+I28</f>
        <v>222499808.26</v>
      </c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</row>
    <row r="31" spans="1:22" ht="12.75">
      <c r="A31" s="340">
        <f t="shared" si="0"/>
        <v>26</v>
      </c>
      <c r="B31" s="341"/>
      <c r="C31" s="342"/>
      <c r="D31" s="343"/>
      <c r="E31" s="343"/>
      <c r="F31" s="355"/>
      <c r="G31" s="360"/>
      <c r="H31" s="361"/>
      <c r="I31" s="355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</row>
    <row r="32" spans="1:9" ht="12.75">
      <c r="A32" s="340">
        <f t="shared" si="0"/>
        <v>27</v>
      </c>
      <c r="B32" s="363" t="s">
        <v>186</v>
      </c>
      <c r="C32" s="364"/>
      <c r="D32" s="364"/>
      <c r="E32" s="364"/>
      <c r="F32" s="364"/>
      <c r="G32" s="364"/>
      <c r="H32" s="364"/>
      <c r="I32" s="364"/>
    </row>
    <row r="33" spans="1:9" ht="12.75">
      <c r="A33" s="340">
        <f t="shared" si="0"/>
        <v>28</v>
      </c>
      <c r="B33" s="363" t="s">
        <v>187</v>
      </c>
      <c r="C33" s="364"/>
      <c r="D33" s="364"/>
      <c r="E33" s="364"/>
      <c r="F33" s="364"/>
      <c r="G33" s="365"/>
      <c r="H33" s="364"/>
      <c r="I33" s="364"/>
    </row>
    <row r="34" spans="1:9" ht="12.75">
      <c r="A34" s="340"/>
      <c r="B34" s="363"/>
      <c r="C34" s="364"/>
      <c r="D34" s="364"/>
      <c r="E34" s="364"/>
      <c r="F34" s="364"/>
      <c r="G34" s="365"/>
      <c r="H34" s="364"/>
      <c r="I34" s="364"/>
    </row>
    <row r="35" spans="1:9" ht="12.75">
      <c r="A35" s="340"/>
      <c r="B35" s="363"/>
      <c r="C35" s="364"/>
      <c r="D35" s="364"/>
      <c r="E35" s="364"/>
      <c r="F35" s="364"/>
      <c r="G35" s="365"/>
      <c r="H35" s="364"/>
      <c r="I35" s="364"/>
    </row>
    <row r="36" spans="1:52" ht="12.75">
      <c r="A36" s="340"/>
      <c r="B36" s="58"/>
      <c r="C36" s="58"/>
      <c r="D36" s="58"/>
      <c r="E36" s="73"/>
      <c r="G36" s="58"/>
      <c r="H36" s="364"/>
      <c r="I36" s="366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</row>
    <row r="37" spans="1:22" ht="12.75">
      <c r="A37" s="34"/>
      <c r="B37" s="72"/>
      <c r="C37" s="72"/>
      <c r="D37" s="72"/>
      <c r="E37" s="72"/>
      <c r="F37" s="71"/>
      <c r="G37" s="72"/>
      <c r="H37" s="364"/>
      <c r="I37" s="366"/>
      <c r="J37" s="367"/>
      <c r="K37" s="367"/>
      <c r="L37" s="367"/>
      <c r="M37" s="367"/>
      <c r="N37" s="341"/>
      <c r="O37" s="341"/>
      <c r="P37" s="341"/>
      <c r="Q37" s="341"/>
      <c r="R37" s="341"/>
      <c r="S37" s="341"/>
      <c r="T37" s="341"/>
      <c r="U37" s="341"/>
      <c r="V37" s="341"/>
    </row>
    <row r="38" spans="1:22" ht="12.75">
      <c r="A38" s="34"/>
      <c r="B38" s="72"/>
      <c r="C38" s="72"/>
      <c r="D38" s="72"/>
      <c r="E38" s="72"/>
      <c r="F38" s="70"/>
      <c r="G38" s="72"/>
      <c r="H38" s="58"/>
      <c r="I38" s="366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</row>
    <row r="39" spans="1:22" ht="12.75">
      <c r="A39" s="34"/>
      <c r="B39" s="28"/>
      <c r="C39" s="28"/>
      <c r="D39" s="28"/>
      <c r="E39" s="28"/>
      <c r="F39" s="71"/>
      <c r="G39" s="28"/>
      <c r="H39" s="28"/>
      <c r="I39" s="35"/>
      <c r="J39" s="62">
        <f aca="true" t="shared" si="2" ref="J39:V39">IF(J38&lt;&gt;0,"ERROR","")</f>
      </c>
      <c r="K39" s="62">
        <f t="shared" si="2"/>
      </c>
      <c r="L39" s="62">
        <f t="shared" si="2"/>
      </c>
      <c r="M39" s="62">
        <f t="shared" si="2"/>
      </c>
      <c r="N39" s="62">
        <f t="shared" si="2"/>
      </c>
      <c r="O39" s="62">
        <f t="shared" si="2"/>
      </c>
      <c r="P39" s="62">
        <f t="shared" si="2"/>
      </c>
      <c r="Q39" s="62">
        <f t="shared" si="2"/>
      </c>
      <c r="R39" s="62">
        <f t="shared" si="2"/>
      </c>
      <c r="S39" s="62">
        <f t="shared" si="2"/>
      </c>
      <c r="T39" s="62">
        <f t="shared" si="2"/>
      </c>
      <c r="U39" s="62">
        <f t="shared" si="2"/>
      </c>
      <c r="V39" s="34">
        <f t="shared" si="2"/>
      </c>
    </row>
    <row r="40" spans="1:8" ht="12.75">
      <c r="A40" s="34"/>
      <c r="B40" s="28"/>
      <c r="C40" s="28"/>
      <c r="D40" s="28"/>
      <c r="E40" s="28"/>
      <c r="F40" s="35"/>
      <c r="G40" s="28"/>
      <c r="H40" s="346"/>
    </row>
    <row r="41" spans="1:9" ht="12.75">
      <c r="A41" s="36"/>
      <c r="B41" s="37"/>
      <c r="C41" s="38"/>
      <c r="D41" s="39"/>
      <c r="E41" s="39"/>
      <c r="F41" s="369"/>
      <c r="G41" s="41"/>
      <c r="H41" s="346"/>
      <c r="I41" s="149"/>
    </row>
    <row r="42" spans="1:9" ht="12.75">
      <c r="A42" s="36"/>
      <c r="B42" s="37"/>
      <c r="C42" s="38"/>
      <c r="D42" s="39"/>
      <c r="E42" s="39"/>
      <c r="F42" s="40"/>
      <c r="G42" s="41"/>
      <c r="H42" s="42"/>
      <c r="I42" s="43"/>
    </row>
    <row r="43" spans="1:9" ht="12.75">
      <c r="A43" s="36"/>
      <c r="B43" s="37"/>
      <c r="C43" s="38"/>
      <c r="D43" s="39"/>
      <c r="E43" s="39"/>
      <c r="F43" s="40"/>
      <c r="G43" s="41"/>
      <c r="H43" s="42"/>
      <c r="I43" s="43"/>
    </row>
    <row r="44" spans="1:9" ht="12.75" hidden="1">
      <c r="A44" s="44"/>
      <c r="B44" s="28"/>
      <c r="C44" s="28"/>
      <c r="D44" s="28"/>
      <c r="E44" s="28"/>
      <c r="F44" s="35"/>
      <c r="G44" s="28"/>
      <c r="H44" s="45"/>
      <c r="I44" s="35"/>
    </row>
    <row r="45" spans="1:9" ht="12.75" hidden="1">
      <c r="A45" s="44"/>
      <c r="B45" s="28"/>
      <c r="C45" s="28"/>
      <c r="D45" s="28"/>
      <c r="E45" s="28"/>
      <c r="F45" s="35"/>
      <c r="G45" s="28"/>
      <c r="H45" s="46"/>
      <c r="I45" s="35"/>
    </row>
    <row r="46" spans="1:9" ht="12.75" hidden="1">
      <c r="A46" s="44"/>
      <c r="B46" s="28"/>
      <c r="C46" s="28"/>
      <c r="D46" s="28"/>
      <c r="E46" s="28"/>
      <c r="F46" s="35"/>
      <c r="G46" s="28"/>
      <c r="H46" s="28"/>
      <c r="I46" s="35"/>
    </row>
    <row r="47" spans="1:9" ht="12.75">
      <c r="A47" s="36"/>
      <c r="B47" s="37"/>
      <c r="C47" s="38"/>
      <c r="D47" s="39"/>
      <c r="E47" s="39"/>
      <c r="F47" s="40"/>
      <c r="G47" s="41"/>
      <c r="H47" s="42"/>
      <c r="I47" s="43"/>
    </row>
    <row r="48" spans="1:9" ht="12.75">
      <c r="A48" s="36"/>
      <c r="B48" s="37"/>
      <c r="C48" s="38"/>
      <c r="D48" s="39"/>
      <c r="E48" s="39"/>
      <c r="F48" s="40"/>
      <c r="G48" s="41"/>
      <c r="H48" s="42"/>
      <c r="I48" s="43"/>
    </row>
    <row r="49" spans="1:9" ht="12.75">
      <c r="A49" s="44"/>
      <c r="B49" s="28"/>
      <c r="C49" s="28"/>
      <c r="D49" s="28"/>
      <c r="E49" s="28"/>
      <c r="F49" s="35"/>
      <c r="G49" s="28"/>
      <c r="H49" s="28"/>
      <c r="I49" s="35"/>
    </row>
    <row r="50" spans="1:9" ht="12.75">
      <c r="A50" s="44"/>
      <c r="B50" s="28"/>
      <c r="C50" s="28"/>
      <c r="D50" s="28"/>
      <c r="E50" s="28"/>
      <c r="F50" s="35"/>
      <c r="G50" s="28"/>
      <c r="H50" s="28"/>
      <c r="I50" s="35"/>
    </row>
    <row r="51" spans="1:9" ht="12.75">
      <c r="A51" s="44"/>
      <c r="B51" s="28"/>
      <c r="C51" s="28"/>
      <c r="D51" s="28"/>
      <c r="E51" s="28"/>
      <c r="F51" s="35"/>
      <c r="G51" s="28"/>
      <c r="H51" s="28"/>
      <c r="I51" s="35"/>
    </row>
    <row r="52" spans="1:9" ht="12.75">
      <c r="A52" s="44"/>
      <c r="B52" s="28"/>
      <c r="C52" s="28"/>
      <c r="D52" s="28"/>
      <c r="E52" s="28"/>
      <c r="F52" s="35"/>
      <c r="G52" s="28"/>
      <c r="H52" s="28"/>
      <c r="I52" s="35"/>
    </row>
    <row r="53" spans="1:9" ht="12.75">
      <c r="A53" s="44"/>
      <c r="B53" s="28"/>
      <c r="C53" s="28"/>
      <c r="D53" s="28"/>
      <c r="E53" s="28"/>
      <c r="F53" s="35"/>
      <c r="G53" s="28"/>
      <c r="H53" s="28"/>
      <c r="I53" s="35"/>
    </row>
    <row r="54" spans="1:9" ht="12.75">
      <c r="A54" s="44"/>
      <c r="B54" s="28"/>
      <c r="C54" s="28"/>
      <c r="D54" s="28"/>
      <c r="E54" s="28"/>
      <c r="F54" s="35"/>
      <c r="G54" s="28"/>
      <c r="H54" s="28"/>
      <c r="I54" s="35"/>
    </row>
    <row r="55" spans="1:9" ht="12.75">
      <c r="A55" s="44"/>
      <c r="B55" s="28"/>
      <c r="C55" s="28"/>
      <c r="D55" s="28"/>
      <c r="E55" s="28"/>
      <c r="F55" s="35"/>
      <c r="G55" s="28"/>
      <c r="H55" s="28"/>
      <c r="I55" s="35"/>
    </row>
    <row r="56" spans="1:9" ht="12.75">
      <c r="A56" s="44"/>
      <c r="B56" s="28"/>
      <c r="C56" s="28"/>
      <c r="D56" s="28"/>
      <c r="E56" s="28"/>
      <c r="F56" s="35"/>
      <c r="G56" s="28"/>
      <c r="H56" s="28"/>
      <c r="I56" s="35"/>
    </row>
    <row r="57" spans="1:9" ht="12.75">
      <c r="A57" s="44"/>
      <c r="B57" s="28"/>
      <c r="C57" s="28"/>
      <c r="D57" s="28"/>
      <c r="E57" s="28"/>
      <c r="F57" s="35"/>
      <c r="G57" s="28"/>
      <c r="H57" s="28"/>
      <c r="I57" s="35"/>
    </row>
    <row r="58" spans="1:9" ht="12.75">
      <c r="A58" s="34"/>
      <c r="B58" s="28"/>
      <c r="C58" s="37"/>
      <c r="D58" s="28"/>
      <c r="E58" s="28"/>
      <c r="F58" s="35"/>
      <c r="G58" s="28"/>
      <c r="H58" s="28"/>
      <c r="I58" s="35"/>
    </row>
    <row r="59" spans="3:5" ht="12.75">
      <c r="C59" s="24"/>
      <c r="E59" s="30"/>
    </row>
    <row r="60" ht="12.75">
      <c r="C60" s="29"/>
    </row>
  </sheetData>
  <sheetProtection/>
  <mergeCells count="3">
    <mergeCell ref="A1:V1"/>
    <mergeCell ref="A2:V2"/>
    <mergeCell ref="A3:V3"/>
  </mergeCells>
  <printOptions horizontalCentered="1"/>
  <pageMargins left="0.2" right="0.2" top="0.41" bottom="0.35" header="0.17" footer="0.17"/>
  <pageSetup fitToHeight="1" fitToWidth="1" horizontalDpi="600" verticalDpi="600" orientation="landscape" scale="8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J1"/>
    </sheetView>
  </sheetViews>
  <sheetFormatPr defaultColWidth="8.83203125" defaultRowHeight="11.25"/>
  <cols>
    <col min="1" max="1" width="4.66015625" style="31" customWidth="1"/>
    <col min="2" max="2" width="46" style="31" customWidth="1"/>
    <col min="3" max="3" width="10.83203125" style="31" customWidth="1"/>
    <col min="4" max="4" width="11.83203125" style="31" customWidth="1"/>
    <col min="5" max="5" width="12.83203125" style="31" customWidth="1"/>
    <col min="6" max="6" width="15.83203125" style="31" customWidth="1"/>
    <col min="7" max="7" width="13" style="31" customWidth="1"/>
    <col min="8" max="8" width="13.83203125" style="31" customWidth="1"/>
    <col min="9" max="9" width="18.83203125" style="31" customWidth="1"/>
    <col min="10" max="10" width="12.16015625" style="31" customWidth="1"/>
    <col min="11" max="11" width="6.33203125" style="31" customWidth="1"/>
    <col min="12" max="16384" width="8.83203125" style="31" customWidth="1"/>
  </cols>
  <sheetData>
    <row r="1" spans="1:16" ht="12.75" customHeight="1">
      <c r="A1" s="407" t="s">
        <v>189</v>
      </c>
      <c r="B1" s="407"/>
      <c r="C1" s="407"/>
      <c r="D1" s="407"/>
      <c r="E1" s="407"/>
      <c r="F1" s="407"/>
      <c r="G1" s="407"/>
      <c r="H1" s="407"/>
      <c r="I1" s="407"/>
      <c r="J1" s="407"/>
      <c r="K1" s="54"/>
      <c r="L1" s="54"/>
      <c r="M1" s="54"/>
      <c r="N1" s="54"/>
      <c r="O1" s="54"/>
      <c r="P1" s="54"/>
    </row>
    <row r="2" spans="1:16" ht="12.75" customHeight="1">
      <c r="A2" s="407" t="s">
        <v>18</v>
      </c>
      <c r="B2" s="407"/>
      <c r="C2" s="407"/>
      <c r="D2" s="407"/>
      <c r="E2" s="407"/>
      <c r="F2" s="407"/>
      <c r="G2" s="407"/>
      <c r="H2" s="407"/>
      <c r="I2" s="407"/>
      <c r="J2" s="407"/>
      <c r="K2" s="54"/>
      <c r="L2" s="54"/>
      <c r="M2" s="54"/>
      <c r="N2" s="54"/>
      <c r="O2" s="54"/>
      <c r="P2" s="54"/>
    </row>
    <row r="3" spans="1:16" ht="12.75" customHeight="1">
      <c r="A3" s="408">
        <f>'Pg 1 CofCap'!B5</f>
        <v>42643</v>
      </c>
      <c r="B3" s="408"/>
      <c r="C3" s="408"/>
      <c r="D3" s="408"/>
      <c r="E3" s="408"/>
      <c r="F3" s="408"/>
      <c r="G3" s="408"/>
      <c r="H3" s="408"/>
      <c r="I3" s="408"/>
      <c r="J3" s="408"/>
      <c r="K3" s="54"/>
      <c r="L3" s="54"/>
      <c r="M3" s="54"/>
      <c r="N3" s="54"/>
      <c r="O3" s="54"/>
      <c r="P3" s="54"/>
    </row>
    <row r="4" spans="2:11" ht="12.75" customHeight="1">
      <c r="B4" s="370"/>
      <c r="C4" s="370"/>
      <c r="D4" s="370"/>
      <c r="E4" s="371"/>
      <c r="F4" s="371"/>
      <c r="G4" s="371"/>
      <c r="H4" s="371"/>
      <c r="I4" s="371"/>
      <c r="J4" s="372"/>
      <c r="K4" s="54"/>
    </row>
    <row r="5" spans="1:11" ht="12.75" customHeight="1">
      <c r="A5" s="373">
        <v>1</v>
      </c>
      <c r="B5" s="81" t="s">
        <v>2</v>
      </c>
      <c r="C5" s="81" t="s">
        <v>19</v>
      </c>
      <c r="D5" s="81" t="s">
        <v>35</v>
      </c>
      <c r="E5" s="81" t="s">
        <v>45</v>
      </c>
      <c r="F5" s="81" t="s">
        <v>46</v>
      </c>
      <c r="G5" s="374" t="s">
        <v>47</v>
      </c>
      <c r="H5" s="81" t="s">
        <v>48</v>
      </c>
      <c r="I5" s="81" t="s">
        <v>49</v>
      </c>
      <c r="J5" s="81" t="s">
        <v>50</v>
      </c>
      <c r="K5" s="54"/>
    </row>
    <row r="6" spans="1:11" ht="12.75" customHeight="1">
      <c r="A6" s="373">
        <f aca="true" t="shared" si="0" ref="A6:A39">A5+1</f>
        <v>2</v>
      </c>
      <c r="B6" s="375" t="s">
        <v>1</v>
      </c>
      <c r="C6" s="376" t="s">
        <v>14</v>
      </c>
      <c r="D6" s="377" t="s">
        <v>73</v>
      </c>
      <c r="E6" s="378" t="s">
        <v>93</v>
      </c>
      <c r="F6" s="378" t="s">
        <v>94</v>
      </c>
      <c r="G6" s="378" t="s">
        <v>94</v>
      </c>
      <c r="H6" s="378" t="s">
        <v>51</v>
      </c>
      <c r="I6" s="377" t="s">
        <v>15</v>
      </c>
      <c r="J6" s="372"/>
      <c r="K6" s="54"/>
    </row>
    <row r="7" spans="1:11" ht="12.75" customHeight="1">
      <c r="A7" s="373">
        <f t="shared" si="0"/>
        <v>3</v>
      </c>
      <c r="B7" s="379" t="s">
        <v>14</v>
      </c>
      <c r="C7" s="380" t="s">
        <v>74</v>
      </c>
      <c r="D7" s="380" t="s">
        <v>74</v>
      </c>
      <c r="E7" s="380" t="s">
        <v>74</v>
      </c>
      <c r="F7" s="380" t="s">
        <v>14</v>
      </c>
      <c r="G7" s="380" t="s">
        <v>74</v>
      </c>
      <c r="H7" s="380" t="s">
        <v>95</v>
      </c>
      <c r="I7" s="380" t="s">
        <v>92</v>
      </c>
      <c r="J7" s="381" t="s">
        <v>38</v>
      </c>
      <c r="K7" s="54"/>
    </row>
    <row r="8" spans="1:10" ht="12.75" customHeight="1">
      <c r="A8" s="373">
        <f t="shared" si="0"/>
        <v>4</v>
      </c>
      <c r="B8" s="382"/>
      <c r="C8" s="383"/>
      <c r="D8" s="383"/>
      <c r="E8" s="383"/>
      <c r="F8" s="383"/>
      <c r="G8" s="383"/>
      <c r="H8" s="384"/>
      <c r="I8" s="385"/>
      <c r="J8" s="386"/>
    </row>
    <row r="9" spans="1:10" ht="12.75" customHeight="1">
      <c r="A9" s="373">
        <f>A8+1</f>
        <v>5</v>
      </c>
      <c r="B9" s="382">
        <v>0.1025</v>
      </c>
      <c r="C9" s="383">
        <v>32140</v>
      </c>
      <c r="D9" s="383">
        <v>35779</v>
      </c>
      <c r="E9" s="383">
        <v>35048</v>
      </c>
      <c r="F9" s="383"/>
      <c r="G9" s="383"/>
      <c r="H9" s="384">
        <v>42684</v>
      </c>
      <c r="I9" s="387">
        <v>18336</v>
      </c>
      <c r="J9" s="386">
        <v>18900013</v>
      </c>
    </row>
    <row r="10" spans="1:10" ht="12.75" customHeight="1">
      <c r="A10" s="373">
        <f t="shared" si="0"/>
        <v>6</v>
      </c>
      <c r="B10" s="382" t="s">
        <v>157</v>
      </c>
      <c r="C10" s="383">
        <v>35587</v>
      </c>
      <c r="D10" s="383">
        <v>46539</v>
      </c>
      <c r="E10" s="383">
        <v>39234</v>
      </c>
      <c r="F10" s="383" t="s">
        <v>158</v>
      </c>
      <c r="G10" s="383">
        <v>39237</v>
      </c>
      <c r="H10" s="384">
        <v>42887</v>
      </c>
      <c r="I10" s="387">
        <v>190954.8</v>
      </c>
      <c r="J10" s="386">
        <v>18900383</v>
      </c>
    </row>
    <row r="11" spans="1:10" ht="12.75" customHeight="1">
      <c r="A11" s="373">
        <f t="shared" si="0"/>
        <v>7</v>
      </c>
      <c r="B11" s="382" t="s">
        <v>159</v>
      </c>
      <c r="C11" s="383">
        <v>33410</v>
      </c>
      <c r="D11" s="383">
        <v>37063</v>
      </c>
      <c r="E11" s="383">
        <v>35961</v>
      </c>
      <c r="F11" s="383" t="s">
        <v>160</v>
      </c>
      <c r="G11" s="383">
        <v>35961</v>
      </c>
      <c r="H11" s="384">
        <v>43266</v>
      </c>
      <c r="I11" s="387">
        <v>3498.84</v>
      </c>
      <c r="J11" s="386">
        <v>18900243</v>
      </c>
    </row>
    <row r="12" spans="1:10" ht="12.75" customHeight="1">
      <c r="A12" s="373">
        <f t="shared" si="0"/>
        <v>8</v>
      </c>
      <c r="B12" s="388" t="s">
        <v>161</v>
      </c>
      <c r="C12" s="383">
        <v>33616</v>
      </c>
      <c r="D12" s="383">
        <v>44573</v>
      </c>
      <c r="E12" s="389">
        <v>37701</v>
      </c>
      <c r="F12" s="389"/>
      <c r="G12" s="389"/>
      <c r="H12" s="384">
        <v>44573</v>
      </c>
      <c r="I12" s="387">
        <v>1141.08</v>
      </c>
      <c r="J12" s="386">
        <v>18900293</v>
      </c>
    </row>
    <row r="13" spans="1:11" ht="12.75" customHeight="1">
      <c r="A13" s="373">
        <f t="shared" si="0"/>
        <v>9</v>
      </c>
      <c r="B13" s="388" t="s">
        <v>162</v>
      </c>
      <c r="C13" s="383">
        <v>33616</v>
      </c>
      <c r="D13" s="383">
        <v>44574</v>
      </c>
      <c r="E13" s="389">
        <v>37701</v>
      </c>
      <c r="F13" s="389"/>
      <c r="G13" s="389"/>
      <c r="H13" s="384">
        <v>44574</v>
      </c>
      <c r="I13" s="387">
        <v>2662.56</v>
      </c>
      <c r="J13" s="386">
        <v>18900303</v>
      </c>
      <c r="K13" s="390"/>
    </row>
    <row r="14" spans="1:10" ht="12.75" customHeight="1">
      <c r="A14" s="373">
        <f t="shared" si="0"/>
        <v>10</v>
      </c>
      <c r="B14" s="388" t="s">
        <v>163</v>
      </c>
      <c r="C14" s="383">
        <v>33828</v>
      </c>
      <c r="D14" s="383">
        <v>44785</v>
      </c>
      <c r="E14" s="389">
        <v>37770</v>
      </c>
      <c r="F14" s="389"/>
      <c r="G14" s="389"/>
      <c r="H14" s="384">
        <v>44785</v>
      </c>
      <c r="I14" s="387">
        <v>62485.68000000001</v>
      </c>
      <c r="J14" s="386">
        <v>18900323</v>
      </c>
    </row>
    <row r="15" spans="1:11" ht="12.75" customHeight="1">
      <c r="A15" s="373">
        <f t="shared" si="0"/>
        <v>11</v>
      </c>
      <c r="B15" s="388" t="s">
        <v>164</v>
      </c>
      <c r="C15" s="383">
        <v>34199</v>
      </c>
      <c r="D15" s="383">
        <v>45156</v>
      </c>
      <c r="E15" s="389">
        <v>37851</v>
      </c>
      <c r="H15" s="384">
        <v>45156</v>
      </c>
      <c r="I15" s="387">
        <v>10655.880000000001</v>
      </c>
      <c r="J15" s="386">
        <v>18900353</v>
      </c>
      <c r="K15" s="390"/>
    </row>
    <row r="16" spans="1:10" ht="12.75" customHeight="1">
      <c r="A16" s="373">
        <f t="shared" si="0"/>
        <v>12</v>
      </c>
      <c r="B16" s="382" t="s">
        <v>165</v>
      </c>
      <c r="C16" s="383">
        <v>33161</v>
      </c>
      <c r="D16" s="383">
        <v>35718</v>
      </c>
      <c r="E16" s="383">
        <v>34372</v>
      </c>
      <c r="F16" s="383" t="s">
        <v>166</v>
      </c>
      <c r="G16" s="383">
        <v>34366</v>
      </c>
      <c r="H16" s="384">
        <v>45323</v>
      </c>
      <c r="I16" s="387">
        <v>168880.08</v>
      </c>
      <c r="J16" s="386">
        <v>18900173</v>
      </c>
    </row>
    <row r="17" spans="1:10" ht="12.75" customHeight="1">
      <c r="A17" s="373">
        <f t="shared" si="0"/>
        <v>13</v>
      </c>
      <c r="B17" s="382" t="s">
        <v>167</v>
      </c>
      <c r="C17" s="383">
        <v>35587</v>
      </c>
      <c r="D17" s="383">
        <v>46539</v>
      </c>
      <c r="E17" s="383">
        <v>38504</v>
      </c>
      <c r="F17" s="383"/>
      <c r="G17" s="383"/>
      <c r="H17" s="384">
        <v>46539</v>
      </c>
      <c r="I17" s="387">
        <v>229804.2</v>
      </c>
      <c r="J17" s="386">
        <v>18900193</v>
      </c>
    </row>
    <row r="18" spans="1:10" ht="12.75" customHeight="1">
      <c r="A18" s="373">
        <f t="shared" si="0"/>
        <v>14</v>
      </c>
      <c r="B18" s="388" t="s">
        <v>168</v>
      </c>
      <c r="C18" s="383">
        <v>33457</v>
      </c>
      <c r="D18" s="383">
        <v>44409</v>
      </c>
      <c r="E18" s="389">
        <v>37691</v>
      </c>
      <c r="F18" s="389" t="s">
        <v>169</v>
      </c>
      <c r="G18" s="389">
        <v>37691</v>
      </c>
      <c r="H18" s="384">
        <v>47908</v>
      </c>
      <c r="I18" s="387">
        <v>45480.48</v>
      </c>
      <c r="J18" s="386">
        <v>18900253</v>
      </c>
    </row>
    <row r="19" spans="1:10" ht="12.75" customHeight="1">
      <c r="A19" s="373">
        <f t="shared" si="0"/>
        <v>15</v>
      </c>
      <c r="B19" s="388" t="s">
        <v>170</v>
      </c>
      <c r="C19" s="383">
        <v>33457</v>
      </c>
      <c r="D19" s="383">
        <v>44409</v>
      </c>
      <c r="E19" s="389">
        <v>37691</v>
      </c>
      <c r="F19" s="389" t="s">
        <v>169</v>
      </c>
      <c r="G19" s="389">
        <v>37691</v>
      </c>
      <c r="H19" s="384">
        <v>47908</v>
      </c>
      <c r="I19" s="387">
        <v>34561.44</v>
      </c>
      <c r="J19" s="386">
        <v>18900263</v>
      </c>
    </row>
    <row r="20" spans="1:10" ht="12.75" customHeight="1">
      <c r="A20" s="373">
        <f t="shared" si="0"/>
        <v>16</v>
      </c>
      <c r="B20" s="388" t="s">
        <v>171</v>
      </c>
      <c r="C20" s="383">
        <v>33664</v>
      </c>
      <c r="D20" s="383">
        <v>44621</v>
      </c>
      <c r="E20" s="389">
        <v>37691</v>
      </c>
      <c r="F20" s="389" t="s">
        <v>169</v>
      </c>
      <c r="G20" s="389">
        <v>37691</v>
      </c>
      <c r="H20" s="384">
        <v>47908</v>
      </c>
      <c r="I20" s="387">
        <v>105825.48</v>
      </c>
      <c r="J20" s="386">
        <v>18900273</v>
      </c>
    </row>
    <row r="21" spans="1:10" ht="12.75" customHeight="1">
      <c r="A21" s="373">
        <f t="shared" si="0"/>
        <v>17</v>
      </c>
      <c r="B21" s="388" t="s">
        <v>172</v>
      </c>
      <c r="C21" s="383">
        <v>33664</v>
      </c>
      <c r="D21" s="383">
        <v>44621</v>
      </c>
      <c r="E21" s="389">
        <v>37691</v>
      </c>
      <c r="F21" s="389" t="s">
        <v>169</v>
      </c>
      <c r="G21" s="389">
        <v>37691</v>
      </c>
      <c r="H21" s="384">
        <v>47908</v>
      </c>
      <c r="I21" s="387">
        <v>32297.76</v>
      </c>
      <c r="J21" s="386">
        <v>18900283</v>
      </c>
    </row>
    <row r="22" spans="1:10" ht="12.75" customHeight="1">
      <c r="A22" s="373">
        <f t="shared" si="0"/>
        <v>18</v>
      </c>
      <c r="B22" s="388" t="s">
        <v>173</v>
      </c>
      <c r="C22" s="383">
        <v>37691</v>
      </c>
      <c r="D22" s="383">
        <v>47908</v>
      </c>
      <c r="E22" s="389">
        <v>41449</v>
      </c>
      <c r="F22" s="389" t="s">
        <v>174</v>
      </c>
      <c r="G22" s="389">
        <v>41417</v>
      </c>
      <c r="H22" s="384">
        <v>47908</v>
      </c>
      <c r="I22" s="387">
        <v>299128.68</v>
      </c>
      <c r="J22" s="386">
        <v>18900433</v>
      </c>
    </row>
    <row r="23" spans="1:10" ht="12.75" customHeight="1">
      <c r="A23" s="373">
        <f t="shared" si="0"/>
        <v>19</v>
      </c>
      <c r="B23" s="388" t="s">
        <v>173</v>
      </c>
      <c r="C23" s="383">
        <v>37691</v>
      </c>
      <c r="D23" s="383">
        <v>47908</v>
      </c>
      <c r="E23" s="389">
        <v>41449</v>
      </c>
      <c r="F23" s="389" t="s">
        <v>174</v>
      </c>
      <c r="G23" s="389">
        <v>41417</v>
      </c>
      <c r="H23" s="384">
        <v>47908</v>
      </c>
      <c r="I23" s="387">
        <v>50553.240000000005</v>
      </c>
      <c r="J23" s="386">
        <v>18900533</v>
      </c>
    </row>
    <row r="24" spans="1:10" ht="12.75" customHeight="1">
      <c r="A24" s="373">
        <f>A23+1</f>
        <v>20</v>
      </c>
      <c r="B24" s="382" t="s">
        <v>175</v>
      </c>
      <c r="C24" s="383">
        <v>38183</v>
      </c>
      <c r="D24" s="383">
        <v>38913</v>
      </c>
      <c r="E24" s="383">
        <v>38499</v>
      </c>
      <c r="F24" s="383" t="s">
        <v>176</v>
      </c>
      <c r="G24" s="383">
        <v>38499</v>
      </c>
      <c r="H24" s="384">
        <v>49456</v>
      </c>
      <c r="I24" s="387">
        <v>17086.56</v>
      </c>
      <c r="J24" s="386">
        <v>18900183</v>
      </c>
    </row>
    <row r="25" spans="1:10" ht="12.75" customHeight="1">
      <c r="A25" s="373">
        <f t="shared" si="0"/>
        <v>21</v>
      </c>
      <c r="B25" s="382" t="s">
        <v>177</v>
      </c>
      <c r="C25" s="383">
        <v>37035</v>
      </c>
      <c r="D25" s="383">
        <v>51682</v>
      </c>
      <c r="E25" s="383">
        <v>38898</v>
      </c>
      <c r="F25" s="383" t="s">
        <v>178</v>
      </c>
      <c r="G25" s="383">
        <v>38898</v>
      </c>
      <c r="H25" s="384">
        <v>49841</v>
      </c>
      <c r="I25" s="387">
        <v>197021.40000000002</v>
      </c>
      <c r="J25" s="386">
        <v>18900373</v>
      </c>
    </row>
    <row r="26" spans="1:10" ht="12.75" customHeight="1">
      <c r="A26" s="373">
        <f t="shared" si="0"/>
        <v>22</v>
      </c>
      <c r="B26" s="382" t="s">
        <v>179</v>
      </c>
      <c r="C26" s="383">
        <v>33117</v>
      </c>
      <c r="D26" s="383">
        <v>44075</v>
      </c>
      <c r="E26" s="383">
        <v>40900</v>
      </c>
      <c r="F26" s="383" t="s">
        <v>180</v>
      </c>
      <c r="G26" s="383">
        <v>40869</v>
      </c>
      <c r="H26" s="384">
        <v>55472</v>
      </c>
      <c r="I26" s="387">
        <v>400518.84</v>
      </c>
      <c r="J26" s="386">
        <v>18900393</v>
      </c>
    </row>
    <row r="27" spans="1:10" ht="12.75" customHeight="1">
      <c r="A27" s="373">
        <f t="shared" si="0"/>
        <v>23</v>
      </c>
      <c r="B27" s="382" t="s">
        <v>181</v>
      </c>
      <c r="C27" s="383">
        <v>38637</v>
      </c>
      <c r="D27" s="383">
        <v>42278</v>
      </c>
      <c r="E27" s="383">
        <v>42160</v>
      </c>
      <c r="F27" s="383" t="s">
        <v>182</v>
      </c>
      <c r="G27" s="383">
        <v>42150</v>
      </c>
      <c r="H27" s="384">
        <v>53102</v>
      </c>
      <c r="I27" s="387">
        <v>82302.48</v>
      </c>
      <c r="J27" s="386">
        <v>18900203</v>
      </c>
    </row>
    <row r="28" spans="1:10" ht="12.75" customHeight="1">
      <c r="A28" s="373">
        <f t="shared" si="0"/>
        <v>24</v>
      </c>
      <c r="B28" s="382" t="s">
        <v>183</v>
      </c>
      <c r="C28" s="383">
        <v>39836</v>
      </c>
      <c r="D28" s="383">
        <v>42384</v>
      </c>
      <c r="E28" s="383">
        <v>42160</v>
      </c>
      <c r="F28" s="383" t="s">
        <v>182</v>
      </c>
      <c r="G28" s="383">
        <v>42150</v>
      </c>
      <c r="H28" s="384">
        <v>53102</v>
      </c>
      <c r="I28" s="387">
        <v>316649.76</v>
      </c>
      <c r="J28" s="386">
        <v>18900213</v>
      </c>
    </row>
    <row r="29" spans="1:10" ht="12.75" customHeight="1">
      <c r="A29" s="373">
        <f t="shared" si="0"/>
        <v>25</v>
      </c>
      <c r="B29" s="382"/>
      <c r="C29" s="383"/>
      <c r="D29" s="383"/>
      <c r="E29" s="383"/>
      <c r="F29" s="383"/>
      <c r="G29" s="383"/>
      <c r="H29" s="384"/>
      <c r="I29" s="391"/>
      <c r="J29" s="386"/>
    </row>
    <row r="30" spans="1:10" ht="15" customHeight="1" thickBot="1">
      <c r="A30" s="373">
        <f t="shared" si="0"/>
        <v>26</v>
      </c>
      <c r="B30" s="326" t="s">
        <v>20</v>
      </c>
      <c r="C30" s="53"/>
      <c r="D30" s="53"/>
      <c r="E30" s="53"/>
      <c r="F30" s="53"/>
      <c r="G30" s="53"/>
      <c r="H30" s="53"/>
      <c r="I30" s="392">
        <f>SUM(I8:I29)</f>
        <v>2269845.2399999998</v>
      </c>
      <c r="J30" s="55"/>
    </row>
    <row r="31" spans="1:10" ht="12.75" customHeight="1" thickTop="1">
      <c r="A31" s="373">
        <f t="shared" si="0"/>
        <v>27</v>
      </c>
      <c r="B31" s="56"/>
      <c r="C31" s="57"/>
      <c r="D31" s="57"/>
      <c r="E31" s="57"/>
      <c r="F31" s="57"/>
      <c r="G31" s="57"/>
      <c r="H31" s="57"/>
      <c r="I31" s="385"/>
      <c r="J31" s="54"/>
    </row>
    <row r="32" spans="1:10" ht="12.75" customHeight="1">
      <c r="A32" s="373">
        <f t="shared" si="0"/>
        <v>28</v>
      </c>
      <c r="B32" s="326" t="s">
        <v>131</v>
      </c>
      <c r="C32" s="57"/>
      <c r="D32" s="57"/>
      <c r="E32" s="57"/>
      <c r="F32" s="57"/>
      <c r="G32" s="57"/>
      <c r="H32" s="57"/>
      <c r="I32" s="387">
        <f>'Pg 1 CofCap'!C23</f>
        <v>7459628029</v>
      </c>
      <c r="J32" s="54"/>
    </row>
    <row r="33" spans="1:10" ht="12.75" customHeight="1">
      <c r="A33" s="373">
        <f t="shared" si="0"/>
        <v>29</v>
      </c>
      <c r="B33" s="326"/>
      <c r="C33" s="57"/>
      <c r="D33" s="57"/>
      <c r="E33" s="57"/>
      <c r="F33" s="57"/>
      <c r="G33" s="57"/>
      <c r="H33" s="57"/>
      <c r="I33" s="385"/>
      <c r="J33" s="54"/>
    </row>
    <row r="34" spans="1:10" ht="12.75" customHeight="1">
      <c r="A34" s="373">
        <f t="shared" si="0"/>
        <v>30</v>
      </c>
      <c r="B34" s="326" t="s">
        <v>133</v>
      </c>
      <c r="C34" s="57"/>
      <c r="D34" s="57"/>
      <c r="E34" s="57"/>
      <c r="F34" s="57"/>
      <c r="G34" s="57"/>
      <c r="H34" s="57"/>
      <c r="I34" s="393">
        <f>I30/I32</f>
        <v>0.00030428397115456223</v>
      </c>
      <c r="J34" s="54"/>
    </row>
    <row r="35" spans="1:10" ht="12.75" customHeight="1">
      <c r="A35" s="373">
        <f t="shared" si="0"/>
        <v>31</v>
      </c>
      <c r="B35" s="56"/>
      <c r="C35" s="57"/>
      <c r="D35" s="57"/>
      <c r="E35" s="57"/>
      <c r="F35" s="57"/>
      <c r="G35" s="57"/>
      <c r="H35" s="57"/>
      <c r="I35" s="385"/>
      <c r="J35" s="54"/>
    </row>
    <row r="36" spans="1:10" ht="12.75" customHeight="1">
      <c r="A36" s="373">
        <f t="shared" si="0"/>
        <v>32</v>
      </c>
      <c r="C36" s="54"/>
      <c r="D36" s="54"/>
      <c r="E36" s="54"/>
      <c r="F36" s="54"/>
      <c r="G36" s="54"/>
      <c r="H36" s="394"/>
      <c r="I36" s="385"/>
      <c r="J36" s="54"/>
    </row>
    <row r="37" spans="1:9" ht="12.75" customHeight="1">
      <c r="A37" s="373">
        <f t="shared" si="0"/>
        <v>33</v>
      </c>
      <c r="B37" s="395"/>
      <c r="C37" s="64"/>
      <c r="D37" s="64"/>
      <c r="E37" s="64"/>
      <c r="F37" s="64"/>
      <c r="H37" s="32"/>
      <c r="I37" s="385"/>
    </row>
    <row r="38" spans="1:10" ht="12.75" customHeight="1">
      <c r="A38" s="373">
        <f t="shared" si="0"/>
        <v>34</v>
      </c>
      <c r="B38" s="54" t="s">
        <v>91</v>
      </c>
      <c r="H38" s="32"/>
      <c r="I38" s="385"/>
      <c r="J38" s="386"/>
    </row>
    <row r="39" spans="1:9" ht="12.75" customHeight="1">
      <c r="A39" s="373">
        <f t="shared" si="0"/>
        <v>35</v>
      </c>
      <c r="B39" s="396" t="s">
        <v>188</v>
      </c>
      <c r="H39" s="32"/>
      <c r="I39" s="32"/>
    </row>
    <row r="40" spans="1:9" ht="12.75" customHeight="1">
      <c r="A40" s="65"/>
      <c r="H40" s="32"/>
      <c r="I40" s="32"/>
    </row>
    <row r="41" spans="8:9" ht="12.75" customHeight="1">
      <c r="H41" s="32"/>
      <c r="I41" s="32"/>
    </row>
    <row r="42" spans="8:9" ht="12.75" customHeight="1">
      <c r="H42" s="32"/>
      <c r="I42" s="63"/>
    </row>
    <row r="43" spans="8:9" ht="12.75" customHeight="1">
      <c r="H43" s="32"/>
      <c r="I43" s="32"/>
    </row>
    <row r="44" spans="8:9" ht="12.75" customHeight="1">
      <c r="H44" s="32"/>
      <c r="I44" s="32"/>
    </row>
    <row r="45" spans="8:9" ht="12.75" customHeight="1">
      <c r="H45" s="32"/>
      <c r="I45" s="32"/>
    </row>
    <row r="46" spans="8:9" ht="12.75" customHeight="1">
      <c r="H46" s="32"/>
      <c r="I46" s="32"/>
    </row>
    <row r="47" spans="8:9" ht="12.75" customHeight="1">
      <c r="H47" s="32"/>
      <c r="I47" s="32"/>
    </row>
    <row r="48" spans="8:9" ht="12.75" customHeight="1">
      <c r="H48" s="32"/>
      <c r="I48" s="32"/>
    </row>
    <row r="49" spans="8:9" ht="12.75" customHeight="1">
      <c r="H49" s="32"/>
      <c r="I49" s="32"/>
    </row>
    <row r="50" spans="8:9" ht="12.75" customHeight="1">
      <c r="H50" s="32"/>
      <c r="I50" s="32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3">
    <mergeCell ref="A1:J1"/>
    <mergeCell ref="A2:J2"/>
    <mergeCell ref="A3:J3"/>
  </mergeCells>
  <printOptions horizontalCentered="1"/>
  <pageMargins left="0.2" right="0.2" top="0.75" bottom="0.4" header="0.36" footer="0.17"/>
  <pageSetup horizontalDpi="600" verticalDpi="60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Cindy Song</cp:lastModifiedBy>
  <dcterms:created xsi:type="dcterms:W3CDTF">2016-12-21T02:43:35Z</dcterms:created>
  <dcterms:modified xsi:type="dcterms:W3CDTF">2016-12-29T21:42:06Z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CaseCompanyNam">
    <vt:lpwstr>Puget Sound Energy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170033</vt:lpwstr>
  </property>
  <property fmtid="{D5CDD505-2E9C-101B-9397-08002B2CF9AE}" pid="9" name="Visibili">
    <vt:lpwstr>Full Visibility</vt:lpwstr>
  </property>
  <property fmtid="{D5CDD505-2E9C-101B-9397-08002B2CF9AE}" pid="10" name="Dat">
    <vt:lpwstr>2017-01-13T00:00:00Z</vt:lpwstr>
  </property>
  <property fmtid="{D5CDD505-2E9C-101B-9397-08002B2CF9AE}" pid="11" name="Nickna">
    <vt:lpwstr/>
  </property>
  <property fmtid="{D5CDD505-2E9C-101B-9397-08002B2CF9AE}" pid="12" name="Proce">
    <vt:lpwstr/>
  </property>
  <property fmtid="{D5CDD505-2E9C-101B-9397-08002B2CF9AE}" pid="13" name="_docset_NoMedatataSyncRequir">
    <vt:lpwstr>False</vt:lpwstr>
  </property>
  <property fmtid="{D5CDD505-2E9C-101B-9397-08002B2CF9AE}" pid="14" name="CaseTy">
    <vt:lpwstr>Tariff Revision</vt:lpwstr>
  </property>
  <property fmtid="{D5CDD505-2E9C-101B-9397-08002B2CF9AE}" pid="15" name="OpenedDa">
    <vt:lpwstr>2017-01-13T00:00:00Z</vt:lpwstr>
  </property>
  <property fmtid="{D5CDD505-2E9C-101B-9397-08002B2CF9AE}" pid="16" name="Pref">
    <vt:lpwstr>UE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  <property fmtid="{D5CDD505-2E9C-101B-9397-08002B2CF9AE}" pid="19" name="DocumentGro">
    <vt:lpwstr/>
  </property>
</Properties>
</file>